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90881104d375f688/デスクトップ/UMIUSI/新生UMIUSI_基板/control_unit/"/>
    </mc:Choice>
  </mc:AlternateContent>
  <xr:revisionPtr revIDLastSave="104" documentId="13_ncr:1_{5133D3A6-AE62-49C3-B563-904B2675005B}" xr6:coauthVersionLast="47" xr6:coauthVersionMax="47" xr10:uidLastSave="{C83174B0-28AA-4666-A830-6E3F49EF8B4D}"/>
  <workbookProtection workbookAlgorithmName="SHA-512" workbookHashValue="QuEmwlFvJY8I13PPXYRwj/NUfYdu4dUSDCsVb4bX5apaDSLF/QjWLiKNzXL4DhnTxLjs8r+CjmMwy1g86/fHNw==" workbookSaltValue="2UN2Nt4kVzl3HiLK1ipPxQ==" workbookSpinCount="100000" lockStructure="1"/>
  <bookViews>
    <workbookView xWindow="-96" yWindow="0" windowWidth="11712" windowHeight="14736" tabRatio="344"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'Variable Management'!$B$154</definedName>
    <definedName name="PICTURE10">INDIRECT('Schematic Management'!$A$2)</definedName>
    <definedName name="PICTURE2" localSheetId="6">INDIRECT('Schematic Management'!$A$2)</definedName>
    <definedName name="_xlnm.Print_Area" localSheetId="0">'Design Regulator'!$A$1:$Q$111</definedName>
    <definedName name="_xlnm.Print_Area" localSheetId="1">'Schematic &amp; BOM'!$A$1:$J$68</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'Variable Management'!$B$7</definedName>
    <definedName name="VIN_MAX_RATING">'Variable Management'!$U$13</definedName>
    <definedName name="VIN_MIN_RATING">'Variable Management'!$U$14</definedName>
    <definedName name="Vinmax">'Variable Management'!$B$9</definedName>
    <definedName name="Vinmin">'Variable Management'!$B$8</definedName>
    <definedName name="Vinripple1">'Variable Management'!$B$78</definedName>
    <definedName name="Vinripple2">'Variable Management'!$B$84</definedName>
    <definedName name="VINuvlo_off">'Variable Management'!$B$96</definedName>
    <definedName name="VINuvlo_on">'Variable Management'!$B$95</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4" l="1"/>
  <c r="A270" i="2"/>
  <c r="D63" i="16"/>
  <c r="U15" i="2"/>
  <c r="C63" i="16"/>
  <c r="I63" i="16"/>
  <c r="U14" i="2"/>
  <c r="U13" i="2"/>
  <c r="U12" i="2"/>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c r="F70" i="1"/>
  <c r="F69" i="1"/>
  <c r="F68" i="1"/>
  <c r="F67" i="1"/>
  <c r="A68" i="1"/>
  <c r="B190" i="2"/>
  <c r="B202" i="2"/>
  <c r="B201" i="2"/>
  <c r="L42" i="16"/>
  <c r="L59" i="16"/>
  <c r="A50" i="16"/>
  <c r="A49" i="16"/>
  <c r="L50" i="16"/>
  <c r="L49" i="16"/>
  <c r="A43" i="16"/>
  <c r="L43" i="16" s="1"/>
  <c r="C43" i="16"/>
  <c r="B13" i="2"/>
  <c r="B15" i="2" s="1"/>
  <c r="R4" i="8" s="1"/>
  <c r="S4" i="8" s="1"/>
  <c r="A269" i="2"/>
  <c r="B12" i="2"/>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c r="C56" i="16"/>
  <c r="D56" i="16" s="1"/>
  <c r="B49" i="2"/>
  <c r="B58" i="2"/>
  <c r="B8" i="2"/>
  <c r="B9" i="2"/>
  <c r="S66" i="2" s="1"/>
  <c r="A2" i="17"/>
  <c r="B269" i="2"/>
  <c r="D49" i="16"/>
  <c r="I50" i="16"/>
  <c r="I49" i="16"/>
  <c r="B239" i="2"/>
  <c r="A239" i="2"/>
  <c r="D50" i="16"/>
  <c r="D58" i="16"/>
  <c r="D62" i="16"/>
  <c r="C48" i="16"/>
  <c r="D47" i="16"/>
  <c r="D46" i="16"/>
  <c r="D38" i="16"/>
  <c r="B258" i="2"/>
  <c r="B95" i="2"/>
  <c r="B106" i="2"/>
  <c r="B109" i="2"/>
  <c r="B96" i="2"/>
  <c r="D73" i="1"/>
  <c r="B689" i="3"/>
  <c r="N688" i="3"/>
  <c r="B114" i="2"/>
  <c r="B73" i="2"/>
  <c r="E145" i="2" s="1"/>
  <c r="B124" i="2"/>
  <c r="B10" i="2"/>
  <c r="B11" i="2"/>
  <c r="H14" i="4" s="1"/>
  <c r="B71" i="2"/>
  <c r="B24" i="4" s="1"/>
  <c r="B31" i="2"/>
  <c r="B10" i="3"/>
  <c r="B11" i="3"/>
  <c r="B12" i="3"/>
  <c r="B13" i="3"/>
  <c r="B14" i="3"/>
  <c r="B15" i="3"/>
  <c r="B16" i="3"/>
  <c r="B17" i="3"/>
  <c r="B18" i="3"/>
  <c r="B9" i="3"/>
  <c r="B78" i="2"/>
  <c r="B59" i="4"/>
  <c r="B191" i="2"/>
  <c r="B238" i="2"/>
  <c r="B243" i="2"/>
  <c r="B32" i="2"/>
  <c r="B19" i="4" s="1"/>
  <c r="B7" i="2"/>
  <c r="AK127" i="4" s="1"/>
  <c r="B81" i="2"/>
  <c r="B248" i="2" s="1"/>
  <c r="B185" i="2"/>
  <c r="B37" i="4"/>
  <c r="B198" i="2"/>
  <c r="B49" i="4" s="1"/>
  <c r="B126" i="2"/>
  <c r="AJ505" i="3" s="1"/>
  <c r="AJ350" i="3"/>
  <c r="B207" i="2"/>
  <c r="B56" i="4" s="1"/>
  <c r="B209" i="2"/>
  <c r="B204" i="2"/>
  <c r="B88" i="2"/>
  <c r="B90" i="2" s="1"/>
  <c r="B3" i="8" s="1"/>
  <c r="B187" i="2"/>
  <c r="B200" i="2"/>
  <c r="B51" i="4"/>
  <c r="B205" i="2"/>
  <c r="B54" i="4" s="1"/>
  <c r="B195" i="2"/>
  <c r="B46" i="4" s="1"/>
  <c r="B60" i="4"/>
  <c r="B188" i="2"/>
  <c r="B40" i="4"/>
  <c r="B189" i="2"/>
  <c r="B41" i="4"/>
  <c r="B193" i="2"/>
  <c r="B192" i="2"/>
  <c r="B43" i="4" s="1"/>
  <c r="B279" i="2"/>
  <c r="B196" i="2"/>
  <c r="B47" i="4" s="1"/>
  <c r="B169" i="2"/>
  <c r="B83" i="2"/>
  <c r="B23" i="4" s="1"/>
  <c r="B186" i="2"/>
  <c r="B199" i="2"/>
  <c r="D6" i="6"/>
  <c r="D7" i="6"/>
  <c r="D9" i="6"/>
  <c r="D10" i="6"/>
  <c r="D2" i="11"/>
  <c r="D3" i="11"/>
  <c r="B5" i="11"/>
  <c r="D5" i="11"/>
  <c r="B15" i="4"/>
  <c r="B20" i="4"/>
  <c r="B21" i="4"/>
  <c r="B52" i="4"/>
  <c r="B55" i="4"/>
  <c r="AR9" i="3"/>
  <c r="A34" i="8"/>
  <c r="A46" i="8"/>
  <c r="A58" i="8" s="1"/>
  <c r="A35" i="8"/>
  <c r="A47" i="8" s="1"/>
  <c r="A36" i="8"/>
  <c r="A48" i="8" s="1"/>
  <c r="A37" i="8"/>
  <c r="A49" i="8" s="1"/>
  <c r="A38" i="8"/>
  <c r="A39" i="8"/>
  <c r="A40" i="8"/>
  <c r="A41" i="8"/>
  <c r="A42" i="8"/>
  <c r="A54" i="8"/>
  <c r="A66" i="8" s="1"/>
  <c r="A43" i="8"/>
  <c r="A55" i="8"/>
  <c r="A67" i="8"/>
  <c r="A79" i="8"/>
  <c r="A44" i="8"/>
  <c r="A56" i="8"/>
  <c r="A68" i="8"/>
  <c r="A80" i="8" s="1"/>
  <c r="A45" i="8"/>
  <c r="A57" i="8"/>
  <c r="A52" i="8"/>
  <c r="A64" i="8"/>
  <c r="AQ9" i="3"/>
  <c r="AR10" i="3"/>
  <c r="AQ10" i="3"/>
  <c r="AR11" i="3"/>
  <c r="AQ11" i="3"/>
  <c r="AR12" i="3"/>
  <c r="AQ12" i="3"/>
  <c r="AR13" i="3"/>
  <c r="AQ13" i="3"/>
  <c r="AR14" i="3"/>
  <c r="AQ14" i="3"/>
  <c r="AR15" i="3"/>
  <c r="AQ15" i="3"/>
  <c r="AR16" i="3"/>
  <c r="AQ16" i="3"/>
  <c r="AR17" i="3"/>
  <c r="AQ17" i="3"/>
  <c r="AR18" i="3"/>
  <c r="AQ18" i="3"/>
  <c r="A19" i="3"/>
  <c r="B19" i="3" s="1"/>
  <c r="A20" i="3"/>
  <c r="B20" i="3" s="1"/>
  <c r="AR20" i="3"/>
  <c r="A21" i="3"/>
  <c r="B21" i="3" s="1"/>
  <c r="A22" i="3"/>
  <c r="A31" i="3"/>
  <c r="B31" i="3" s="1"/>
  <c r="A23" i="3"/>
  <c r="AQ23" i="3"/>
  <c r="A24" i="3"/>
  <c r="A25" i="3"/>
  <c r="A26" i="3"/>
  <c r="AQ26" i="3" s="1"/>
  <c r="A27" i="3"/>
  <c r="A36"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s="1"/>
  <c r="B41" i="2"/>
  <c r="A238" i="2"/>
  <c r="A241" i="2"/>
  <c r="B241" i="2"/>
  <c r="A243" i="2"/>
  <c r="A258" i="2"/>
  <c r="AQ27" i="3"/>
  <c r="AQ21" i="3"/>
  <c r="AQ19" i="3"/>
  <c r="B278" i="2"/>
  <c r="AR22" i="3"/>
  <c r="AQ20" i="3"/>
  <c r="B22" i="3"/>
  <c r="AR27" i="3"/>
  <c r="AQ22" i="3"/>
  <c r="AR19" i="3"/>
  <c r="AR23" i="3"/>
  <c r="AL152" i="4"/>
  <c r="A35" i="3"/>
  <c r="A28" i="3"/>
  <c r="B4" i="11"/>
  <c r="D4" i="11" s="1"/>
  <c r="B6" i="11" s="1"/>
  <c r="D6" i="11" s="1"/>
  <c r="AR26" i="3"/>
  <c r="A29" i="3"/>
  <c r="AQ29" i="3" s="1"/>
  <c r="B26" i="3"/>
  <c r="H10" i="4"/>
  <c r="H70" i="4"/>
  <c r="H74" i="4"/>
  <c r="H102" i="4"/>
  <c r="H106" i="4"/>
  <c r="H122" i="4"/>
  <c r="H126" i="4"/>
  <c r="H130" i="4"/>
  <c r="H134" i="4"/>
  <c r="H138" i="4"/>
  <c r="H198" i="4"/>
  <c r="H202" i="4"/>
  <c r="H43" i="4"/>
  <c r="H51" i="4"/>
  <c r="H79" i="4"/>
  <c r="H87" i="4"/>
  <c r="H99" i="4"/>
  <c r="H107" i="4"/>
  <c r="H115" i="4"/>
  <c r="H25" i="4"/>
  <c r="H29" i="4"/>
  <c r="H57" i="4"/>
  <c r="H61" i="4"/>
  <c r="H77" i="4"/>
  <c r="H81" i="4"/>
  <c r="H85" i="4"/>
  <c r="H89" i="4"/>
  <c r="H93" i="4"/>
  <c r="H153" i="4"/>
  <c r="H157" i="4"/>
  <c r="H185" i="4"/>
  <c r="H189" i="4"/>
  <c r="H205" i="4"/>
  <c r="H209" i="4"/>
  <c r="H15" i="4"/>
  <c r="H19" i="4"/>
  <c r="H27" i="4"/>
  <c r="H151" i="4"/>
  <c r="H159" i="4"/>
  <c r="H12" i="4"/>
  <c r="H16" i="4"/>
  <c r="H80" i="4"/>
  <c r="H96" i="4"/>
  <c r="H112" i="4"/>
  <c r="H128" i="4"/>
  <c r="H144" i="4"/>
  <c r="H180" i="4"/>
  <c r="H196" i="4"/>
  <c r="H120" i="4"/>
  <c r="H136" i="4"/>
  <c r="H200" i="4"/>
  <c r="H28" i="4"/>
  <c r="H44" i="4"/>
  <c r="H60" i="4"/>
  <c r="H76" i="4"/>
  <c r="AK168" i="4"/>
  <c r="C273" i="2"/>
  <c r="B25" i="4"/>
  <c r="B171" i="2"/>
  <c r="D145" i="2"/>
  <c r="AK65" i="4"/>
  <c r="AK62" i="4"/>
  <c r="AK69" i="4"/>
  <c r="AR29" i="3"/>
  <c r="B29" i="3"/>
  <c r="AQ31" i="3"/>
  <c r="AR31" i="3"/>
  <c r="B27" i="3"/>
  <c r="B28" i="3"/>
  <c r="AR28" i="3"/>
  <c r="AQ28" i="3"/>
  <c r="B35" i="3"/>
  <c r="AP85" i="4"/>
  <c r="B273" i="2"/>
  <c r="BG17" i="4"/>
  <c r="BG11" i="4"/>
  <c r="BG16" i="4"/>
  <c r="BP16" i="4" s="1"/>
  <c r="BG9" i="4"/>
  <c r="BG15" i="4"/>
  <c r="BG13" i="4"/>
  <c r="BG14" i="4"/>
  <c r="BG12" i="4"/>
  <c r="AH204" i="4"/>
  <c r="AH198" i="4"/>
  <c r="AH121" i="4"/>
  <c r="AH188" i="4"/>
  <c r="AH166" i="4"/>
  <c r="AH132" i="4"/>
  <c r="AH186" i="4"/>
  <c r="BI15" i="4"/>
  <c r="BM15" i="4"/>
  <c r="BP15" i="4"/>
  <c r="BQ15" i="4"/>
  <c r="BJ15" i="4"/>
  <c r="BO15" i="4"/>
  <c r="BN15" i="4"/>
  <c r="BK15" i="4"/>
  <c r="BL15" i="4"/>
  <c r="BH15" i="4"/>
  <c r="BI9" i="4"/>
  <c r="BK16" i="4"/>
  <c r="BQ16" i="4"/>
  <c r="BI16" i="4"/>
  <c r="BO16" i="4"/>
  <c r="BN16" i="4"/>
  <c r="BJ11" i="4"/>
  <c r="BN11" i="4"/>
  <c r="BQ11" i="4"/>
  <c r="BO11" i="4"/>
  <c r="BL11" i="4"/>
  <c r="BM11" i="4"/>
  <c r="BI11" i="4"/>
  <c r="BK11" i="4"/>
  <c r="BP11" i="4"/>
  <c r="BH11" i="4"/>
  <c r="BJ13" i="4"/>
  <c r="BQ13" i="4"/>
  <c r="BK13" i="4"/>
  <c r="BK17" i="4"/>
  <c r="BP17" i="4"/>
  <c r="BM17" i="4"/>
  <c r="BO17" i="4"/>
  <c r="BN17" i="4"/>
  <c r="BL17" i="4"/>
  <c r="BH17" i="4"/>
  <c r="BQ17" i="4"/>
  <c r="BI17" i="4"/>
  <c r="BJ17" i="4"/>
  <c r="AH184" i="4"/>
  <c r="AH139" i="4"/>
  <c r="AH141" i="4"/>
  <c r="AH154" i="4"/>
  <c r="AH201" i="4"/>
  <c r="AH127" i="4"/>
  <c r="AH183" i="4"/>
  <c r="AH205" i="4"/>
  <c r="AH125" i="4"/>
  <c r="AH208" i="4"/>
  <c r="AH32" i="4"/>
  <c r="AH179" i="4"/>
  <c r="AH171" i="4"/>
  <c r="AH134" i="4"/>
  <c r="AH150" i="4"/>
  <c r="AH119" i="4"/>
  <c r="AH138" i="4"/>
  <c r="AH200" i="4"/>
  <c r="AH29" i="4"/>
  <c r="AH170" i="4"/>
  <c r="AH192" i="4"/>
  <c r="AH118" i="4"/>
  <c r="AH71" i="4"/>
  <c r="AH89" i="4"/>
  <c r="AH81" i="4"/>
  <c r="AH51" i="4"/>
  <c r="AH108" i="4"/>
  <c r="AH92" i="4"/>
  <c r="AH56" i="4"/>
  <c r="AH88" i="4"/>
  <c r="AH22" i="4"/>
  <c r="AH37" i="4"/>
  <c r="AH27" i="4"/>
  <c r="AH99" i="4"/>
  <c r="AH15" i="4"/>
  <c r="AH28" i="4"/>
  <c r="AH16" i="4"/>
  <c r="AH72" i="4"/>
  <c r="AH177" i="4"/>
  <c r="AH160" i="4"/>
  <c r="AH155" i="4"/>
  <c r="AH187" i="4"/>
  <c r="AH33" i="4"/>
  <c r="AH95" i="4"/>
  <c r="AH55" i="4"/>
  <c r="AH21" i="4"/>
  <c r="AH161" i="4"/>
  <c r="AH122" i="4"/>
  <c r="AH128" i="4"/>
  <c r="AH182" i="4"/>
  <c r="AH144" i="4"/>
  <c r="AH133" i="4"/>
  <c r="AH176" i="4"/>
  <c r="AH190" i="4"/>
  <c r="AH168" i="4"/>
  <c r="AH162" i="4"/>
  <c r="AH202" i="4"/>
  <c r="AH111" i="4"/>
  <c r="AH191" i="4"/>
  <c r="AH135" i="4"/>
  <c r="AH158" i="4"/>
  <c r="AH203" i="4"/>
  <c r="AH120" i="4"/>
  <c r="AH123" i="4"/>
  <c r="AH163" i="4"/>
  <c r="AH145" i="4"/>
  <c r="AH197" i="4"/>
  <c r="AH199" i="4"/>
  <c r="AH189" i="4"/>
  <c r="AH196" i="4"/>
  <c r="AH113" i="4"/>
  <c r="AH157" i="4"/>
  <c r="AH209" i="4"/>
  <c r="AH137" i="4"/>
  <c r="AH207" i="4"/>
  <c r="AH52" i="4"/>
  <c r="AH101" i="4"/>
  <c r="AH42" i="4"/>
  <c r="AH30" i="4"/>
  <c r="AH126" i="4"/>
  <c r="AH164" i="4"/>
  <c r="AH172" i="4"/>
  <c r="AH167" i="4"/>
  <c r="AH194" i="4"/>
  <c r="AH173" i="4"/>
  <c r="AH169" i="4"/>
  <c r="AH142" i="4"/>
  <c r="AH149" i="4"/>
  <c r="AH185" i="4"/>
  <c r="AH195" i="4"/>
  <c r="AH112" i="4"/>
  <c r="AH206" i="4"/>
  <c r="AH129" i="4"/>
  <c r="AH178" i="4"/>
  <c r="AH153" i="4"/>
  <c r="AH115" i="4"/>
  <c r="AH181" i="4"/>
  <c r="AH152" i="4"/>
  <c r="AH117" i="4"/>
  <c r="AH174" i="4"/>
  <c r="AH131" i="4"/>
  <c r="AH147" i="4"/>
  <c r="AH10" i="4"/>
  <c r="AH107" i="4"/>
  <c r="AH75" i="4"/>
  <c r="AH87" i="4"/>
  <c r="AH165" i="4"/>
  <c r="AH110" i="4"/>
  <c r="AH159" i="4"/>
  <c r="AH116" i="4"/>
  <c r="AH124" i="4"/>
  <c r="AH114" i="4"/>
  <c r="AH130" i="4"/>
  <c r="AH180" i="4"/>
  <c r="AH175" i="4"/>
  <c r="AH146" i="4"/>
  <c r="AH143" i="4"/>
  <c r="AH148" i="4"/>
  <c r="AH151" i="4"/>
  <c r="AH140" i="4"/>
  <c r="AH156" i="4"/>
  <c r="AH193" i="4"/>
  <c r="AH136" i="4"/>
  <c r="AH23" i="4"/>
  <c r="AH60" i="4"/>
  <c r="AH31" i="4"/>
  <c r="AH9" i="4"/>
  <c r="AH26" i="4"/>
  <c r="AH80" i="4"/>
  <c r="AH100" i="4"/>
  <c r="AH41" i="4"/>
  <c r="AH18" i="4"/>
  <c r="AH105" i="4"/>
  <c r="AH35" i="4"/>
  <c r="AH24" i="4"/>
  <c r="AH69" i="4"/>
  <c r="AH57" i="4"/>
  <c r="AH54" i="4"/>
  <c r="AH82" i="4"/>
  <c r="AH104" i="4"/>
  <c r="AH48" i="4"/>
  <c r="AH47" i="4"/>
  <c r="AH25" i="4"/>
  <c r="AH109" i="4"/>
  <c r="AH62" i="4"/>
  <c r="AH59" i="4"/>
  <c r="AH50" i="4"/>
  <c r="AH76" i="4"/>
  <c r="AH36" i="4"/>
  <c r="AH93" i="4"/>
  <c r="AH40" i="4"/>
  <c r="AH17" i="4"/>
  <c r="AH106" i="4"/>
  <c r="AH44" i="4"/>
  <c r="AH11" i="4"/>
  <c r="AH43" i="4"/>
  <c r="AH97" i="4"/>
  <c r="AH98" i="4"/>
  <c r="AH84" i="4"/>
  <c r="AH67" i="4"/>
  <c r="AH49" i="4"/>
  <c r="AH102" i="4"/>
  <c r="AH61" i="4"/>
  <c r="AH39" i="4"/>
  <c r="AH14" i="4"/>
  <c r="AH64" i="4"/>
  <c r="AH77" i="4"/>
  <c r="AH85" i="4"/>
  <c r="AH79" i="4"/>
  <c r="AH38" i="4"/>
  <c r="AH86" i="4"/>
  <c r="AH53" i="4"/>
  <c r="AH94" i="4"/>
  <c r="AH58" i="4"/>
  <c r="AH96" i="4"/>
  <c r="AH20" i="4"/>
  <c r="AH83" i="4"/>
  <c r="AH74" i="4"/>
  <c r="AH91" i="4"/>
  <c r="AH103" i="4"/>
  <c r="AH66" i="4"/>
  <c r="AH13" i="4"/>
  <c r="AH46" i="4"/>
  <c r="AH70" i="4"/>
  <c r="AH78" i="4"/>
  <c r="AH34" i="4"/>
  <c r="AH90" i="4"/>
  <c r="AH63" i="4"/>
  <c r="AH73" i="4"/>
  <c r="AH19" i="4"/>
  <c r="AH68" i="4"/>
  <c r="AH12" i="4"/>
  <c r="AH45" i="4"/>
  <c r="AH65" i="4"/>
  <c r="D59" i="16"/>
  <c r="J295" i="3" l="1"/>
  <c r="B131" i="2"/>
  <c r="J462" i="3" s="1"/>
  <c r="AK148" i="4"/>
  <c r="AK158" i="4"/>
  <c r="J413" i="3"/>
  <c r="J370" i="3"/>
  <c r="J534" i="3"/>
  <c r="J151" i="3"/>
  <c r="J251" i="3"/>
  <c r="J504" i="3"/>
  <c r="J91" i="3"/>
  <c r="J230" i="3"/>
  <c r="J670" i="3"/>
  <c r="J160" i="3"/>
  <c r="AK17" i="4"/>
  <c r="AK171" i="4"/>
  <c r="J231" i="3"/>
  <c r="J10" i="3"/>
  <c r="J209" i="3"/>
  <c r="J620" i="3"/>
  <c r="J118" i="3"/>
  <c r="J417" i="3"/>
  <c r="AK9" i="4"/>
  <c r="AK166" i="4"/>
  <c r="J264" i="3"/>
  <c r="J382" i="3"/>
  <c r="J475" i="3"/>
  <c r="J415" i="3"/>
  <c r="J272" i="3"/>
  <c r="J51" i="3"/>
  <c r="J263" i="3"/>
  <c r="B280" i="2"/>
  <c r="AK165" i="4"/>
  <c r="H152" i="4"/>
  <c r="H32" i="4"/>
  <c r="I32" i="4" s="1"/>
  <c r="J32" i="4" s="1"/>
  <c r="L32" i="4" s="1"/>
  <c r="H193" i="4"/>
  <c r="I193" i="4" s="1"/>
  <c r="J193" i="4" s="1"/>
  <c r="L193" i="4" s="1"/>
  <c r="H65" i="4"/>
  <c r="H59" i="4"/>
  <c r="H110" i="4"/>
  <c r="J153" i="3"/>
  <c r="J33" i="3"/>
  <c r="J349" i="3"/>
  <c r="J483" i="3"/>
  <c r="J659" i="3"/>
  <c r="J191" i="3"/>
  <c r="J610" i="3"/>
  <c r="J468" i="3"/>
  <c r="J603" i="3"/>
  <c r="AK125" i="4"/>
  <c r="H164" i="4"/>
  <c r="AI164" i="4" s="1"/>
  <c r="H143" i="4"/>
  <c r="AJ143" i="4" s="1"/>
  <c r="H149" i="4"/>
  <c r="H21" i="4"/>
  <c r="H194" i="4"/>
  <c r="H66" i="4"/>
  <c r="J12" i="3"/>
  <c r="J215" i="3"/>
  <c r="J314" i="3"/>
  <c r="J352" i="3"/>
  <c r="J285" i="3"/>
  <c r="J521" i="3"/>
  <c r="J583" i="3"/>
  <c r="J514" i="3"/>
  <c r="J597" i="3"/>
  <c r="J277" i="3"/>
  <c r="J405" i="3"/>
  <c r="J363" i="3"/>
  <c r="J356" i="3"/>
  <c r="J538" i="3"/>
  <c r="J156" i="3"/>
  <c r="J146" i="3"/>
  <c r="AK36" i="4"/>
  <c r="AK110" i="4"/>
  <c r="H148" i="4"/>
  <c r="H135" i="4"/>
  <c r="AP135" i="4" s="1"/>
  <c r="H145" i="4"/>
  <c r="H17" i="4"/>
  <c r="H190" i="4"/>
  <c r="H62" i="4"/>
  <c r="AJ62" i="4" s="1"/>
  <c r="J129" i="3"/>
  <c r="J256" i="3"/>
  <c r="J259" i="3"/>
  <c r="J204" i="3"/>
  <c r="J252" i="3"/>
  <c r="J379" i="3"/>
  <c r="J49" i="3"/>
  <c r="J22" i="3"/>
  <c r="J439" i="3"/>
  <c r="J499" i="3"/>
  <c r="J88" i="3"/>
  <c r="J107" i="3"/>
  <c r="J600" i="3"/>
  <c r="J664" i="3"/>
  <c r="AK137" i="4"/>
  <c r="J564" i="3"/>
  <c r="J119" i="3"/>
  <c r="J185" i="3"/>
  <c r="J425" i="3"/>
  <c r="J149" i="3"/>
  <c r="J222" i="3"/>
  <c r="J624" i="3"/>
  <c r="J57" i="3"/>
  <c r="J423" i="3"/>
  <c r="AK105" i="4"/>
  <c r="AJ425" i="3"/>
  <c r="AK131" i="4"/>
  <c r="H132" i="4"/>
  <c r="H127" i="4"/>
  <c r="H141" i="4"/>
  <c r="I141" i="4" s="1"/>
  <c r="J141" i="4" s="1"/>
  <c r="X141" i="4" s="1"/>
  <c r="Y141" i="4" s="1"/>
  <c r="H13" i="4"/>
  <c r="AP13" i="4" s="1"/>
  <c r="H186" i="4"/>
  <c r="H58" i="4"/>
  <c r="J436" i="3"/>
  <c r="J402" i="3"/>
  <c r="J198" i="3"/>
  <c r="J247" i="3"/>
  <c r="J584" i="3"/>
  <c r="J449" i="3"/>
  <c r="J311" i="3"/>
  <c r="J21" i="3"/>
  <c r="J210" i="3"/>
  <c r="J511" i="3"/>
  <c r="AK43" i="4"/>
  <c r="AK112" i="4"/>
  <c r="H84" i="4"/>
  <c r="AI84" i="4" s="1"/>
  <c r="H103" i="4"/>
  <c r="H129" i="4"/>
  <c r="H191" i="4"/>
  <c r="H174" i="4"/>
  <c r="H46" i="4"/>
  <c r="J165" i="3"/>
  <c r="J130" i="3"/>
  <c r="J549" i="3"/>
  <c r="J42" i="3"/>
  <c r="J302" i="3"/>
  <c r="J501" i="3"/>
  <c r="J368" i="3"/>
  <c r="J479" i="3"/>
  <c r="J19" i="3"/>
  <c r="AK48" i="4"/>
  <c r="H204" i="4"/>
  <c r="H68" i="4"/>
  <c r="H95" i="4"/>
  <c r="H125" i="4"/>
  <c r="H183" i="4"/>
  <c r="H170" i="4"/>
  <c r="AJ170" i="4" s="1"/>
  <c r="H42" i="4"/>
  <c r="J242" i="3"/>
  <c r="J576" i="3"/>
  <c r="J296" i="3"/>
  <c r="J248" i="3"/>
  <c r="J676" i="3"/>
  <c r="J166" i="3"/>
  <c r="AJ433" i="3"/>
  <c r="J73" i="3"/>
  <c r="J655" i="3"/>
  <c r="J183" i="3"/>
  <c r="AK142" i="4"/>
  <c r="J441" i="3"/>
  <c r="J23" i="3"/>
  <c r="J590" i="3"/>
  <c r="J55" i="3"/>
  <c r="J663" i="3"/>
  <c r="AK104" i="4"/>
  <c r="AK167" i="4"/>
  <c r="AJ499" i="3"/>
  <c r="J133" i="3"/>
  <c r="J278" i="3"/>
  <c r="J122" i="3"/>
  <c r="J266" i="3"/>
  <c r="J448" i="3"/>
  <c r="J196" i="3"/>
  <c r="J325" i="3"/>
  <c r="J267" i="3"/>
  <c r="AK53" i="4"/>
  <c r="H188" i="4"/>
  <c r="H52" i="4"/>
  <c r="H91" i="4"/>
  <c r="H121" i="4"/>
  <c r="AJ121" i="4" s="1"/>
  <c r="H171" i="4"/>
  <c r="H166" i="4"/>
  <c r="H38" i="4"/>
  <c r="AM63" i="4"/>
  <c r="AJ217" i="3"/>
  <c r="AJ47" i="3"/>
  <c r="AJ483" i="3"/>
  <c r="AJ673" i="3"/>
  <c r="AJ166" i="3"/>
  <c r="AJ341" i="3"/>
  <c r="AJ661" i="3"/>
  <c r="AJ638" i="3"/>
  <c r="AJ645" i="3"/>
  <c r="AJ17" i="3"/>
  <c r="AJ558" i="3"/>
  <c r="AJ30" i="3"/>
  <c r="AJ73" i="3"/>
  <c r="AJ686" i="3"/>
  <c r="AJ186" i="3"/>
  <c r="AJ665" i="3"/>
  <c r="AJ170" i="3"/>
  <c r="AJ12" i="3"/>
  <c r="AJ632" i="3"/>
  <c r="AJ653" i="3"/>
  <c r="AJ305" i="3"/>
  <c r="AJ608" i="3"/>
  <c r="AJ116" i="3"/>
  <c r="AJ623" i="3"/>
  <c r="AJ380" i="3"/>
  <c r="AJ177" i="3"/>
  <c r="AJ650" i="3"/>
  <c r="AJ32" i="3"/>
  <c r="AJ662" i="3"/>
  <c r="AJ110" i="3"/>
  <c r="AJ599" i="3"/>
  <c r="AJ215" i="3"/>
  <c r="AJ359" i="3"/>
  <c r="AJ160" i="3"/>
  <c r="AJ85" i="3"/>
  <c r="AJ667" i="3"/>
  <c r="AJ640" i="3"/>
  <c r="AJ51" i="3"/>
  <c r="AJ106" i="3"/>
  <c r="AJ519" i="3"/>
  <c r="AJ199" i="3"/>
  <c r="AJ176" i="3"/>
  <c r="AJ40" i="3"/>
  <c r="AJ440" i="3"/>
  <c r="AJ575" i="3"/>
  <c r="AJ100" i="3"/>
  <c r="AJ119" i="3"/>
  <c r="AJ183" i="3"/>
  <c r="AJ669" i="3"/>
  <c r="AJ192" i="3"/>
  <c r="AJ104" i="3"/>
  <c r="AJ684" i="3"/>
  <c r="AJ204" i="3"/>
  <c r="AJ525" i="3"/>
  <c r="AJ464" i="3"/>
  <c r="AJ541" i="3"/>
  <c r="AJ557" i="3"/>
  <c r="AJ25" i="3"/>
  <c r="AJ573" i="3"/>
  <c r="AJ646" i="3"/>
  <c r="AJ644" i="3"/>
  <c r="AJ654" i="3"/>
  <c r="AJ544" i="3"/>
  <c r="AJ84" i="3"/>
  <c r="AJ157" i="3"/>
  <c r="AJ167" i="3"/>
  <c r="AJ593" i="3"/>
  <c r="AJ208" i="3"/>
  <c r="AJ168" i="3"/>
  <c r="AJ432" i="3"/>
  <c r="AJ424" i="3"/>
  <c r="AJ546" i="3"/>
  <c r="AJ636" i="3"/>
  <c r="AJ249" i="3"/>
  <c r="AJ33" i="3"/>
  <c r="AJ269" i="3"/>
  <c r="AJ515" i="3"/>
  <c r="AJ173" i="3"/>
  <c r="AJ384" i="3"/>
  <c r="AJ448" i="3"/>
  <c r="AJ417" i="3"/>
  <c r="AJ416" i="3"/>
  <c r="AJ375" i="3"/>
  <c r="AJ609" i="3"/>
  <c r="AJ405" i="3"/>
  <c r="AJ335" i="3"/>
  <c r="AJ86" i="3"/>
  <c r="AJ333" i="3"/>
  <c r="AJ144" i="3"/>
  <c r="AJ513" i="3"/>
  <c r="AJ227" i="3"/>
  <c r="AJ313" i="3"/>
  <c r="AJ630" i="3"/>
  <c r="AJ376" i="3"/>
  <c r="AJ459" i="3"/>
  <c r="AJ182" i="3"/>
  <c r="AJ649" i="3"/>
  <c r="AJ205" i="3"/>
  <c r="AJ402" i="3"/>
  <c r="AJ617" i="3"/>
  <c r="AJ38" i="3"/>
  <c r="AJ210" i="3"/>
  <c r="AJ213" i="3"/>
  <c r="AJ531" i="3"/>
  <c r="AJ231" i="3"/>
  <c r="AJ412" i="3"/>
  <c r="AJ540" i="3"/>
  <c r="AJ648" i="3"/>
  <c r="AJ509" i="3"/>
  <c r="AJ169" i="3"/>
  <c r="AJ189" i="3"/>
  <c r="AJ99" i="3"/>
  <c r="AJ398" i="3"/>
  <c r="AJ566" i="3"/>
  <c r="AJ625" i="3"/>
  <c r="AJ225" i="3"/>
  <c r="AJ37" i="3"/>
  <c r="AJ122" i="3"/>
  <c r="AJ206" i="3"/>
  <c r="AJ292" i="3"/>
  <c r="AJ72" i="3"/>
  <c r="AJ41" i="3"/>
  <c r="AJ259" i="3"/>
  <c r="AJ443" i="3"/>
  <c r="AJ637" i="3"/>
  <c r="AJ35" i="3"/>
  <c r="AJ191" i="3"/>
  <c r="AJ36" i="3"/>
  <c r="AJ550" i="3"/>
  <c r="AJ387" i="3"/>
  <c r="AJ468" i="3"/>
  <c r="AJ397" i="3"/>
  <c r="AJ470" i="3"/>
  <c r="AJ158" i="3"/>
  <c r="AJ241" i="3"/>
  <c r="AJ153" i="3"/>
  <c r="AJ131" i="3"/>
  <c r="AJ379" i="3"/>
  <c r="AJ538" i="3"/>
  <c r="AJ21" i="3"/>
  <c r="AJ574" i="3"/>
  <c r="AJ294" i="3"/>
  <c r="AJ348" i="3"/>
  <c r="AJ676" i="3"/>
  <c r="AJ487" i="3"/>
  <c r="AJ641" i="3"/>
  <c r="AJ78" i="3"/>
  <c r="AJ334" i="3"/>
  <c r="AJ71" i="3"/>
  <c r="AJ253" i="3"/>
  <c r="AJ373" i="3"/>
  <c r="AJ88" i="3"/>
  <c r="AJ293" i="3"/>
  <c r="AJ256" i="3"/>
  <c r="AJ506" i="3"/>
  <c r="AJ613" i="3"/>
  <c r="AJ123" i="3"/>
  <c r="AJ101" i="3"/>
  <c r="AJ171" i="3"/>
  <c r="AJ127" i="3"/>
  <c r="AJ306" i="3"/>
  <c r="AJ107" i="3"/>
  <c r="AJ565" i="3"/>
  <c r="AJ475" i="3"/>
  <c r="AJ303" i="3"/>
  <c r="AJ671" i="3"/>
  <c r="AJ352" i="3"/>
  <c r="AJ551" i="3"/>
  <c r="AJ655" i="3"/>
  <c r="AJ469" i="3"/>
  <c r="AJ271" i="3"/>
  <c r="AJ44" i="3"/>
  <c r="AJ423" i="3"/>
  <c r="AJ128" i="3"/>
  <c r="AJ577" i="3"/>
  <c r="AJ163" i="3"/>
  <c r="AJ357" i="3"/>
  <c r="AJ616" i="3"/>
  <c r="AJ360" i="3"/>
  <c r="AJ427" i="3"/>
  <c r="AJ162" i="3"/>
  <c r="AJ626" i="3"/>
  <c r="AJ317" i="3"/>
  <c r="AJ422" i="3"/>
  <c r="AJ569" i="3"/>
  <c r="AJ50" i="3"/>
  <c r="AJ220" i="3"/>
  <c r="AJ245" i="3"/>
  <c r="AJ547" i="3"/>
  <c r="AJ247" i="3"/>
  <c r="AJ420" i="3"/>
  <c r="AJ548" i="3"/>
  <c r="AJ652" i="3"/>
  <c r="AJ493" i="3"/>
  <c r="AJ137" i="3"/>
  <c r="AJ221" i="3"/>
  <c r="AJ139" i="3"/>
  <c r="AJ406" i="3"/>
  <c r="AJ578" i="3"/>
  <c r="AJ601" i="3"/>
  <c r="AJ193" i="3"/>
  <c r="AJ42" i="3"/>
  <c r="AJ126" i="3"/>
  <c r="AJ212" i="3"/>
  <c r="AJ298" i="3"/>
  <c r="AJ606" i="3"/>
  <c r="AJ624" i="3"/>
  <c r="AJ288" i="3"/>
  <c r="AJ351" i="3"/>
  <c r="AJ133" i="3"/>
  <c r="AJ370" i="3"/>
  <c r="AJ284" i="3"/>
  <c r="AJ43" i="3"/>
  <c r="AJ596" i="3"/>
  <c r="AJ455" i="3"/>
  <c r="AJ635" i="3"/>
  <c r="AJ74" i="3"/>
  <c r="AJ244" i="3"/>
  <c r="AJ194" i="3"/>
  <c r="AJ562" i="3"/>
  <c r="AJ159" i="3"/>
  <c r="AJ315" i="3"/>
  <c r="AJ209" i="3"/>
  <c r="AJ403" i="3"/>
  <c r="AJ476" i="3"/>
  <c r="AJ381" i="3"/>
  <c r="AJ283" i="3"/>
  <c r="AJ457" i="3"/>
  <c r="AJ164" i="3"/>
  <c r="AJ322" i="3"/>
  <c r="AJ603" i="3"/>
  <c r="AJ586" i="3"/>
  <c r="AJ239" i="3"/>
  <c r="AJ312" i="3"/>
  <c r="AJ618" i="3"/>
  <c r="AJ533" i="3"/>
  <c r="AJ207" i="3"/>
  <c r="AJ13" i="3"/>
  <c r="AJ503" i="3"/>
  <c r="AJ112" i="3"/>
  <c r="AJ682" i="3"/>
  <c r="AJ67" i="3"/>
  <c r="AJ389" i="3"/>
  <c r="AJ600" i="3"/>
  <c r="AJ344" i="3"/>
  <c r="AJ395" i="3"/>
  <c r="AJ140" i="3"/>
  <c r="AJ582" i="3"/>
  <c r="AJ391" i="3"/>
  <c r="AJ446" i="3"/>
  <c r="AJ529" i="3"/>
  <c r="AJ60" i="3"/>
  <c r="AJ230" i="3"/>
  <c r="AJ277" i="3"/>
  <c r="AJ563" i="3"/>
  <c r="AJ263" i="3"/>
  <c r="AJ428" i="3"/>
  <c r="AJ556" i="3"/>
  <c r="AJ656" i="3"/>
  <c r="AJ477" i="3"/>
  <c r="AJ79" i="3"/>
  <c r="AJ285" i="3"/>
  <c r="AJ155" i="3"/>
  <c r="AJ418" i="3"/>
  <c r="AJ590" i="3"/>
  <c r="AJ585" i="3"/>
  <c r="AJ145" i="3"/>
  <c r="AJ46" i="3"/>
  <c r="AJ132" i="3"/>
  <c r="AJ218" i="3"/>
  <c r="AJ302" i="3"/>
  <c r="AJ570" i="3"/>
  <c r="AJ685" i="3"/>
  <c r="AJ237" i="3"/>
  <c r="AJ19" i="3"/>
  <c r="AJ434" i="3"/>
  <c r="AJ347" i="3"/>
  <c r="AJ458" i="3"/>
  <c r="AJ91" i="3"/>
  <c r="AJ280" i="3"/>
  <c r="AJ554" i="3"/>
  <c r="AJ597" i="3"/>
  <c r="AJ143" i="3"/>
  <c r="AJ61" i="3"/>
  <c r="AJ591" i="3"/>
  <c r="AJ96" i="3"/>
  <c r="AJ663" i="3"/>
  <c r="AJ607" i="3"/>
  <c r="AJ421" i="3"/>
  <c r="AJ584" i="3"/>
  <c r="AJ319" i="3"/>
  <c r="AJ363" i="3"/>
  <c r="AJ118" i="3"/>
  <c r="AJ542" i="3"/>
  <c r="AJ439" i="3"/>
  <c r="AJ466" i="3"/>
  <c r="AJ489" i="3"/>
  <c r="AJ70" i="3"/>
  <c r="AJ242" i="3"/>
  <c r="AJ309" i="3"/>
  <c r="AJ579" i="3"/>
  <c r="AJ279" i="3"/>
  <c r="AJ436" i="3"/>
  <c r="AJ564" i="3"/>
  <c r="AJ660" i="3"/>
  <c r="AJ461" i="3"/>
  <c r="AJ129" i="3"/>
  <c r="AJ343" i="3"/>
  <c r="AJ179" i="3"/>
  <c r="AJ430" i="3"/>
  <c r="AJ598" i="3"/>
  <c r="AJ561" i="3"/>
  <c r="AJ63" i="3"/>
  <c r="AJ52" i="3"/>
  <c r="AJ138" i="3"/>
  <c r="AJ222" i="3"/>
  <c r="AJ308" i="3"/>
  <c r="AJ9" i="3"/>
  <c r="AJ152" i="3"/>
  <c r="AJ26" i="3"/>
  <c r="AJ473" i="3"/>
  <c r="AJ504" i="3"/>
  <c r="AJ175" i="3"/>
  <c r="AJ463" i="3"/>
  <c r="AJ236" i="3"/>
  <c r="AJ323" i="3"/>
  <c r="AJ539" i="3"/>
  <c r="AJ248" i="3"/>
  <c r="AJ490" i="3"/>
  <c r="AJ687" i="3"/>
  <c r="AJ14" i="3"/>
  <c r="AJ257" i="3"/>
  <c r="AJ336" i="3"/>
  <c r="AJ80" i="3"/>
  <c r="AJ647" i="3"/>
  <c r="AJ543" i="3"/>
  <c r="AJ453" i="3"/>
  <c r="AJ568" i="3"/>
  <c r="AJ287" i="3"/>
  <c r="AJ325" i="3"/>
  <c r="AJ98" i="3"/>
  <c r="AJ498" i="3"/>
  <c r="AJ495" i="3"/>
  <c r="AJ486" i="3"/>
  <c r="AJ441" i="3"/>
  <c r="AJ82" i="3"/>
  <c r="AJ252" i="3"/>
  <c r="AJ339" i="3"/>
  <c r="AJ595" i="3"/>
  <c r="AJ295" i="3"/>
  <c r="AJ444" i="3"/>
  <c r="AJ572" i="3"/>
  <c r="AJ664" i="3"/>
  <c r="AJ445" i="3"/>
  <c r="AJ113" i="3"/>
  <c r="AJ367" i="3"/>
  <c r="AJ203" i="3"/>
  <c r="AJ438" i="3"/>
  <c r="AJ610" i="3"/>
  <c r="AJ537" i="3"/>
  <c r="AJ109" i="3"/>
  <c r="AJ58" i="3"/>
  <c r="AJ142" i="3"/>
  <c r="AJ228" i="3"/>
  <c r="AJ314" i="3"/>
  <c r="AJ522" i="3"/>
  <c r="AJ114" i="3"/>
  <c r="AJ24" i="3"/>
  <c r="AJ150" i="3"/>
  <c r="AJ328" i="3"/>
  <c r="AJ66" i="3"/>
  <c r="R10" i="8"/>
  <c r="S10" i="8" s="1"/>
  <c r="AJ411" i="3"/>
  <c r="AJ216" i="3"/>
  <c r="AJ426" i="3"/>
  <c r="AJ658" i="3"/>
  <c r="AJ571" i="3"/>
  <c r="AJ465" i="3"/>
  <c r="AJ320" i="3"/>
  <c r="AJ64" i="3"/>
  <c r="AJ631" i="3"/>
  <c r="AJ479" i="3"/>
  <c r="AJ485" i="3"/>
  <c r="AJ552" i="3"/>
  <c r="AJ255" i="3"/>
  <c r="AJ261" i="3"/>
  <c r="AJ76" i="3"/>
  <c r="AJ454" i="3"/>
  <c r="AJ559" i="3"/>
  <c r="AJ510" i="3"/>
  <c r="AJ401" i="3"/>
  <c r="AJ92" i="3"/>
  <c r="AJ262" i="3"/>
  <c r="AJ355" i="3"/>
  <c r="AJ611" i="3"/>
  <c r="AJ311" i="3"/>
  <c r="AJ452" i="3"/>
  <c r="AJ580" i="3"/>
  <c r="AJ668" i="3"/>
  <c r="AJ429" i="3"/>
  <c r="AJ97" i="3"/>
  <c r="AJ399" i="3"/>
  <c r="AJ219" i="3"/>
  <c r="AJ450" i="3"/>
  <c r="AJ622" i="3"/>
  <c r="AJ521" i="3"/>
  <c r="AJ93" i="3"/>
  <c r="AJ62" i="3"/>
  <c r="AJ148" i="3"/>
  <c r="AJ234" i="3"/>
  <c r="AJ318" i="3"/>
  <c r="AJ520" i="3"/>
  <c r="AJ267" i="3"/>
  <c r="AJ581" i="3"/>
  <c r="AJ264" i="3"/>
  <c r="AJ200" i="3"/>
  <c r="AJ18" i="3"/>
  <c r="AJ383" i="3"/>
  <c r="AJ229" i="3"/>
  <c r="AJ184" i="3"/>
  <c r="AJ362" i="3"/>
  <c r="AJ642" i="3"/>
  <c r="AJ507" i="3"/>
  <c r="AJ675" i="3"/>
  <c r="AJ304" i="3"/>
  <c r="AJ48" i="3"/>
  <c r="AJ602" i="3"/>
  <c r="AJ415" i="3"/>
  <c r="AJ517" i="3"/>
  <c r="AJ536" i="3"/>
  <c r="AJ223" i="3"/>
  <c r="AJ197" i="3"/>
  <c r="AJ54" i="3"/>
  <c r="AJ414" i="3"/>
  <c r="AJ615" i="3"/>
  <c r="AJ530" i="3"/>
  <c r="AJ361" i="3"/>
  <c r="AJ102" i="3"/>
  <c r="AJ274" i="3"/>
  <c r="AJ371" i="3"/>
  <c r="AJ627" i="3"/>
  <c r="AJ327" i="3"/>
  <c r="AJ460" i="3"/>
  <c r="AJ588" i="3"/>
  <c r="AJ672" i="3"/>
  <c r="AJ413" i="3"/>
  <c r="AJ81" i="3"/>
  <c r="AJ431" i="3"/>
  <c r="AJ243" i="3"/>
  <c r="AJ462" i="3"/>
  <c r="AJ629" i="3"/>
  <c r="AJ497" i="3"/>
  <c r="AJ69" i="3"/>
  <c r="AJ68" i="3"/>
  <c r="AJ154" i="3"/>
  <c r="AJ238" i="3"/>
  <c r="AJ324" i="3"/>
  <c r="AJ278" i="3"/>
  <c r="AJ549" i="3"/>
  <c r="AJ289" i="3"/>
  <c r="AJ340" i="3"/>
  <c r="AJ65" i="3"/>
  <c r="AJ45" i="3"/>
  <c r="AJ330" i="3"/>
  <c r="AJ512" i="3"/>
  <c r="AJ187" i="3"/>
  <c r="AJ120" i="3"/>
  <c r="AJ592" i="3"/>
  <c r="AJ272" i="3"/>
  <c r="AJ34" i="3"/>
  <c r="AJ115" i="3"/>
  <c r="AJ124" i="3"/>
  <c r="AJ75" i="3"/>
  <c r="AJ604" i="3"/>
  <c r="AJ49" i="3"/>
  <c r="AJ482" i="3"/>
  <c r="AJ22" i="3"/>
  <c r="AJ250" i="3"/>
  <c r="AJ639" i="3"/>
  <c r="AJ108" i="3"/>
  <c r="AJ560" i="3"/>
  <c r="AJ478" i="3"/>
  <c r="AJ11" i="3"/>
  <c r="AJ87" i="3"/>
  <c r="AJ488" i="3"/>
  <c r="AJ332" i="3"/>
  <c r="AJ235" i="3"/>
  <c r="AJ594" i="3"/>
  <c r="AJ134" i="3"/>
  <c r="AJ419" i="3"/>
  <c r="AJ356" i="3"/>
  <c r="AJ612" i="3"/>
  <c r="AJ621" i="3"/>
  <c r="AJ553" i="3"/>
  <c r="AJ394" i="3"/>
  <c r="AJ296" i="3"/>
  <c r="AJ501" i="3"/>
  <c r="AJ28" i="3"/>
  <c r="AJ56" i="3"/>
  <c r="AJ447" i="3"/>
  <c r="AJ528" i="3"/>
  <c r="AJ165" i="3"/>
  <c r="AJ390" i="3"/>
  <c r="AJ240" i="3"/>
  <c r="AJ53" i="3"/>
  <c r="AJ474" i="3"/>
  <c r="AJ57" i="3"/>
  <c r="AJ683" i="3"/>
  <c r="AJ472" i="3"/>
  <c r="AJ59" i="3"/>
  <c r="AJ310" i="3"/>
  <c r="AJ161" i="3"/>
  <c r="AJ147" i="3"/>
  <c r="AJ211" i="3"/>
  <c r="AJ614" i="3"/>
  <c r="AJ125" i="3"/>
  <c r="AJ146" i="3"/>
  <c r="AJ316" i="3"/>
  <c r="AJ435" i="3"/>
  <c r="AJ135" i="3"/>
  <c r="AJ364" i="3"/>
  <c r="AJ492" i="3"/>
  <c r="AJ620" i="3"/>
  <c r="AJ605" i="3"/>
  <c r="AJ349" i="3"/>
  <c r="AJ535" i="3"/>
  <c r="AJ331" i="3"/>
  <c r="AJ502" i="3"/>
  <c r="AJ651" i="3"/>
  <c r="AJ409" i="3"/>
  <c r="AJ15" i="3"/>
  <c r="AJ90" i="3"/>
  <c r="AJ174" i="3"/>
  <c r="AJ260" i="3"/>
  <c r="AJ136" i="3"/>
  <c r="AJ511" i="3"/>
  <c r="AJ232" i="3"/>
  <c r="AJ674" i="3"/>
  <c r="AJ377" i="3"/>
  <c r="AJ29" i="3"/>
  <c r="AJ301" i="3"/>
  <c r="AJ496" i="3"/>
  <c r="AJ300" i="3"/>
  <c r="AJ275" i="3"/>
  <c r="AJ224" i="3"/>
  <c r="AJ117" i="3"/>
  <c r="AJ442" i="3"/>
  <c r="AJ89" i="3"/>
  <c r="AJ670" i="3"/>
  <c r="AJ456" i="3"/>
  <c r="AJ619" i="3"/>
  <c r="AJ290" i="3"/>
  <c r="AJ337" i="3"/>
  <c r="AJ251" i="3"/>
  <c r="AJ633" i="3"/>
  <c r="AJ77" i="3"/>
  <c r="AJ156" i="3"/>
  <c r="AJ326" i="3"/>
  <c r="AJ451" i="3"/>
  <c r="AJ151" i="3"/>
  <c r="AJ372" i="3"/>
  <c r="AJ500" i="3"/>
  <c r="AJ628" i="3"/>
  <c r="AJ589" i="3"/>
  <c r="AJ329" i="3"/>
  <c r="AJ527" i="3"/>
  <c r="AJ567" i="3"/>
  <c r="AJ342" i="3"/>
  <c r="AJ514" i="3"/>
  <c r="AJ657" i="3"/>
  <c r="AJ393" i="3"/>
  <c r="AJ20" i="3"/>
  <c r="AJ94" i="3"/>
  <c r="AJ180" i="3"/>
  <c r="AJ266" i="3"/>
  <c r="AJ226" i="3"/>
  <c r="AJ481" i="3"/>
  <c r="AJ286" i="3"/>
  <c r="AJ407" i="3"/>
  <c r="AJ246" i="3"/>
  <c r="AJ353" i="3"/>
  <c r="AJ526" i="3"/>
  <c r="AJ181" i="3"/>
  <c r="AJ121" i="3"/>
  <c r="AJ437" i="3"/>
  <c r="AJ494" i="3"/>
  <c r="AJ149" i="3"/>
  <c r="AJ491" i="3"/>
  <c r="AJ130" i="3"/>
  <c r="AJ105" i="3"/>
  <c r="AJ270" i="3"/>
  <c r="AJ10" i="3"/>
  <c r="AJ201" i="3"/>
  <c r="AJ508" i="3"/>
  <c r="AJ338" i="3"/>
  <c r="AJ346" i="3"/>
  <c r="AJ172" i="3"/>
  <c r="AJ688" i="3"/>
  <c r="AJ634" i="3"/>
  <c r="AJ254" i="3"/>
  <c r="AJ273" i="3"/>
  <c r="AJ374" i="3"/>
  <c r="AJ233" i="3"/>
  <c r="AJ39" i="3"/>
  <c r="AJ299" i="3"/>
  <c r="AJ555" i="3"/>
  <c r="AJ378" i="3"/>
  <c r="AJ141" i="3"/>
  <c r="AJ281" i="3"/>
  <c r="AJ202" i="3"/>
  <c r="AJ321" i="3"/>
  <c r="AJ366" i="3"/>
  <c r="AJ265" i="3"/>
  <c r="AJ404" i="3"/>
  <c r="AJ198" i="3"/>
  <c r="AJ55" i="3"/>
  <c r="AJ587" i="3"/>
  <c r="AJ410" i="3"/>
  <c r="AJ258" i="3"/>
  <c r="AJ518" i="3"/>
  <c r="AJ195" i="3"/>
  <c r="AJ534" i="3"/>
  <c r="AJ467" i="3"/>
  <c r="AJ111" i="3"/>
  <c r="AJ666" i="3"/>
  <c r="AJ282" i="3"/>
  <c r="AJ382" i="3"/>
  <c r="AJ83" i="3"/>
  <c r="AJ516" i="3"/>
  <c r="AJ103" i="3"/>
  <c r="AJ484" i="3"/>
  <c r="AJ196" i="3"/>
  <c r="AJ297" i="3"/>
  <c r="AJ188" i="3"/>
  <c r="AJ392" i="3"/>
  <c r="AJ449" i="3"/>
  <c r="AJ659" i="3"/>
  <c r="AJ545" i="3"/>
  <c r="AJ185" i="3"/>
  <c r="AJ576" i="3"/>
  <c r="AJ31" i="3"/>
  <c r="AJ532" i="3"/>
  <c r="AJ643" i="3"/>
  <c r="AJ583" i="3"/>
  <c r="AJ27" i="3"/>
  <c r="AJ524" i="3"/>
  <c r="AJ268" i="3"/>
  <c r="AJ95" i="3"/>
  <c r="AJ276" i="3"/>
  <c r="AJ23" i="3"/>
  <c r="AJ358" i="3"/>
  <c r="AJ291" i="3"/>
  <c r="AJ16" i="3"/>
  <c r="AJ386" i="3"/>
  <c r="AJ523" i="3"/>
  <c r="AJ214" i="3"/>
  <c r="AJ345" i="3"/>
  <c r="AJ354" i="3"/>
  <c r="AJ396" i="3"/>
  <c r="AJ368" i="3"/>
  <c r="AJ190" i="3"/>
  <c r="AJ369" i="3"/>
  <c r="AJ307" i="3"/>
  <c r="AJ365" i="3"/>
  <c r="AJ388" i="3"/>
  <c r="AJ178" i="3"/>
  <c r="AJ471" i="3"/>
  <c r="AJ408" i="3"/>
  <c r="AJ385" i="3"/>
  <c r="AJ400" i="3"/>
  <c r="AJ480" i="3"/>
  <c r="B148" i="2"/>
  <c r="C19" i="3" s="1"/>
  <c r="F3" i="8"/>
  <c r="B43" i="2"/>
  <c r="B44" i="2"/>
  <c r="B18" i="4"/>
  <c r="AJ196" i="4"/>
  <c r="H184" i="4"/>
  <c r="H116" i="4"/>
  <c r="H119" i="4"/>
  <c r="I119" i="4" s="1"/>
  <c r="J119" i="4" s="1"/>
  <c r="L119" i="4" s="1"/>
  <c r="H201" i="4"/>
  <c r="H137" i="4"/>
  <c r="AP137" i="4" s="1"/>
  <c r="H73" i="4"/>
  <c r="I73" i="4" s="1"/>
  <c r="J73" i="4" s="1"/>
  <c r="X73" i="4" s="1"/>
  <c r="Y73" i="4" s="1"/>
  <c r="H207" i="4"/>
  <c r="AI207" i="4" s="1"/>
  <c r="H71" i="4"/>
  <c r="H182" i="4"/>
  <c r="AJ182" i="4" s="1"/>
  <c r="H118" i="4"/>
  <c r="AJ118" i="4" s="1"/>
  <c r="H54" i="4"/>
  <c r="I54" i="4" s="1"/>
  <c r="J54" i="4" s="1"/>
  <c r="AD54" i="4" s="1"/>
  <c r="AE54" i="4" s="1"/>
  <c r="H64" i="4"/>
  <c r="AJ64" i="4" s="1"/>
  <c r="B14" i="4"/>
  <c r="H168" i="4"/>
  <c r="I168" i="4" s="1"/>
  <c r="H100" i="4"/>
  <c r="I100" i="4" s="1"/>
  <c r="J100" i="4" s="1"/>
  <c r="K100" i="4" s="1"/>
  <c r="H48" i="4"/>
  <c r="AI48" i="4" s="1"/>
  <c r="H111" i="4"/>
  <c r="H197" i="4"/>
  <c r="I197" i="4" s="1"/>
  <c r="J197" i="4" s="1"/>
  <c r="R197" i="4" s="1"/>
  <c r="S197" i="4" s="1"/>
  <c r="T197" i="4" s="1"/>
  <c r="H133" i="4"/>
  <c r="AI133" i="4" s="1"/>
  <c r="H69" i="4"/>
  <c r="AP69" i="4" s="1"/>
  <c r="H199" i="4"/>
  <c r="H63" i="4"/>
  <c r="I63" i="4" s="1"/>
  <c r="J63" i="4" s="1"/>
  <c r="L63" i="4" s="1"/>
  <c r="H178" i="4"/>
  <c r="AJ178" i="4" s="1"/>
  <c r="H114" i="4"/>
  <c r="H50" i="4"/>
  <c r="AI50" i="4" s="1"/>
  <c r="H104" i="4"/>
  <c r="AP104" i="4" s="1"/>
  <c r="H83" i="4"/>
  <c r="AP83" i="4" s="1"/>
  <c r="H117" i="4"/>
  <c r="AP117" i="4" s="1"/>
  <c r="H163" i="4"/>
  <c r="I163" i="4" s="1"/>
  <c r="J163" i="4" s="1"/>
  <c r="AD163" i="4" s="1"/>
  <c r="AE163" i="4" s="1"/>
  <c r="H162" i="4"/>
  <c r="AP162" i="4" s="1"/>
  <c r="H34" i="4"/>
  <c r="AJ34" i="4" s="1"/>
  <c r="H156" i="4"/>
  <c r="I156" i="4" s="1"/>
  <c r="J156" i="4" s="1"/>
  <c r="K156" i="4" s="1"/>
  <c r="H49" i="4"/>
  <c r="H23" i="4"/>
  <c r="H124" i="4"/>
  <c r="I124" i="4" s="1"/>
  <c r="J124" i="4" s="1"/>
  <c r="AD124" i="4" s="1"/>
  <c r="AE124" i="4" s="1"/>
  <c r="H56" i="4"/>
  <c r="H192" i="4"/>
  <c r="H179" i="4"/>
  <c r="H55" i="4"/>
  <c r="AI55" i="4" s="1"/>
  <c r="H169" i="4"/>
  <c r="H105" i="4"/>
  <c r="AJ105" i="4" s="1"/>
  <c r="H41" i="4"/>
  <c r="AJ41" i="4" s="1"/>
  <c r="H139" i="4"/>
  <c r="AJ139" i="4" s="1"/>
  <c r="H11" i="4"/>
  <c r="I11" i="4" s="1"/>
  <c r="J11" i="4" s="1"/>
  <c r="H150" i="4"/>
  <c r="AI150" i="4" s="1"/>
  <c r="H86" i="4"/>
  <c r="AJ86" i="4" s="1"/>
  <c r="H22" i="4"/>
  <c r="I22" i="4" s="1"/>
  <c r="J22" i="4" s="1"/>
  <c r="K22" i="4" s="1"/>
  <c r="H172" i="4"/>
  <c r="AJ172" i="4" s="1"/>
  <c r="H36" i="4"/>
  <c r="H181" i="4"/>
  <c r="H53" i="4"/>
  <c r="AI53" i="4" s="1"/>
  <c r="H35" i="4"/>
  <c r="H88" i="4"/>
  <c r="H195" i="4"/>
  <c r="H75" i="4"/>
  <c r="AI75" i="4" s="1"/>
  <c r="H113" i="4"/>
  <c r="H155" i="4"/>
  <c r="AP155" i="4" s="1"/>
  <c r="H31" i="4"/>
  <c r="AI31" i="4" s="1"/>
  <c r="H94" i="4"/>
  <c r="AI94" i="4" s="1"/>
  <c r="H30" i="4"/>
  <c r="AI30" i="4" s="1"/>
  <c r="H187" i="4"/>
  <c r="AP187" i="4" s="1"/>
  <c r="H45" i="4"/>
  <c r="AI45" i="4" s="1"/>
  <c r="H108" i="4"/>
  <c r="AJ108" i="4" s="1"/>
  <c r="H40" i="4"/>
  <c r="I40" i="4" s="1"/>
  <c r="H176" i="4"/>
  <c r="H175" i="4"/>
  <c r="H47" i="4"/>
  <c r="AJ47" i="4" s="1"/>
  <c r="H165" i="4"/>
  <c r="H101" i="4"/>
  <c r="H37" i="4"/>
  <c r="I37" i="4" s="1"/>
  <c r="J37" i="4" s="1"/>
  <c r="X37" i="4" s="1"/>
  <c r="Y37" i="4" s="1"/>
  <c r="H131" i="4"/>
  <c r="I131" i="4" s="1"/>
  <c r="H9" i="4"/>
  <c r="H146" i="4"/>
  <c r="AP146" i="4" s="1"/>
  <c r="H82" i="4"/>
  <c r="AJ82" i="4" s="1"/>
  <c r="H18" i="4"/>
  <c r="I18" i="4" s="1"/>
  <c r="J18" i="4" s="1"/>
  <c r="U18" i="4" s="1"/>
  <c r="V18" i="4" s="1"/>
  <c r="W18" i="4" s="1"/>
  <c r="H203" i="4"/>
  <c r="AP203" i="4" s="1"/>
  <c r="H98" i="4"/>
  <c r="I98" i="4" s="1"/>
  <c r="J98" i="4" s="1"/>
  <c r="H20" i="4"/>
  <c r="AP20" i="4" s="1"/>
  <c r="H177" i="4"/>
  <c r="AJ177" i="4" s="1"/>
  <c r="H158" i="4"/>
  <c r="AP158" i="4" s="1"/>
  <c r="H140" i="4"/>
  <c r="H72" i="4"/>
  <c r="I72" i="4" s="1"/>
  <c r="J72" i="4" s="1"/>
  <c r="H208" i="4"/>
  <c r="I208" i="4" s="1"/>
  <c r="J208" i="4" s="1"/>
  <c r="U208" i="4" s="1"/>
  <c r="V208" i="4" s="1"/>
  <c r="W208" i="4" s="1"/>
  <c r="H67" i="4"/>
  <c r="H173" i="4"/>
  <c r="H109" i="4"/>
  <c r="H147" i="4"/>
  <c r="AJ147" i="4" s="1"/>
  <c r="H154" i="4"/>
  <c r="I154" i="4" s="1"/>
  <c r="J154" i="4" s="1"/>
  <c r="K154" i="4" s="1"/>
  <c r="H90" i="4"/>
  <c r="AP90" i="4" s="1"/>
  <c r="H26" i="4"/>
  <c r="AP26" i="4" s="1"/>
  <c r="H92" i="4"/>
  <c r="AJ92" i="4" s="1"/>
  <c r="H24" i="4"/>
  <c r="AP24" i="4" s="1"/>
  <c r="H160" i="4"/>
  <c r="AJ160" i="4" s="1"/>
  <c r="H167" i="4"/>
  <c r="AJ167" i="4" s="1"/>
  <c r="H39" i="4"/>
  <c r="AI39" i="4" s="1"/>
  <c r="H161" i="4"/>
  <c r="AI161" i="4" s="1"/>
  <c r="H97" i="4"/>
  <c r="H33" i="4"/>
  <c r="AI33" i="4" s="1"/>
  <c r="H123" i="4"/>
  <c r="AJ123" i="4" s="1"/>
  <c r="H206" i="4"/>
  <c r="H142" i="4"/>
  <c r="H78" i="4"/>
  <c r="I78" i="4" s="1"/>
  <c r="J78" i="4" s="1"/>
  <c r="X78" i="4" s="1"/>
  <c r="Y78" i="4" s="1"/>
  <c r="J535" i="3"/>
  <c r="J281" i="3"/>
  <c r="J519" i="3"/>
  <c r="J35" i="3"/>
  <c r="J188" i="3"/>
  <c r="J565" i="3"/>
  <c r="J637" i="3"/>
  <c r="J29" i="3"/>
  <c r="J137" i="3"/>
  <c r="J283" i="3"/>
  <c r="J465" i="3"/>
  <c r="J318" i="3"/>
  <c r="J100" i="3"/>
  <c r="J87" i="3"/>
  <c r="J187" i="3"/>
  <c r="J319" i="3"/>
  <c r="J412" i="3"/>
  <c r="J390" i="3"/>
  <c r="J661" i="3"/>
  <c r="J214" i="3"/>
  <c r="J422" i="3"/>
  <c r="J643" i="3"/>
  <c r="AK59" i="4"/>
  <c r="AK93" i="4"/>
  <c r="AK66" i="4"/>
  <c r="AK183" i="4"/>
  <c r="AK177" i="4"/>
  <c r="AK128" i="4"/>
  <c r="J308" i="3"/>
  <c r="J72" i="3"/>
  <c r="J424" i="3"/>
  <c r="J218" i="3"/>
  <c r="J294" i="3"/>
  <c r="J411" i="3"/>
  <c r="J236" i="3"/>
  <c r="J83" i="3"/>
  <c r="J587" i="3"/>
  <c r="J386" i="3"/>
  <c r="J245" i="3"/>
  <c r="J650" i="3"/>
  <c r="J358" i="3"/>
  <c r="J200" i="3"/>
  <c r="J629" i="3"/>
  <c r="J271" i="3"/>
  <c r="J68" i="3"/>
  <c r="J378" i="3"/>
  <c r="J163" i="3"/>
  <c r="J195" i="3"/>
  <c r="J373" i="3"/>
  <c r="J109" i="3"/>
  <c r="J173" i="3"/>
  <c r="AK64" i="4"/>
  <c r="AK87" i="4"/>
  <c r="AK180" i="4"/>
  <c r="AK176" i="4"/>
  <c r="AK113" i="4"/>
  <c r="AK152" i="4"/>
  <c r="AN152" i="4" s="1"/>
  <c r="AK169" i="4"/>
  <c r="AK173" i="4"/>
  <c r="AK209" i="4"/>
  <c r="AK185" i="4"/>
  <c r="AK56" i="4"/>
  <c r="AK107" i="4"/>
  <c r="AK23" i="4"/>
  <c r="AK26" i="4"/>
  <c r="AK37" i="4"/>
  <c r="I194" i="4"/>
  <c r="J194" i="4" s="1"/>
  <c r="K194" i="4" s="1"/>
  <c r="J309" i="3"/>
  <c r="J223" i="3"/>
  <c r="J227" i="3"/>
  <c r="J329" i="3"/>
  <c r="J502" i="3"/>
  <c r="J206" i="3"/>
  <c r="J666" i="3"/>
  <c r="J103" i="3"/>
  <c r="J431" i="3"/>
  <c r="J220" i="3"/>
  <c r="J167" i="3"/>
  <c r="J605" i="3"/>
  <c r="J99" i="3"/>
  <c r="J426" i="3"/>
  <c r="J9" i="3"/>
  <c r="J662" i="3"/>
  <c r="J34" i="3"/>
  <c r="J566" i="3"/>
  <c r="J158" i="3"/>
  <c r="J305" i="3"/>
  <c r="J455" i="3"/>
  <c r="J15" i="3"/>
  <c r="J528" i="3"/>
  <c r="J102" i="3"/>
  <c r="J312" i="3"/>
  <c r="J297" i="3"/>
  <c r="J609" i="3"/>
  <c r="J150" i="3"/>
  <c r="J366" i="3"/>
  <c r="J117" i="3"/>
  <c r="J155" i="3"/>
  <c r="J44" i="3"/>
  <c r="J121" i="3"/>
  <c r="J522" i="3"/>
  <c r="J510" i="3"/>
  <c r="J164" i="3"/>
  <c r="J101" i="3"/>
  <c r="AM21" i="4"/>
  <c r="AK182" i="4"/>
  <c r="AK42" i="4"/>
  <c r="AK72" i="4"/>
  <c r="AK39" i="4"/>
  <c r="J552" i="3"/>
  <c r="J557" i="3"/>
  <c r="J180" i="3"/>
  <c r="J60" i="3"/>
  <c r="J276" i="3"/>
  <c r="J372" i="3"/>
  <c r="J513" i="3"/>
  <c r="J447" i="3"/>
  <c r="J64" i="3"/>
  <c r="AK114" i="4"/>
  <c r="AK153" i="4"/>
  <c r="AK170" i="4"/>
  <c r="AK174" i="4"/>
  <c r="AK120" i="4"/>
  <c r="AK192" i="4"/>
  <c r="AK24" i="4"/>
  <c r="AK98" i="4"/>
  <c r="AK79" i="4"/>
  <c r="AK95" i="4"/>
  <c r="AK28" i="4"/>
  <c r="AK12" i="4"/>
  <c r="AK32" i="4"/>
  <c r="AK91" i="4"/>
  <c r="J179" i="3"/>
  <c r="J139" i="3"/>
  <c r="J403" i="3"/>
  <c r="J159" i="3"/>
  <c r="J671" i="3"/>
  <c r="J208" i="3"/>
  <c r="J32" i="3"/>
  <c r="J132" i="3"/>
  <c r="J76" i="3"/>
  <c r="J635" i="3"/>
  <c r="J634" i="3"/>
  <c r="J293" i="3"/>
  <c r="J625" i="3"/>
  <c r="J362" i="3"/>
  <c r="J301" i="3"/>
  <c r="J367" i="3"/>
  <c r="J421" i="3"/>
  <c r="J544" i="3"/>
  <c r="J246" i="3"/>
  <c r="J345" i="3"/>
  <c r="J145" i="3"/>
  <c r="J303" i="3"/>
  <c r="J518" i="3"/>
  <c r="J186" i="3"/>
  <c r="J408" i="3"/>
  <c r="J686" i="3"/>
  <c r="J589" i="3"/>
  <c r="J96" i="3"/>
  <c r="J398" i="3"/>
  <c r="J525" i="3"/>
  <c r="J46" i="3"/>
  <c r="J261" i="3"/>
  <c r="J391" i="3"/>
  <c r="J572" i="3"/>
  <c r="J399" i="3"/>
  <c r="J45" i="3"/>
  <c r="J79" i="3"/>
  <c r="AK135" i="4"/>
  <c r="AK89" i="4"/>
  <c r="AK74" i="4"/>
  <c r="AK30" i="4"/>
  <c r="J310" i="3"/>
  <c r="J616" i="3"/>
  <c r="J161" i="3"/>
  <c r="J543" i="3"/>
  <c r="J469" i="3"/>
  <c r="J47" i="3"/>
  <c r="J128" i="3"/>
  <c r="J630" i="3"/>
  <c r="AK119" i="4"/>
  <c r="AK159" i="4"/>
  <c r="AK175" i="4"/>
  <c r="AK179" i="4"/>
  <c r="AK130" i="4"/>
  <c r="AK196" i="4"/>
  <c r="AK67" i="4"/>
  <c r="AK100" i="4"/>
  <c r="AK83" i="4"/>
  <c r="AK33" i="4"/>
  <c r="AK13" i="4"/>
  <c r="AK27" i="4"/>
  <c r="J621" i="3"/>
  <c r="J254" i="3"/>
  <c r="J509" i="3"/>
  <c r="J601" i="3"/>
  <c r="J574" i="3"/>
  <c r="J338" i="3"/>
  <c r="J380" i="3"/>
  <c r="J530" i="3"/>
  <c r="J377" i="3"/>
  <c r="J555" i="3"/>
  <c r="J381" i="3"/>
  <c r="J344" i="3"/>
  <c r="J541" i="3"/>
  <c r="J298" i="3"/>
  <c r="J365" i="3"/>
  <c r="J649" i="3"/>
  <c r="J481" i="3"/>
  <c r="J639" i="3"/>
  <c r="J292" i="3"/>
  <c r="J389" i="3"/>
  <c r="J351" i="3"/>
  <c r="J623" i="3"/>
  <c r="J508" i="3"/>
  <c r="J56" i="3"/>
  <c r="J473" i="3"/>
  <c r="J642" i="3"/>
  <c r="J569" i="3"/>
  <c r="J92" i="3"/>
  <c r="J438" i="3"/>
  <c r="J257" i="3"/>
  <c r="J593" i="3"/>
  <c r="J575" i="3"/>
  <c r="J339" i="3"/>
  <c r="J657" i="3"/>
  <c r="J607" i="3"/>
  <c r="J217" i="3"/>
  <c r="J434" i="3"/>
  <c r="AK21" i="4"/>
  <c r="J287" i="3"/>
  <c r="J554" i="3"/>
  <c r="J315" i="3"/>
  <c r="J653" i="3"/>
  <c r="J471" i="3"/>
  <c r="J429" i="3"/>
  <c r="J592" i="3"/>
  <c r="J516" i="3"/>
  <c r="J433" i="3"/>
  <c r="J249" i="3"/>
  <c r="J496" i="3"/>
  <c r="J141" i="3"/>
  <c r="J275" i="3"/>
  <c r="J545" i="3"/>
  <c r="J470" i="3"/>
  <c r="J523" i="3"/>
  <c r="J234" i="3"/>
  <c r="J104" i="3"/>
  <c r="J442" i="3"/>
  <c r="AK123" i="4"/>
  <c r="AK160" i="4"/>
  <c r="AK188" i="4"/>
  <c r="AK204" i="4"/>
  <c r="AK25" i="4"/>
  <c r="AK126" i="4"/>
  <c r="AK178" i="4"/>
  <c r="AK198" i="4"/>
  <c r="AK187" i="4"/>
  <c r="AK144" i="4"/>
  <c r="AK208" i="4"/>
  <c r="AK57" i="4"/>
  <c r="AK15" i="4"/>
  <c r="AK77" i="4"/>
  <c r="AK34" i="4"/>
  <c r="AK20" i="4"/>
  <c r="AK61" i="4"/>
  <c r="AK44" i="4"/>
  <c r="B11" i="4"/>
  <c r="AK16" i="4"/>
  <c r="J526" i="3"/>
  <c r="J636" i="3"/>
  <c r="J418" i="3"/>
  <c r="I97" i="4"/>
  <c r="J97" i="4" s="1"/>
  <c r="R97" i="4" s="1"/>
  <c r="S97" i="4" s="1"/>
  <c r="T97" i="4" s="1"/>
  <c r="J487" i="3"/>
  <c r="J331" i="3"/>
  <c r="J673" i="3"/>
  <c r="J394" i="3"/>
  <c r="J237" i="3"/>
  <c r="J284" i="3"/>
  <c r="J336" i="3"/>
  <c r="J328" i="3"/>
  <c r="J201" i="3"/>
  <c r="J86" i="3"/>
  <c r="J212" i="3"/>
  <c r="J20" i="3"/>
  <c r="J550" i="3"/>
  <c r="J77" i="3"/>
  <c r="J494" i="3"/>
  <c r="J459" i="3"/>
  <c r="J90" i="3"/>
  <c r="J105" i="3"/>
  <c r="J71" i="3"/>
  <c r="J486" i="3"/>
  <c r="J221" i="3"/>
  <c r="J547" i="3"/>
  <c r="J255" i="3"/>
  <c r="J651" i="3"/>
  <c r="J152" i="3"/>
  <c r="J492" i="3"/>
  <c r="J559" i="3"/>
  <c r="J420" i="3"/>
  <c r="J371" i="3"/>
  <c r="J489" i="3"/>
  <c r="J30" i="3"/>
  <c r="J445" i="3"/>
  <c r="J456" i="3"/>
  <c r="J654" i="3"/>
  <c r="AM109" i="4"/>
  <c r="AK147" i="4"/>
  <c r="AK193" i="4"/>
  <c r="AK45" i="4"/>
  <c r="AK96" i="4"/>
  <c r="AK31" i="4"/>
  <c r="AK51" i="4"/>
  <c r="AK49" i="4"/>
  <c r="AK102" i="4"/>
  <c r="AK109" i="4"/>
  <c r="J395" i="3"/>
  <c r="J594" i="3"/>
  <c r="J340" i="3"/>
  <c r="J27" i="3"/>
  <c r="J85" i="3"/>
  <c r="J540" i="3"/>
  <c r="J560" i="3"/>
  <c r="J320" i="3"/>
  <c r="J443" i="3"/>
  <c r="J517" i="3"/>
  <c r="J359" i="3"/>
  <c r="J52" i="3"/>
  <c r="J148" i="3"/>
  <c r="J539" i="3"/>
  <c r="J520" i="3"/>
  <c r="J169" i="3"/>
  <c r="J472" i="3"/>
  <c r="J503" i="3"/>
  <c r="J619" i="3"/>
  <c r="J383" i="3"/>
  <c r="J641" i="3"/>
  <c r="AK145" i="4"/>
  <c r="AK181" i="4"/>
  <c r="AK157" i="4"/>
  <c r="AK189" i="4"/>
  <c r="AK118" i="4"/>
  <c r="AK116" i="4"/>
  <c r="AK164" i="4"/>
  <c r="AK190" i="4"/>
  <c r="AK202" i="4"/>
  <c r="AK197" i="4"/>
  <c r="AK90" i="4"/>
  <c r="AK68" i="4"/>
  <c r="AK41" i="4"/>
  <c r="AK40" i="4"/>
  <c r="AK55" i="4"/>
  <c r="AK97" i="4"/>
  <c r="AK92" i="4"/>
  <c r="J665" i="3"/>
  <c r="J427" i="3"/>
  <c r="J407" i="3"/>
  <c r="J648" i="3"/>
  <c r="J97" i="3"/>
  <c r="J304" i="3"/>
  <c r="J89" i="3"/>
  <c r="J62" i="3"/>
  <c r="J602" i="3"/>
  <c r="J612" i="3"/>
  <c r="J189" i="3"/>
  <c r="J157" i="3"/>
  <c r="J669" i="3"/>
  <c r="J80" i="3"/>
  <c r="J392" i="3"/>
  <c r="J478" i="3"/>
  <c r="J38" i="3"/>
  <c r="J446" i="3"/>
  <c r="J667" i="3"/>
  <c r="J675" i="3"/>
  <c r="J154" i="3"/>
  <c r="J622" i="3"/>
  <c r="J464" i="3"/>
  <c r="J355" i="3"/>
  <c r="J627" i="3"/>
  <c r="J211" i="3"/>
  <c r="J495" i="3"/>
  <c r="J192" i="3"/>
  <c r="J631" i="3"/>
  <c r="J400" i="3"/>
  <c r="J112" i="3"/>
  <c r="J207" i="3"/>
  <c r="J333" i="3"/>
  <c r="J396" i="3"/>
  <c r="J581" i="3"/>
  <c r="J532" i="3"/>
  <c r="J613" i="3"/>
  <c r="AK122" i="4"/>
  <c r="AK132" i="4"/>
  <c r="AK172" i="4"/>
  <c r="AK191" i="4"/>
  <c r="AK117" i="4"/>
  <c r="AK200" i="4"/>
  <c r="AK78" i="4"/>
  <c r="AK47" i="4"/>
  <c r="AK52" i="4"/>
  <c r="AK29" i="4"/>
  <c r="AK60" i="4"/>
  <c r="AK85" i="4"/>
  <c r="AK54" i="4"/>
  <c r="J13" i="3"/>
  <c r="J687" i="3"/>
  <c r="AK115" i="4"/>
  <c r="AK141" i="4"/>
  <c r="AK146" i="4"/>
  <c r="AK121" i="4"/>
  <c r="AK199" i="4"/>
  <c r="AK155" i="4"/>
  <c r="AK184" i="4"/>
  <c r="AK84" i="4"/>
  <c r="AK124" i="4"/>
  <c r="AK129" i="4"/>
  <c r="AK149" i="4"/>
  <c r="AK138" i="4"/>
  <c r="AK201" i="4"/>
  <c r="AK156" i="4"/>
  <c r="AK186" i="4"/>
  <c r="AK106" i="4"/>
  <c r="AK101" i="4"/>
  <c r="J135" i="3"/>
  <c r="J571" i="3"/>
  <c r="J674" i="3"/>
  <c r="J168" i="3"/>
  <c r="J59" i="3"/>
  <c r="J172" i="3"/>
  <c r="J127" i="3"/>
  <c r="J430" i="3"/>
  <c r="J219" i="3"/>
  <c r="J586" i="3"/>
  <c r="J326" i="3"/>
  <c r="J515" i="3"/>
  <c r="J401" i="3"/>
  <c r="J531" i="3"/>
  <c r="J170" i="3"/>
  <c r="J357" i="3"/>
  <c r="J36" i="3"/>
  <c r="J457" i="3"/>
  <c r="J353" i="3"/>
  <c r="AK75" i="4"/>
  <c r="AK103" i="4"/>
  <c r="AK163" i="4"/>
  <c r="AK162" i="4"/>
  <c r="AK111" i="4"/>
  <c r="J652" i="3"/>
  <c r="J347" i="3"/>
  <c r="J143" i="3"/>
  <c r="J570" i="3"/>
  <c r="J25" i="3"/>
  <c r="J626" i="3"/>
  <c r="J190" i="3"/>
  <c r="J147" i="3"/>
  <c r="J66" i="3"/>
  <c r="J450" i="3"/>
  <c r="J250" i="3"/>
  <c r="J175" i="3"/>
  <c r="J608" i="3"/>
  <c r="J414" i="3"/>
  <c r="J444" i="3"/>
  <c r="J114" i="3"/>
  <c r="J348" i="3"/>
  <c r="J682" i="3"/>
  <c r="J17" i="3"/>
  <c r="J258" i="3"/>
  <c r="J53" i="3"/>
  <c r="J437" i="3"/>
  <c r="AK81" i="4"/>
  <c r="AK19" i="4"/>
  <c r="AK139" i="4"/>
  <c r="AK161" i="4"/>
  <c r="AM32" i="4"/>
  <c r="J43" i="3"/>
  <c r="J54" i="3"/>
  <c r="AM44" i="4"/>
  <c r="J335" i="3"/>
  <c r="J350" i="3"/>
  <c r="J585" i="3"/>
  <c r="J500" i="3"/>
  <c r="J239" i="3"/>
  <c r="J606" i="3"/>
  <c r="J238" i="3"/>
  <c r="J171" i="3"/>
  <c r="J202" i="3"/>
  <c r="J476" i="3"/>
  <c r="J58" i="3"/>
  <c r="J131" i="3"/>
  <c r="J633" i="3"/>
  <c r="J461" i="3"/>
  <c r="J316" i="3"/>
  <c r="J529" i="3"/>
  <c r="J134" i="3"/>
  <c r="J628" i="3"/>
  <c r="J638" i="3"/>
  <c r="J419" i="3"/>
  <c r="J497" i="3"/>
  <c r="J440" i="3"/>
  <c r="AK46" i="4"/>
  <c r="AK82" i="4"/>
  <c r="AK136" i="4"/>
  <c r="AK154" i="4"/>
  <c r="AK140" i="4"/>
  <c r="AK35" i="4"/>
  <c r="J228" i="3"/>
  <c r="J458" i="3"/>
  <c r="J562" i="3"/>
  <c r="J235" i="3"/>
  <c r="J536" i="3"/>
  <c r="J41" i="3"/>
  <c r="J70" i="3"/>
  <c r="J282" i="3"/>
  <c r="J432" i="3"/>
  <c r="J567" i="3"/>
  <c r="J599" i="3"/>
  <c r="J113" i="3"/>
  <c r="AK99" i="4"/>
  <c r="AK18" i="4"/>
  <c r="AK206" i="4"/>
  <c r="J542" i="3"/>
  <c r="J546" i="3"/>
  <c r="J177" i="3"/>
  <c r="J410" i="3"/>
  <c r="J595" i="3"/>
  <c r="AK50" i="4"/>
  <c r="AK94" i="4"/>
  <c r="AK58" i="4"/>
  <c r="AK108" i="4"/>
  <c r="AK205" i="4"/>
  <c r="AK151" i="4"/>
  <c r="AK22" i="4"/>
  <c r="J229" i="3"/>
  <c r="J369" i="3"/>
  <c r="J684" i="3"/>
  <c r="J485" i="3"/>
  <c r="J193" i="3"/>
  <c r="J94" i="3"/>
  <c r="J288" i="3"/>
  <c r="J74" i="3"/>
  <c r="AK11" i="4"/>
  <c r="AK14" i="4"/>
  <c r="AK134" i="4"/>
  <c r="J98" i="3"/>
  <c r="J580" i="3"/>
  <c r="J330" i="3"/>
  <c r="J142" i="3"/>
  <c r="J453" i="3"/>
  <c r="J324" i="3"/>
  <c r="J321" i="3"/>
  <c r="J551" i="3"/>
  <c r="J40" i="3"/>
  <c r="J617" i="3"/>
  <c r="J299" i="3"/>
  <c r="J506" i="3"/>
  <c r="J451" i="3"/>
  <c r="AJ109" i="4"/>
  <c r="J591" i="3"/>
  <c r="J460" i="3"/>
  <c r="J273" i="3"/>
  <c r="AM66" i="4"/>
  <c r="J596" i="3"/>
  <c r="J466" i="3"/>
  <c r="J244" i="3"/>
  <c r="J491" i="3"/>
  <c r="J579" i="3"/>
  <c r="J512" i="3"/>
  <c r="J364" i="3"/>
  <c r="J341" i="3"/>
  <c r="J61" i="3"/>
  <c r="J558" i="3"/>
  <c r="J205" i="3"/>
  <c r="J573" i="3"/>
  <c r="J181" i="3"/>
  <c r="J672" i="3"/>
  <c r="J647" i="3"/>
  <c r="J270" i="3"/>
  <c r="J498" i="3"/>
  <c r="I38" i="4"/>
  <c r="J38" i="4" s="1"/>
  <c r="AD38" i="4" s="1"/>
  <c r="AE38" i="4" s="1"/>
  <c r="J279" i="3"/>
  <c r="J374" i="3"/>
  <c r="J477" i="3"/>
  <c r="J604" i="3"/>
  <c r="AK70" i="4"/>
  <c r="AK80" i="4"/>
  <c r="AK73" i="4"/>
  <c r="AK38" i="4"/>
  <c r="AK203" i="4"/>
  <c r="AK150" i="4"/>
  <c r="J482" i="3"/>
  <c r="J260" i="3"/>
  <c r="J108" i="3"/>
  <c r="J69" i="3"/>
  <c r="J376" i="3"/>
  <c r="J342" i="3"/>
  <c r="J404" i="3"/>
  <c r="J361" i="3"/>
  <c r="J435" i="3"/>
  <c r="J568" i="3"/>
  <c r="J323" i="3"/>
  <c r="J84" i="3"/>
  <c r="J120" i="3"/>
  <c r="J253" i="3"/>
  <c r="J556" i="3"/>
  <c r="J176" i="3"/>
  <c r="J548" i="3"/>
  <c r="J688" i="3"/>
  <c r="J614" i="3"/>
  <c r="J334" i="3"/>
  <c r="J48" i="3"/>
  <c r="J106" i="3"/>
  <c r="AK86" i="4"/>
  <c r="AK76" i="4"/>
  <c r="AK63" i="4"/>
  <c r="AK195" i="4"/>
  <c r="AK143" i="4"/>
  <c r="AK207" i="4"/>
  <c r="J240" i="3"/>
  <c r="J474" i="3"/>
  <c r="AM70" i="4"/>
  <c r="J37" i="3"/>
  <c r="J262" i="3"/>
  <c r="J632" i="3"/>
  <c r="J618" i="3"/>
  <c r="J31" i="3"/>
  <c r="J322" i="3"/>
  <c r="J452" i="3"/>
  <c r="J385" i="3"/>
  <c r="J646" i="3"/>
  <c r="J578" i="3"/>
  <c r="J28" i="3"/>
  <c r="J144" i="3"/>
  <c r="J343" i="3"/>
  <c r="J78" i="3"/>
  <c r="J588" i="3"/>
  <c r="J306" i="3"/>
  <c r="J488" i="3"/>
  <c r="J375" i="3"/>
  <c r="J454" i="3"/>
  <c r="J290" i="3"/>
  <c r="J490" i="3"/>
  <c r="J280" i="3"/>
  <c r="AK88" i="4"/>
  <c r="AK71" i="4"/>
  <c r="AK10" i="4"/>
  <c r="AK194" i="4"/>
  <c r="AK133" i="4"/>
  <c r="AJ23" i="4"/>
  <c r="BK14" i="4"/>
  <c r="BJ14" i="4"/>
  <c r="BI14" i="4"/>
  <c r="BH14" i="4"/>
  <c r="BP14" i="4"/>
  <c r="BL14" i="4"/>
  <c r="BM14" i="4"/>
  <c r="BO14" i="4"/>
  <c r="BN14" i="4"/>
  <c r="BQ14" i="4"/>
  <c r="A76" i="8"/>
  <c r="BL12" i="4"/>
  <c r="BJ12" i="4"/>
  <c r="BI12" i="4"/>
  <c r="BN12" i="4"/>
  <c r="BH12" i="4"/>
  <c r="BM12" i="4"/>
  <c r="BQ12" i="4"/>
  <c r="BO12" i="4"/>
  <c r="BK12" i="4"/>
  <c r="BP12" i="4"/>
  <c r="B24" i="3"/>
  <c r="AQ24" i="3"/>
  <c r="AR24" i="3"/>
  <c r="A33" i="3"/>
  <c r="AQ25" i="3"/>
  <c r="AR25" i="3"/>
  <c r="A34" i="3"/>
  <c r="B25" i="3"/>
  <c r="BN13" i="4"/>
  <c r="BP13" i="4"/>
  <c r="BL13" i="4"/>
  <c r="BM13" i="4"/>
  <c r="BO13" i="4"/>
  <c r="BH13" i="4"/>
  <c r="A59" i="8"/>
  <c r="BI13" i="4"/>
  <c r="A91" i="8"/>
  <c r="BM9" i="4"/>
  <c r="BJ9" i="4"/>
  <c r="BL9" i="4"/>
  <c r="BH9" i="4"/>
  <c r="BO9" i="4"/>
  <c r="BQ9" i="4"/>
  <c r="BN9" i="4"/>
  <c r="BP9" i="4"/>
  <c r="BK9" i="4"/>
  <c r="A37" i="3"/>
  <c r="B36" i="3"/>
  <c r="AQ36" i="3"/>
  <c r="AR36" i="3"/>
  <c r="A60" i="8"/>
  <c r="B23" i="3"/>
  <c r="A32" i="3"/>
  <c r="A78" i="8"/>
  <c r="J393" i="3"/>
  <c r="J397" i="3"/>
  <c r="J111" i="3"/>
  <c r="J533" i="3"/>
  <c r="J268" i="3"/>
  <c r="J241" i="3"/>
  <c r="J182" i="3"/>
  <c r="J226" i="3"/>
  <c r="J685" i="3"/>
  <c r="J409" i="3"/>
  <c r="J110" i="3"/>
  <c r="J337" i="3"/>
  <c r="J611" i="3"/>
  <c r="J524" i="3"/>
  <c r="J656" i="3"/>
  <c r="J683" i="3"/>
  <c r="J563" i="3"/>
  <c r="J527" i="3"/>
  <c r="J136" i="3"/>
  <c r="J537" i="3"/>
  <c r="J463" i="3"/>
  <c r="J346" i="3"/>
  <c r="J24" i="3"/>
  <c r="J505" i="3"/>
  <c r="J291" i="3"/>
  <c r="J493" i="3"/>
  <c r="J289" i="3"/>
  <c r="J126" i="3"/>
  <c r="J668" i="3"/>
  <c r="J140" i="3"/>
  <c r="J174" i="3"/>
  <c r="J577" i="3"/>
  <c r="J18" i="3"/>
  <c r="J81" i="3"/>
  <c r="J93" i="3"/>
  <c r="J26" i="3"/>
  <c r="J116" i="3"/>
  <c r="J640" i="3"/>
  <c r="J480" i="3"/>
  <c r="J224" i="3"/>
  <c r="J507" i="3"/>
  <c r="J553" i="3"/>
  <c r="J615" i="3"/>
  <c r="J269" i="3"/>
  <c r="J243" i="3"/>
  <c r="J95" i="3"/>
  <c r="J233" i="3"/>
  <c r="J354" i="3"/>
  <c r="J388" i="3"/>
  <c r="J124" i="3"/>
  <c r="J582" i="3"/>
  <c r="J387" i="3"/>
  <c r="J203" i="3"/>
  <c r="J660" i="3"/>
  <c r="J332" i="3"/>
  <c r="J197" i="3"/>
  <c r="J11" i="3"/>
  <c r="J50" i="3"/>
  <c r="J598" i="3"/>
  <c r="J467" i="3"/>
  <c r="J416" i="3"/>
  <c r="J115" i="3"/>
  <c r="J265" i="3"/>
  <c r="J286" i="3"/>
  <c r="J384" i="3"/>
  <c r="J307" i="3"/>
  <c r="J184" i="3"/>
  <c r="J225" i="3"/>
  <c r="J67" i="3"/>
  <c r="J138" i="3"/>
  <c r="J75" i="3"/>
  <c r="A70" i="8"/>
  <c r="A53" i="8"/>
  <c r="A69" i="8"/>
  <c r="AL46" i="4"/>
  <c r="AL174" i="4"/>
  <c r="AL95" i="4"/>
  <c r="AL24" i="4"/>
  <c r="B39" i="4"/>
  <c r="AL106" i="4"/>
  <c r="AL195" i="4"/>
  <c r="AL99" i="4"/>
  <c r="AL36" i="4"/>
  <c r="AN36" i="4" s="1"/>
  <c r="AL164" i="4"/>
  <c r="AL37" i="4"/>
  <c r="AL165" i="4"/>
  <c r="AN165" i="4" s="1"/>
  <c r="B42" i="4"/>
  <c r="J200" i="2"/>
  <c r="AP134" i="4"/>
  <c r="AP16" i="4"/>
  <c r="AP171" i="4"/>
  <c r="AM128" i="4"/>
  <c r="AM163" i="4"/>
  <c r="AM180" i="4"/>
  <c r="AJ192" i="4"/>
  <c r="AJ12" i="4"/>
  <c r="AM110" i="4"/>
  <c r="BH16" i="4"/>
  <c r="A51" i="8"/>
  <c r="BJ16" i="4"/>
  <c r="J484" i="3"/>
  <c r="J39" i="3"/>
  <c r="J428" i="3"/>
  <c r="J14" i="3"/>
  <c r="J125" i="3"/>
  <c r="J317" i="3"/>
  <c r="A50" i="8"/>
  <c r="AG3" i="4"/>
  <c r="B53" i="4"/>
  <c r="BL16" i="4"/>
  <c r="BM16" i="4"/>
  <c r="AQ35" i="3"/>
  <c r="AR35" i="3"/>
  <c r="A61" i="8"/>
  <c r="A92" i="8"/>
  <c r="A30" i="3"/>
  <c r="A35" i="16"/>
  <c r="AJ117" i="4"/>
  <c r="AR21" i="3"/>
  <c r="B281" i="2"/>
  <c r="B97" i="2"/>
  <c r="R16" i="8" s="1"/>
  <c r="S16" i="8" s="1"/>
  <c r="D97" i="2" s="1"/>
  <c r="B98" i="2" s="1"/>
  <c r="R17" i="8" s="1"/>
  <c r="S17" i="8" s="1"/>
  <c r="D98" i="2" s="1"/>
  <c r="B101" i="2" s="1"/>
  <c r="G3" i="8"/>
  <c r="B250" i="2"/>
  <c r="E250" i="2" s="1"/>
  <c r="B22" i="4"/>
  <c r="D43" i="16"/>
  <c r="R66" i="2"/>
  <c r="AI21" i="4"/>
  <c r="B58" i="4"/>
  <c r="AP192" i="4"/>
  <c r="AP186" i="4"/>
  <c r="AP185" i="4"/>
  <c r="AP165" i="4"/>
  <c r="AP202" i="4"/>
  <c r="AP140" i="4"/>
  <c r="AP126" i="4"/>
  <c r="AP73" i="4"/>
  <c r="AP49" i="4"/>
  <c r="AP10" i="4"/>
  <c r="I87" i="4"/>
  <c r="J87" i="4" s="1"/>
  <c r="AP47" i="4"/>
  <c r="AP33" i="4"/>
  <c r="B89" i="2"/>
  <c r="I132" i="4"/>
  <c r="AP116" i="4"/>
  <c r="I173" i="4"/>
  <c r="J173" i="4" s="1"/>
  <c r="AD173" i="4" s="1"/>
  <c r="AE173" i="4" s="1"/>
  <c r="AP120" i="4"/>
  <c r="I107" i="4"/>
  <c r="J107" i="4" s="1"/>
  <c r="K107" i="4" s="1"/>
  <c r="I99" i="4"/>
  <c r="J99" i="4" s="1"/>
  <c r="X99" i="4" s="1"/>
  <c r="Y99" i="4" s="1"/>
  <c r="I10" i="4"/>
  <c r="J10" i="4" s="1"/>
  <c r="AD10" i="4" s="1"/>
  <c r="AE10" i="4" s="1"/>
  <c r="I19" i="4"/>
  <c r="J19" i="4" s="1"/>
  <c r="I95" i="4"/>
  <c r="J95" i="4" s="1"/>
  <c r="B12" i="4"/>
  <c r="AP138" i="4"/>
  <c r="I116" i="4"/>
  <c r="J116" i="4" s="1"/>
  <c r="I159" i="4"/>
  <c r="J159" i="4" s="1"/>
  <c r="I129" i="4"/>
  <c r="J129" i="4" s="1"/>
  <c r="I130" i="4"/>
  <c r="J130" i="4" s="1"/>
  <c r="L130" i="4" s="1"/>
  <c r="M130" i="4" s="1"/>
  <c r="AA130" i="4" s="1"/>
  <c r="AP78" i="4"/>
  <c r="I86" i="4"/>
  <c r="J86" i="4" s="1"/>
  <c r="AD86" i="4" s="1"/>
  <c r="AE86" i="4" s="1"/>
  <c r="AP34" i="4"/>
  <c r="I59" i="4"/>
  <c r="J59" i="4" s="1"/>
  <c r="AP157" i="4"/>
  <c r="AP180" i="4"/>
  <c r="I157" i="4"/>
  <c r="J157" i="4" s="1"/>
  <c r="X157" i="4" s="1"/>
  <c r="Y157" i="4" s="1"/>
  <c r="AP184" i="4"/>
  <c r="I140" i="4"/>
  <c r="J140" i="4" s="1"/>
  <c r="I190" i="4"/>
  <c r="J190" i="4" s="1"/>
  <c r="U190" i="4" s="1"/>
  <c r="V190" i="4" s="1"/>
  <c r="W190" i="4" s="1"/>
  <c r="AP88" i="4"/>
  <c r="AP92" i="4"/>
  <c r="I28" i="4"/>
  <c r="J28" i="4" s="1"/>
  <c r="AP67" i="4"/>
  <c r="I76" i="4"/>
  <c r="J76" i="4" s="1"/>
  <c r="K76" i="4" s="1"/>
  <c r="AP38" i="4"/>
  <c r="I60" i="4"/>
  <c r="J60" i="4" s="1"/>
  <c r="N44" i="2"/>
  <c r="M44" i="2" s="1"/>
  <c r="C242" i="2" s="1"/>
  <c r="C243" i="2" s="1"/>
  <c r="F243" i="2" s="1"/>
  <c r="C44" i="16" s="1"/>
  <c r="I202" i="4"/>
  <c r="J202" i="4" s="1"/>
  <c r="K202" i="4" s="1"/>
  <c r="AP151" i="4"/>
  <c r="I125" i="4"/>
  <c r="I134" i="4"/>
  <c r="J134" i="4" s="1"/>
  <c r="X134" i="4" s="1"/>
  <c r="Y134" i="4" s="1"/>
  <c r="I204" i="4"/>
  <c r="J204" i="4" s="1"/>
  <c r="AP23" i="4"/>
  <c r="AP28" i="4"/>
  <c r="AP21" i="4"/>
  <c r="AP86" i="4"/>
  <c r="AP79" i="4"/>
  <c r="I79" i="4"/>
  <c r="J79" i="4" s="1"/>
  <c r="K79" i="4" s="1"/>
  <c r="AP173" i="4"/>
  <c r="I151" i="4"/>
  <c r="J151" i="4" s="1"/>
  <c r="L151" i="4" s="1"/>
  <c r="I144" i="4"/>
  <c r="J144" i="4" s="1"/>
  <c r="K144" i="4" s="1"/>
  <c r="I152" i="4"/>
  <c r="J152" i="4" s="1"/>
  <c r="K152" i="4" s="1"/>
  <c r="AP130" i="4"/>
  <c r="AP66" i="4"/>
  <c r="I27" i="4"/>
  <c r="J27" i="4" s="1"/>
  <c r="X27" i="4" s="1"/>
  <c r="Y27" i="4" s="1"/>
  <c r="I58" i="4"/>
  <c r="AP55" i="4"/>
  <c r="AP95" i="4"/>
  <c r="AP102" i="4"/>
  <c r="F64" i="1"/>
  <c r="AP127" i="4"/>
  <c r="AP144" i="4"/>
  <c r="AP159" i="4"/>
  <c r="I149" i="4"/>
  <c r="J149" i="4" s="1"/>
  <c r="U149" i="4" s="1"/>
  <c r="V149" i="4" s="1"/>
  <c r="W149" i="4" s="1"/>
  <c r="AP136" i="4"/>
  <c r="AP76" i="4"/>
  <c r="AP58" i="4"/>
  <c r="AP89" i="4"/>
  <c r="I93" i="4"/>
  <c r="J93" i="4" s="1"/>
  <c r="I29" i="4"/>
  <c r="J29" i="4" s="1"/>
  <c r="AP74" i="4"/>
  <c r="AP59" i="4"/>
  <c r="AP37" i="4"/>
  <c r="B127" i="2"/>
  <c r="R11" i="8" s="1"/>
  <c r="S11" i="8" s="1"/>
  <c r="B128" i="2" s="1"/>
  <c r="E64" i="1" s="1"/>
  <c r="C57" i="16" s="1"/>
  <c r="D57" i="16" s="1"/>
  <c r="I169" i="4"/>
  <c r="I171" i="4"/>
  <c r="I137" i="4"/>
  <c r="J137" i="4" s="1"/>
  <c r="AP122" i="4"/>
  <c r="I126" i="4"/>
  <c r="J126" i="4" s="1"/>
  <c r="R126" i="4" s="1"/>
  <c r="S126" i="4" s="1"/>
  <c r="T126" i="4" s="1"/>
  <c r="AP197" i="4"/>
  <c r="AP149" i="4"/>
  <c r="I51" i="4"/>
  <c r="J51" i="4" s="1"/>
  <c r="R51" i="4" s="1"/>
  <c r="S51" i="4" s="1"/>
  <c r="T51" i="4" s="1"/>
  <c r="I77" i="4"/>
  <c r="J77" i="4" s="1"/>
  <c r="I21" i="4"/>
  <c r="J21" i="4" s="1"/>
  <c r="X21" i="4" s="1"/>
  <c r="Y21" i="4" s="1"/>
  <c r="I89" i="4"/>
  <c r="J89" i="4" s="1"/>
  <c r="L89" i="4" s="1"/>
  <c r="AP84" i="4"/>
  <c r="I71" i="4"/>
  <c r="J71" i="4" s="1"/>
  <c r="I192" i="4"/>
  <c r="J192" i="4" s="1"/>
  <c r="I150" i="4"/>
  <c r="I182" i="4"/>
  <c r="J182" i="4" s="1"/>
  <c r="U182" i="4" s="1"/>
  <c r="V182" i="4" s="1"/>
  <c r="W182" i="4" s="1"/>
  <c r="AP152" i="4"/>
  <c r="I160" i="4"/>
  <c r="J160" i="4" s="1"/>
  <c r="L160" i="4" s="1"/>
  <c r="M160" i="4" s="1"/>
  <c r="AA160" i="4" s="1"/>
  <c r="I176" i="4"/>
  <c r="J176" i="4" s="1"/>
  <c r="AP194" i="4"/>
  <c r="AP17" i="4"/>
  <c r="I74" i="4"/>
  <c r="AP70" i="4"/>
  <c r="I23" i="4"/>
  <c r="J23" i="4" s="1"/>
  <c r="AP99" i="4"/>
  <c r="AP60" i="4"/>
  <c r="I88" i="4"/>
  <c r="J88" i="4" s="1"/>
  <c r="K88" i="4" s="1"/>
  <c r="I65" i="4"/>
  <c r="J65" i="4" s="1"/>
  <c r="B38" i="2"/>
  <c r="B39" i="2" s="1"/>
  <c r="B23" i="2"/>
  <c r="B24" i="2" s="1"/>
  <c r="I118" i="4"/>
  <c r="J118" i="4" s="1"/>
  <c r="N118" i="4" s="1"/>
  <c r="O118" i="4" s="1"/>
  <c r="Q118" i="4" s="1"/>
  <c r="I128" i="4"/>
  <c r="J128" i="4" s="1"/>
  <c r="K128" i="4" s="1"/>
  <c r="AP204" i="4"/>
  <c r="I143" i="4"/>
  <c r="I16" i="4"/>
  <c r="J16" i="4" s="1"/>
  <c r="AP93" i="4"/>
  <c r="I102" i="4"/>
  <c r="J102" i="4" s="1"/>
  <c r="AP27" i="4"/>
  <c r="AP87" i="4"/>
  <c r="I17" i="4"/>
  <c r="J17" i="4" s="1"/>
  <c r="I83" i="4"/>
  <c r="J83" i="4" s="1"/>
  <c r="I56" i="4"/>
  <c r="J56" i="4" s="1"/>
  <c r="K56" i="4" s="1"/>
  <c r="AP25" i="4"/>
  <c r="AP65" i="4"/>
  <c r="B25" i="2"/>
  <c r="B26" i="2" s="1"/>
  <c r="I180" i="4"/>
  <c r="AP129" i="4"/>
  <c r="AP148" i="4"/>
  <c r="AP199" i="4"/>
  <c r="AP176" i="4"/>
  <c r="AP15" i="4"/>
  <c r="AP77" i="4"/>
  <c r="I68" i="4"/>
  <c r="J68" i="4" s="1"/>
  <c r="K68" i="4" s="1"/>
  <c r="AP71" i="4"/>
  <c r="AP43" i="4"/>
  <c r="I85" i="4"/>
  <c r="J85" i="4" s="1"/>
  <c r="U85" i="4" s="1"/>
  <c r="V85" i="4" s="1"/>
  <c r="W85" i="4" s="1"/>
  <c r="I25" i="4"/>
  <c r="J25" i="4" s="1"/>
  <c r="L25" i="4" s="1"/>
  <c r="B27" i="2"/>
  <c r="I201" i="4"/>
  <c r="J201" i="4" s="1"/>
  <c r="L201" i="4" s="1"/>
  <c r="AP132" i="4"/>
  <c r="I185" i="4"/>
  <c r="J185" i="4" s="1"/>
  <c r="X185" i="4" s="1"/>
  <c r="Y185" i="4" s="1"/>
  <c r="AP198" i="4"/>
  <c r="I122" i="4"/>
  <c r="J122" i="4" s="1"/>
  <c r="R122" i="4" s="1"/>
  <c r="S122" i="4" s="1"/>
  <c r="T122" i="4" s="1"/>
  <c r="I199" i="4"/>
  <c r="J199" i="4" s="1"/>
  <c r="N199" i="4" s="1"/>
  <c r="O199" i="4" s="1"/>
  <c r="Q199" i="4" s="1"/>
  <c r="I203" i="4"/>
  <c r="J203" i="4" s="1"/>
  <c r="AD203" i="4" s="1"/>
  <c r="AE203" i="4" s="1"/>
  <c r="AP143" i="4"/>
  <c r="I90" i="4"/>
  <c r="J90" i="4" s="1"/>
  <c r="U90" i="4" s="1"/>
  <c r="V90" i="4" s="1"/>
  <c r="W90" i="4" s="1"/>
  <c r="AP81" i="4"/>
  <c r="AP57" i="4"/>
  <c r="B36" i="2"/>
  <c r="B37" i="2" s="1"/>
  <c r="B18" i="2" s="1"/>
  <c r="I198" i="4"/>
  <c r="I127" i="4"/>
  <c r="I120" i="4"/>
  <c r="J120" i="4" s="1"/>
  <c r="U120" i="4" s="1"/>
  <c r="V120" i="4" s="1"/>
  <c r="W120" i="4" s="1"/>
  <c r="AP201" i="4"/>
  <c r="I165" i="4"/>
  <c r="J165" i="4" s="1"/>
  <c r="K165" i="4" s="1"/>
  <c r="I148" i="4"/>
  <c r="J148" i="4" s="1"/>
  <c r="U148" i="4" s="1"/>
  <c r="V148" i="4" s="1"/>
  <c r="W148" i="4" s="1"/>
  <c r="AP98" i="4"/>
  <c r="AP62" i="4"/>
  <c r="AP63" i="4"/>
  <c r="I57" i="4"/>
  <c r="J57" i="4" s="1"/>
  <c r="K57" i="4" s="1"/>
  <c r="AP29" i="4"/>
  <c r="I103" i="4"/>
  <c r="I44" i="4"/>
  <c r="J44" i="4" s="1"/>
  <c r="K44" i="4" s="1"/>
  <c r="B34" i="2"/>
  <c r="B35" i="2" s="1"/>
  <c r="B79" i="2" s="1"/>
  <c r="E46" i="1" s="1"/>
  <c r="I186" i="4"/>
  <c r="J186" i="4" s="1"/>
  <c r="AP153" i="4"/>
  <c r="I136" i="4"/>
  <c r="I155" i="4"/>
  <c r="J155" i="4" s="1"/>
  <c r="X155" i="4" s="1"/>
  <c r="Y155" i="4" s="1"/>
  <c r="AP109" i="4"/>
  <c r="AP56" i="4"/>
  <c r="AP44" i="4"/>
  <c r="I67" i="4"/>
  <c r="J67" i="4" s="1"/>
  <c r="L67" i="4" s="1"/>
  <c r="AP14" i="4"/>
  <c r="AP19" i="4"/>
  <c r="I66" i="4"/>
  <c r="J66" i="4" s="1"/>
  <c r="M66" i="2"/>
  <c r="L66" i="2" s="1"/>
  <c r="G243" i="2" s="1"/>
  <c r="I153" i="4"/>
  <c r="J153" i="4" s="1"/>
  <c r="I138" i="4"/>
  <c r="J138" i="4" s="1"/>
  <c r="L138" i="4" s="1"/>
  <c r="AP169" i="4"/>
  <c r="AP128" i="4"/>
  <c r="AP154" i="4"/>
  <c r="AP190" i="4"/>
  <c r="I81" i="4"/>
  <c r="I14" i="4"/>
  <c r="J14" i="4" s="1"/>
  <c r="AP97" i="4"/>
  <c r="I15" i="4"/>
  <c r="J15" i="4" s="1"/>
  <c r="I70" i="4"/>
  <c r="J70" i="4" s="1"/>
  <c r="L70" i="4" s="1"/>
  <c r="I43" i="4"/>
  <c r="J43" i="4" s="1"/>
  <c r="B44" i="4"/>
  <c r="B194" i="2"/>
  <c r="B217" i="2" s="1"/>
  <c r="C17" i="3"/>
  <c r="D20" i="3"/>
  <c r="D31" i="3"/>
  <c r="D29" i="3"/>
  <c r="D28" i="3"/>
  <c r="D14" i="3"/>
  <c r="C21" i="3"/>
  <c r="C34" i="3"/>
  <c r="D26" i="3"/>
  <c r="D23" i="3"/>
  <c r="AP103" i="4"/>
  <c r="AP110" i="4"/>
  <c r="AP189" i="4"/>
  <c r="AP125" i="4"/>
  <c r="AP61" i="4"/>
  <c r="I183" i="4"/>
  <c r="J183" i="4" s="1"/>
  <c r="K183" i="4" s="1"/>
  <c r="AP51" i="4"/>
  <c r="I42" i="4"/>
  <c r="J42" i="4" s="1"/>
  <c r="L42" i="4" s="1"/>
  <c r="AP188" i="4"/>
  <c r="I52" i="4"/>
  <c r="J52" i="4" s="1"/>
  <c r="X52" i="4" s="1"/>
  <c r="Y52" i="4" s="1"/>
  <c r="I12" i="4"/>
  <c r="J12" i="4" s="1"/>
  <c r="AP91" i="4"/>
  <c r="AP166" i="4"/>
  <c r="AP36" i="4"/>
  <c r="AP181" i="4"/>
  <c r="AP163" i="4"/>
  <c r="AP35" i="4"/>
  <c r="AP195" i="4"/>
  <c r="AP72" i="4"/>
  <c r="AP105" i="4"/>
  <c r="AP101" i="4"/>
  <c r="I206" i="4"/>
  <c r="J206" i="4" s="1"/>
  <c r="X206" i="4" s="1"/>
  <c r="Y206" i="4" s="1"/>
  <c r="AP142" i="4"/>
  <c r="AL50" i="4"/>
  <c r="AP115" i="4"/>
  <c r="AP96" i="4"/>
  <c r="I80" i="4"/>
  <c r="J80" i="4" s="1"/>
  <c r="R80" i="4" s="1"/>
  <c r="S80" i="4" s="1"/>
  <c r="T80" i="4" s="1"/>
  <c r="I205" i="4"/>
  <c r="J205" i="4" s="1"/>
  <c r="U205" i="4" s="1"/>
  <c r="V205" i="4" s="1"/>
  <c r="W205" i="4" s="1"/>
  <c r="AP54" i="4"/>
  <c r="AI192" i="4"/>
  <c r="AI89" i="4"/>
  <c r="AI198" i="4"/>
  <c r="AI205" i="4"/>
  <c r="AI130" i="4"/>
  <c r="AI57" i="4"/>
  <c r="AI119" i="4"/>
  <c r="I35" i="4"/>
  <c r="J35" i="4" s="1"/>
  <c r="K35" i="4" s="1"/>
  <c r="AP12" i="4"/>
  <c r="I189" i="4"/>
  <c r="J189" i="4" s="1"/>
  <c r="N189" i="4" s="1"/>
  <c r="O189" i="4" s="1"/>
  <c r="Q189" i="4" s="1"/>
  <c r="I166" i="4"/>
  <c r="I181" i="4"/>
  <c r="AP183" i="4"/>
  <c r="I61" i="4"/>
  <c r="I195" i="4"/>
  <c r="I91" i="4"/>
  <c r="J91" i="4" s="1"/>
  <c r="E13" i="1"/>
  <c r="C55" i="16" s="1"/>
  <c r="D55" i="16" s="1"/>
  <c r="B275" i="2"/>
  <c r="AJ65" i="4"/>
  <c r="AM81" i="4"/>
  <c r="AM43" i="4"/>
  <c r="AM19" i="4"/>
  <c r="AM62" i="4"/>
  <c r="AM20" i="4"/>
  <c r="AM37" i="4"/>
  <c r="AI12" i="4"/>
  <c r="AJ38" i="4"/>
  <c r="AJ28" i="4"/>
  <c r="AJ74" i="4"/>
  <c r="AJ27" i="4"/>
  <c r="AI81" i="4"/>
  <c r="AJ163" i="4"/>
  <c r="AJ130" i="4"/>
  <c r="AJ202" i="4"/>
  <c r="AJ153" i="4"/>
  <c r="B13" i="4"/>
  <c r="AM205" i="4"/>
  <c r="AM161" i="4"/>
  <c r="AM160" i="4"/>
  <c r="AM156" i="4"/>
  <c r="AM176" i="4"/>
  <c r="AM127" i="4"/>
  <c r="AM133" i="4"/>
  <c r="AI140" i="4"/>
  <c r="AI120" i="4"/>
  <c r="AI128" i="4"/>
  <c r="AJ175" i="4"/>
  <c r="AI185" i="4"/>
  <c r="AI85" i="4"/>
  <c r="AI114" i="4"/>
  <c r="AL17" i="4"/>
  <c r="AN17" i="4" s="1"/>
  <c r="AL88" i="4"/>
  <c r="AL159" i="4"/>
  <c r="AN159" i="4" s="1"/>
  <c r="AL31" i="4"/>
  <c r="AN31" i="4" s="1"/>
  <c r="AL110" i="4"/>
  <c r="AN110" i="4" s="1"/>
  <c r="AL191" i="4"/>
  <c r="AL101" i="4"/>
  <c r="AL207" i="4"/>
  <c r="AL100" i="4"/>
  <c r="AL171" i="4"/>
  <c r="AN171" i="4" s="1"/>
  <c r="AL35" i="4"/>
  <c r="AN35" i="4" s="1"/>
  <c r="AL170" i="4"/>
  <c r="AL42" i="4"/>
  <c r="AN42" i="4" s="1"/>
  <c r="AM22" i="4"/>
  <c r="AM57" i="4"/>
  <c r="AM59" i="4"/>
  <c r="AM84" i="4"/>
  <c r="AI97" i="4"/>
  <c r="AJ81" i="4"/>
  <c r="AI87" i="4"/>
  <c r="AI43" i="4"/>
  <c r="AJ77" i="4"/>
  <c r="AJ88" i="4"/>
  <c r="AJ71" i="4"/>
  <c r="AI28" i="4"/>
  <c r="AJ52" i="4"/>
  <c r="AI25" i="4"/>
  <c r="AJ152" i="4"/>
  <c r="AJ154" i="4"/>
  <c r="AJ166" i="4"/>
  <c r="AM198" i="4"/>
  <c r="AM179" i="4"/>
  <c r="AM166" i="4"/>
  <c r="AM173" i="4"/>
  <c r="AM126" i="4"/>
  <c r="AM132" i="4"/>
  <c r="AI112" i="4"/>
  <c r="AI167" i="4"/>
  <c r="AI181" i="4"/>
  <c r="AI146" i="4"/>
  <c r="AI110" i="4"/>
  <c r="AL208" i="4"/>
  <c r="AL80" i="4"/>
  <c r="AL151" i="4"/>
  <c r="AL23" i="4"/>
  <c r="AL102" i="4"/>
  <c r="AL206" i="4"/>
  <c r="AN206" i="4" s="1"/>
  <c r="AL93" i="4"/>
  <c r="AL183" i="4"/>
  <c r="AN183" i="4" s="1"/>
  <c r="AL92" i="4"/>
  <c r="AN92" i="4" s="1"/>
  <c r="AL163" i="4"/>
  <c r="AN163" i="4" s="1"/>
  <c r="AL27" i="4"/>
  <c r="AL162" i="4"/>
  <c r="AL34" i="4"/>
  <c r="AN34" i="4" s="1"/>
  <c r="AI65" i="4"/>
  <c r="AM35" i="4"/>
  <c r="AM105" i="4"/>
  <c r="AM77" i="4"/>
  <c r="AM71" i="4"/>
  <c r="AM61" i="4"/>
  <c r="AM97" i="4"/>
  <c r="AM14" i="4"/>
  <c r="AI23" i="4"/>
  <c r="AI35" i="4"/>
  <c r="AJ70" i="4"/>
  <c r="AJ14" i="4"/>
  <c r="AI95" i="4"/>
  <c r="AI14" i="4"/>
  <c r="AJ87" i="4"/>
  <c r="AJ43" i="4"/>
  <c r="AJ165" i="4"/>
  <c r="AJ138" i="4"/>
  <c r="AJ186" i="4"/>
  <c r="AM203" i="4"/>
  <c r="AM178" i="4"/>
  <c r="AM192" i="4"/>
  <c r="AM153" i="4"/>
  <c r="AM151" i="4"/>
  <c r="AM172" i="4"/>
  <c r="AM131" i="4"/>
  <c r="AI68" i="4"/>
  <c r="AJ112" i="4"/>
  <c r="AI177" i="4"/>
  <c r="AI129" i="4"/>
  <c r="AI142" i="4"/>
  <c r="AJ46" i="4"/>
  <c r="AL200" i="4"/>
  <c r="AN200" i="4" s="1"/>
  <c r="AL72" i="4"/>
  <c r="AN72" i="4" s="1"/>
  <c r="AL143" i="4"/>
  <c r="AL15" i="4"/>
  <c r="AN15" i="4" s="1"/>
  <c r="AL94" i="4"/>
  <c r="AL190" i="4"/>
  <c r="AN190" i="4" s="1"/>
  <c r="AL85" i="4"/>
  <c r="AL182" i="4"/>
  <c r="AN182" i="4" s="1"/>
  <c r="AL84" i="4"/>
  <c r="AL147" i="4"/>
  <c r="AL19" i="4"/>
  <c r="AN19" i="4" s="1"/>
  <c r="AL154" i="4"/>
  <c r="AN154" i="4" s="1"/>
  <c r="AL26" i="4"/>
  <c r="AM106" i="4"/>
  <c r="AM31" i="4"/>
  <c r="AM9" i="4"/>
  <c r="AM85" i="4"/>
  <c r="AM67" i="4"/>
  <c r="AM52" i="4"/>
  <c r="AM86" i="4"/>
  <c r="AI62" i="4"/>
  <c r="AI66" i="4"/>
  <c r="AJ37" i="4"/>
  <c r="AJ17" i="4"/>
  <c r="AJ48" i="4"/>
  <c r="AJ79" i="4"/>
  <c r="AJ29" i="4"/>
  <c r="AJ137" i="4"/>
  <c r="B4" i="6"/>
  <c r="B12" i="6" s="1"/>
  <c r="B223" i="2"/>
  <c r="AM201" i="4"/>
  <c r="AM177" i="4"/>
  <c r="AM150" i="4"/>
  <c r="AM159" i="4"/>
  <c r="AM171" i="4"/>
  <c r="AM141" i="4"/>
  <c r="AM123" i="4"/>
  <c r="AI159" i="4"/>
  <c r="AI173" i="4"/>
  <c r="AI125" i="4"/>
  <c r="AI174" i="4"/>
  <c r="AI42" i="4"/>
  <c r="AL192" i="4"/>
  <c r="AN192" i="4" s="1"/>
  <c r="AL64" i="4"/>
  <c r="AN64" i="4" s="1"/>
  <c r="AL135" i="4"/>
  <c r="AN135" i="4" s="1"/>
  <c r="AL185" i="4"/>
  <c r="AL86" i="4"/>
  <c r="AL205" i="4"/>
  <c r="AL77" i="4"/>
  <c r="AL204" i="4"/>
  <c r="AN204" i="4" s="1"/>
  <c r="AL76" i="4"/>
  <c r="AN76" i="4" s="1"/>
  <c r="AL139" i="4"/>
  <c r="AN139" i="4" s="1"/>
  <c r="AL11" i="4"/>
  <c r="AL146" i="4"/>
  <c r="AN146" i="4" s="1"/>
  <c r="AL18" i="4"/>
  <c r="AM60" i="4"/>
  <c r="AM104" i="4"/>
  <c r="AM15" i="4"/>
  <c r="AM107" i="4"/>
  <c r="AM25" i="4"/>
  <c r="AM91" i="4"/>
  <c r="AJ73" i="4"/>
  <c r="AJ58" i="4"/>
  <c r="AI86" i="4"/>
  <c r="AJ155" i="4"/>
  <c r="AJ129" i="4"/>
  <c r="AJ159" i="4"/>
  <c r="AJ180" i="4"/>
  <c r="B78" i="4"/>
  <c r="B77" i="4"/>
  <c r="AM181" i="4"/>
  <c r="AM199" i="4"/>
  <c r="AM149" i="4"/>
  <c r="AM158" i="4"/>
  <c r="AM148" i="4"/>
  <c r="AM170" i="4"/>
  <c r="AM137" i="4"/>
  <c r="AM124" i="4"/>
  <c r="AM114" i="4"/>
  <c r="AI151" i="4"/>
  <c r="AJ173" i="4"/>
  <c r="AI115" i="4"/>
  <c r="AI206" i="4"/>
  <c r="AJ174" i="4"/>
  <c r="AI138" i="4"/>
  <c r="AL184" i="4"/>
  <c r="AN184" i="4" s="1"/>
  <c r="AL56" i="4"/>
  <c r="AN56" i="4" s="1"/>
  <c r="AL127" i="4"/>
  <c r="AN127" i="4" s="1"/>
  <c r="AL121" i="4"/>
  <c r="AL78" i="4"/>
  <c r="AL197" i="4"/>
  <c r="AL69" i="4"/>
  <c r="AN69" i="4" s="1"/>
  <c r="AL196" i="4"/>
  <c r="AL68" i="4"/>
  <c r="AL131" i="4"/>
  <c r="AN131" i="4" s="1"/>
  <c r="AL201" i="4"/>
  <c r="AL138" i="4"/>
  <c r="AN138" i="4" s="1"/>
  <c r="AL10" i="4"/>
  <c r="AN10" i="4" s="1"/>
  <c r="AM33" i="4"/>
  <c r="AM80" i="4"/>
  <c r="AM46" i="4"/>
  <c r="AM11" i="4"/>
  <c r="AM45" i="4"/>
  <c r="AM13" i="4"/>
  <c r="AJ72" i="4"/>
  <c r="AJ90" i="4"/>
  <c r="AI10" i="4"/>
  <c r="AJ42" i="4"/>
  <c r="AI70" i="4"/>
  <c r="AJ181" i="4"/>
  <c r="AJ194" i="4"/>
  <c r="AJ128" i="4"/>
  <c r="AJ134" i="4"/>
  <c r="AJ120" i="4"/>
  <c r="AJ204" i="4"/>
  <c r="AM169" i="4"/>
  <c r="AM145" i="4"/>
  <c r="AM168" i="4"/>
  <c r="AM134" i="4"/>
  <c r="AM119" i="4"/>
  <c r="AM113" i="4"/>
  <c r="AI20" i="4"/>
  <c r="AI143" i="4"/>
  <c r="AI169" i="4"/>
  <c r="AI199" i="4"/>
  <c r="AL176" i="4"/>
  <c r="AN176" i="4" s="1"/>
  <c r="AL48" i="4"/>
  <c r="AN48" i="4" s="1"/>
  <c r="AL119" i="4"/>
  <c r="AL49" i="4"/>
  <c r="AN49" i="4" s="1"/>
  <c r="AL70" i="4"/>
  <c r="AN70" i="4" s="1"/>
  <c r="AL189" i="4"/>
  <c r="AN189" i="4" s="1"/>
  <c r="AL61" i="4"/>
  <c r="AL188" i="4"/>
  <c r="AL60" i="4"/>
  <c r="AL123" i="4"/>
  <c r="AL153" i="4"/>
  <c r="AL130" i="4"/>
  <c r="AN130" i="4" s="1"/>
  <c r="AM53" i="4"/>
  <c r="AM24" i="4"/>
  <c r="AM102" i="4"/>
  <c r="AM74" i="4"/>
  <c r="AM79" i="4"/>
  <c r="AM12" i="4"/>
  <c r="AI71" i="4"/>
  <c r="AJ89" i="4"/>
  <c r="AI27" i="4"/>
  <c r="AI91" i="4"/>
  <c r="AJ93" i="4"/>
  <c r="AJ168" i="4"/>
  <c r="AJ195" i="4"/>
  <c r="AJ158" i="4"/>
  <c r="AJ151" i="4"/>
  <c r="AJ157" i="4"/>
  <c r="B224" i="2"/>
  <c r="AM195" i="4"/>
  <c r="AM157" i="4"/>
  <c r="AM202" i="4"/>
  <c r="AM165" i="4"/>
  <c r="AI135" i="4"/>
  <c r="AI191" i="4"/>
  <c r="AI107" i="4"/>
  <c r="AI202" i="4"/>
  <c r="AI134" i="4"/>
  <c r="AL168" i="4"/>
  <c r="AN168" i="4" s="1"/>
  <c r="AL40" i="4"/>
  <c r="AN40" i="4" s="1"/>
  <c r="AL111" i="4"/>
  <c r="AL199" i="4"/>
  <c r="AL62" i="4"/>
  <c r="AN62" i="4" s="1"/>
  <c r="AL181" i="4"/>
  <c r="AN181" i="4" s="1"/>
  <c r="AL53" i="4"/>
  <c r="AN53" i="4" s="1"/>
  <c r="AL180" i="4"/>
  <c r="AL52" i="4"/>
  <c r="AN52" i="4" s="1"/>
  <c r="AL115" i="4"/>
  <c r="AN115" i="4" s="1"/>
  <c r="AL105" i="4"/>
  <c r="AN105" i="4" s="1"/>
  <c r="AL122" i="4"/>
  <c r="AM27" i="4"/>
  <c r="AM99" i="4"/>
  <c r="AM78" i="4"/>
  <c r="AM38" i="4"/>
  <c r="AM90" i="4"/>
  <c r="AM100" i="4"/>
  <c r="AM73" i="4"/>
  <c r="AJ107" i="4"/>
  <c r="AJ21" i="4"/>
  <c r="AJ76" i="4"/>
  <c r="AI77" i="4"/>
  <c r="AI16" i="4"/>
  <c r="AJ91" i="4"/>
  <c r="AI38" i="4"/>
  <c r="AJ149" i="4"/>
  <c r="AJ176" i="4"/>
  <c r="AJ199" i="4"/>
  <c r="AJ201" i="4"/>
  <c r="AM152" i="4"/>
  <c r="AM194" i="4"/>
  <c r="AM208" i="4"/>
  <c r="AM164" i="4"/>
  <c r="AM146" i="4"/>
  <c r="AM115" i="4"/>
  <c r="AI196" i="4"/>
  <c r="AI127" i="4"/>
  <c r="AI209" i="4"/>
  <c r="AI165" i="4"/>
  <c r="AI183" i="4"/>
  <c r="AI166" i="4"/>
  <c r="AL160" i="4"/>
  <c r="AN160" i="4" s="1"/>
  <c r="AL32" i="4"/>
  <c r="AN32" i="4" s="1"/>
  <c r="AL103" i="4"/>
  <c r="AN103" i="4" s="1"/>
  <c r="AL198" i="4"/>
  <c r="AL54" i="4"/>
  <c r="AN54" i="4" s="1"/>
  <c r="AL173" i="4"/>
  <c r="AN173" i="4" s="1"/>
  <c r="AL45" i="4"/>
  <c r="AN45" i="4" s="1"/>
  <c r="AL172" i="4"/>
  <c r="AL44" i="4"/>
  <c r="AL107" i="4"/>
  <c r="AL57" i="4"/>
  <c r="AL114" i="4"/>
  <c r="AN114" i="4" s="1"/>
  <c r="AM36" i="4"/>
  <c r="AM23" i="4"/>
  <c r="AM89" i="4"/>
  <c r="AM92" i="4"/>
  <c r="AM29" i="4"/>
  <c r="AM75" i="4"/>
  <c r="AJ33" i="4"/>
  <c r="AI78" i="4"/>
  <c r="AI93" i="4"/>
  <c r="AI80" i="4"/>
  <c r="AJ44" i="4"/>
  <c r="AJ150" i="4"/>
  <c r="AJ116" i="4"/>
  <c r="AM191" i="4"/>
  <c r="AM147" i="4"/>
  <c r="AM118" i="4"/>
  <c r="AM183" i="4"/>
  <c r="AM125" i="4"/>
  <c r="AM162" i="4"/>
  <c r="AM121" i="4"/>
  <c r="AM144" i="4"/>
  <c r="AI200" i="4"/>
  <c r="AI180" i="4"/>
  <c r="AI111" i="4"/>
  <c r="AI157" i="4"/>
  <c r="AI113" i="4"/>
  <c r="AI49" i="4"/>
  <c r="AI171" i="4"/>
  <c r="AI162" i="4"/>
  <c r="AL144" i="4"/>
  <c r="AN144" i="4" s="1"/>
  <c r="AL16" i="4"/>
  <c r="AN16" i="4" s="1"/>
  <c r="AL87" i="4"/>
  <c r="AL166" i="4"/>
  <c r="AN166" i="4" s="1"/>
  <c r="AL38" i="4"/>
  <c r="AN38" i="4" s="1"/>
  <c r="AL157" i="4"/>
  <c r="AL29" i="4"/>
  <c r="AN29" i="4" s="1"/>
  <c r="AL156" i="4"/>
  <c r="AN156" i="4" s="1"/>
  <c r="AL28" i="4"/>
  <c r="AL91" i="4"/>
  <c r="AN91" i="4" s="1"/>
  <c r="AL179" i="4"/>
  <c r="AN179" i="4" s="1"/>
  <c r="AL98" i="4"/>
  <c r="AN98" i="4" s="1"/>
  <c r="AM65" i="4"/>
  <c r="AM83" i="4"/>
  <c r="AM18" i="4"/>
  <c r="AM50" i="4"/>
  <c r="AM48" i="4"/>
  <c r="AM39" i="4"/>
  <c r="AM69" i="4"/>
  <c r="AI17" i="4"/>
  <c r="AJ56" i="4"/>
  <c r="AJ60" i="4"/>
  <c r="AJ63" i="4"/>
  <c r="AI59" i="4"/>
  <c r="AJ61" i="4"/>
  <c r="AJ197" i="4"/>
  <c r="AJ162" i="4"/>
  <c r="AJ148" i="4"/>
  <c r="AJ132" i="4"/>
  <c r="AJ185" i="4"/>
  <c r="AM190" i="4"/>
  <c r="AM175" i="4"/>
  <c r="AM197" i="4"/>
  <c r="AM120" i="4"/>
  <c r="AM142" i="4"/>
  <c r="AM112" i="4"/>
  <c r="AI204" i="4"/>
  <c r="AJ200" i="4"/>
  <c r="AI176" i="4"/>
  <c r="AJ111" i="4"/>
  <c r="AI201" i="4"/>
  <c r="AI153" i="4"/>
  <c r="AI109" i="4"/>
  <c r="AJ45" i="4"/>
  <c r="AI194" i="4"/>
  <c r="AI126" i="4"/>
  <c r="AL136" i="4"/>
  <c r="AL193" i="4"/>
  <c r="AN193" i="4" s="1"/>
  <c r="AL79" i="4"/>
  <c r="AL158" i="4"/>
  <c r="AN158" i="4" s="1"/>
  <c r="AL30" i="4"/>
  <c r="AL149" i="4"/>
  <c r="AL21" i="4"/>
  <c r="AN21" i="4" s="1"/>
  <c r="AL148" i="4"/>
  <c r="AN148" i="4" s="1"/>
  <c r="AL20" i="4"/>
  <c r="AN20" i="4" s="1"/>
  <c r="AL83" i="4"/>
  <c r="AN83" i="4" s="1"/>
  <c r="AL155" i="4"/>
  <c r="AN155" i="4" s="1"/>
  <c r="AL90" i="4"/>
  <c r="AM98" i="4"/>
  <c r="AM94" i="4"/>
  <c r="AM16" i="4"/>
  <c r="AM40" i="4"/>
  <c r="AM17" i="4"/>
  <c r="AM54" i="4"/>
  <c r="AM87" i="4"/>
  <c r="AI88" i="4"/>
  <c r="AI15" i="4"/>
  <c r="AI44" i="4"/>
  <c r="AI58" i="4"/>
  <c r="AI99" i="4"/>
  <c r="AJ85" i="4"/>
  <c r="AJ98" i="4"/>
  <c r="AI102" i="4"/>
  <c r="AJ19" i="4"/>
  <c r="AJ140" i="4"/>
  <c r="AJ144" i="4"/>
  <c r="J169" i="4"/>
  <c r="N169" i="4" s="1"/>
  <c r="O169" i="4" s="1"/>
  <c r="Q169" i="4" s="1"/>
  <c r="AJ122" i="4"/>
  <c r="AM189" i="4"/>
  <c r="AM204" i="4"/>
  <c r="AM193" i="4"/>
  <c r="AM187" i="4"/>
  <c r="AM117" i="4"/>
  <c r="AM140" i="4"/>
  <c r="AM111" i="4"/>
  <c r="AI188" i="4"/>
  <c r="AI184" i="4"/>
  <c r="AI149" i="4"/>
  <c r="AL128" i="4"/>
  <c r="AN128" i="4" s="1"/>
  <c r="AL137" i="4"/>
  <c r="AL71" i="4"/>
  <c r="AL150" i="4"/>
  <c r="AN150" i="4" s="1"/>
  <c r="AL22" i="4"/>
  <c r="AN22" i="4" s="1"/>
  <c r="AL141" i="4"/>
  <c r="AN141" i="4" s="1"/>
  <c r="AL13" i="4"/>
  <c r="AL140" i="4"/>
  <c r="AN140" i="4" s="1"/>
  <c r="AL12" i="4"/>
  <c r="AL75" i="4"/>
  <c r="AL9" i="4"/>
  <c r="AN9" i="4" s="1"/>
  <c r="AL82" i="4"/>
  <c r="AN82" i="4" s="1"/>
  <c r="AM82" i="4"/>
  <c r="AM55" i="4"/>
  <c r="AM101" i="4"/>
  <c r="AM58" i="4"/>
  <c r="AM26" i="4"/>
  <c r="AM103" i="4"/>
  <c r="AJ25" i="4"/>
  <c r="AJ16" i="4"/>
  <c r="AJ102" i="4"/>
  <c r="AI29" i="4"/>
  <c r="AI22" i="4"/>
  <c r="AI63" i="4"/>
  <c r="AJ10" i="4"/>
  <c r="AJ95" i="4"/>
  <c r="AJ97" i="4"/>
  <c r="AJ126" i="4"/>
  <c r="AJ190" i="4"/>
  <c r="AJ136" i="4"/>
  <c r="J150" i="4"/>
  <c r="K150" i="4" s="1"/>
  <c r="AM209" i="4"/>
  <c r="AM122" i="4"/>
  <c r="AM188" i="4"/>
  <c r="AM186" i="4"/>
  <c r="AM155" i="4"/>
  <c r="AM116" i="4"/>
  <c r="AM139" i="4"/>
  <c r="AJ184" i="4"/>
  <c r="AI148" i="4"/>
  <c r="AI195" i="4"/>
  <c r="AI197" i="4"/>
  <c r="AI145" i="4"/>
  <c r="AI190" i="4"/>
  <c r="AI122" i="4"/>
  <c r="AL177" i="4"/>
  <c r="AN177" i="4" s="1"/>
  <c r="AL120" i="4"/>
  <c r="AN120" i="4" s="1"/>
  <c r="AL89" i="4"/>
  <c r="AN89" i="4" s="1"/>
  <c r="AL63" i="4"/>
  <c r="AN63" i="4" s="1"/>
  <c r="AL142" i="4"/>
  <c r="AN142" i="4" s="1"/>
  <c r="AL14" i="4"/>
  <c r="AL133" i="4"/>
  <c r="AN133" i="4" s="1"/>
  <c r="AL209" i="4"/>
  <c r="AN209" i="4" s="1"/>
  <c r="AL132" i="4"/>
  <c r="AN132" i="4" s="1"/>
  <c r="AL161" i="4"/>
  <c r="AL67" i="4"/>
  <c r="AN67" i="4" s="1"/>
  <c r="AL202" i="4"/>
  <c r="AL74" i="4"/>
  <c r="AN74" i="4" s="1"/>
  <c r="AM42" i="4"/>
  <c r="AM49" i="4"/>
  <c r="AM47" i="4"/>
  <c r="AM56" i="4"/>
  <c r="AM96" i="4"/>
  <c r="AM76" i="4"/>
  <c r="AJ66" i="4"/>
  <c r="AI69" i="4"/>
  <c r="AI73" i="4"/>
  <c r="AJ35" i="4"/>
  <c r="AI67" i="4"/>
  <c r="AJ57" i="4"/>
  <c r="AI82" i="4"/>
  <c r="AJ67" i="4"/>
  <c r="AJ78" i="4"/>
  <c r="AJ127" i="4"/>
  <c r="J171" i="4"/>
  <c r="K171" i="4" s="1"/>
  <c r="AM184" i="4"/>
  <c r="AM167" i="4"/>
  <c r="AM185" i="4"/>
  <c r="AM154" i="4"/>
  <c r="AM143" i="4"/>
  <c r="AM138" i="4"/>
  <c r="AI168" i="4"/>
  <c r="AI132" i="4"/>
  <c r="AI187" i="4"/>
  <c r="AI154" i="4"/>
  <c r="AL129" i="4"/>
  <c r="AN129" i="4" s="1"/>
  <c r="AL112" i="4"/>
  <c r="AN112" i="4" s="1"/>
  <c r="AL25" i="4"/>
  <c r="AL55" i="4"/>
  <c r="AL134" i="4"/>
  <c r="AL169" i="4"/>
  <c r="AN169" i="4" s="1"/>
  <c r="AL125" i="4"/>
  <c r="AL145" i="4"/>
  <c r="AN145" i="4" s="1"/>
  <c r="AL124" i="4"/>
  <c r="AL73" i="4"/>
  <c r="AL59" i="4"/>
  <c r="AN59" i="4" s="1"/>
  <c r="AL194" i="4"/>
  <c r="AN194" i="4" s="1"/>
  <c r="AL66" i="4"/>
  <c r="AN66" i="4" s="1"/>
  <c r="AM28" i="4"/>
  <c r="AM95" i="4"/>
  <c r="AM88" i="4"/>
  <c r="AM108" i="4"/>
  <c r="AM93" i="4"/>
  <c r="AM51" i="4"/>
  <c r="AI106" i="4"/>
  <c r="AI76" i="4"/>
  <c r="AI72" i="4"/>
  <c r="AI56" i="4"/>
  <c r="AI19" i="4"/>
  <c r="AJ59" i="4"/>
  <c r="AI61" i="4"/>
  <c r="AJ15" i="4"/>
  <c r="AJ51" i="4"/>
  <c r="J136" i="4"/>
  <c r="AD136" i="4" s="1"/>
  <c r="AE136" i="4" s="1"/>
  <c r="AJ169" i="4"/>
  <c r="AJ171" i="4"/>
  <c r="AJ115" i="4"/>
  <c r="AM10" i="4"/>
  <c r="AM207" i="4"/>
  <c r="AM136" i="4"/>
  <c r="AM130" i="4"/>
  <c r="AI152" i="4"/>
  <c r="AI144" i="4"/>
  <c r="AI179" i="4"/>
  <c r="AI189" i="4"/>
  <c r="AI186" i="4"/>
  <c r="AI118" i="4"/>
  <c r="AL81" i="4"/>
  <c r="AL104" i="4"/>
  <c r="AN104" i="4" s="1"/>
  <c r="AL175" i="4"/>
  <c r="AN175" i="4" s="1"/>
  <c r="AL47" i="4"/>
  <c r="AL126" i="4"/>
  <c r="AL113" i="4"/>
  <c r="AN113" i="4" s="1"/>
  <c r="AL117" i="4"/>
  <c r="AN117" i="4" s="1"/>
  <c r="AL97" i="4"/>
  <c r="AN97" i="4" s="1"/>
  <c r="AL116" i="4"/>
  <c r="AN116" i="4" s="1"/>
  <c r="AL203" i="4"/>
  <c r="AN203" i="4" s="1"/>
  <c r="AL51" i="4"/>
  <c r="AN51" i="4" s="1"/>
  <c r="AL186" i="4"/>
  <c r="AN186" i="4" s="1"/>
  <c r="AL58" i="4"/>
  <c r="AN58" i="4" s="1"/>
  <c r="AM64" i="4"/>
  <c r="AM34" i="4"/>
  <c r="AM72" i="4"/>
  <c r="AM68" i="4"/>
  <c r="AM30" i="4"/>
  <c r="AM41" i="4"/>
  <c r="AI79" i="4"/>
  <c r="AJ99" i="4"/>
  <c r="AI51" i="4"/>
  <c r="AJ69" i="4"/>
  <c r="AI52" i="4"/>
  <c r="AI74" i="4"/>
  <c r="AI60" i="4"/>
  <c r="AI100" i="4"/>
  <c r="AJ94" i="4"/>
  <c r="AJ80" i="4"/>
  <c r="AJ189" i="4"/>
  <c r="AJ125" i="4"/>
  <c r="AJ198" i="4"/>
  <c r="AM206" i="4"/>
  <c r="AM182" i="4"/>
  <c r="AM200" i="4"/>
  <c r="AM196" i="4"/>
  <c r="AM174" i="4"/>
  <c r="AM135" i="4"/>
  <c r="AM129" i="4"/>
  <c r="AI136" i="4"/>
  <c r="AI116" i="4"/>
  <c r="AI175" i="4"/>
  <c r="AI137" i="4"/>
  <c r="AL65" i="4"/>
  <c r="AN65" i="4" s="1"/>
  <c r="AL96" i="4"/>
  <c r="AN96" i="4" s="1"/>
  <c r="AL167" i="4"/>
  <c r="AN167" i="4" s="1"/>
  <c r="AL39" i="4"/>
  <c r="AL118" i="4"/>
  <c r="AN118" i="4" s="1"/>
  <c r="AL41" i="4"/>
  <c r="AN41" i="4" s="1"/>
  <c r="AL109" i="4"/>
  <c r="AN109" i="4" s="1"/>
  <c r="AL33" i="4"/>
  <c r="AL108" i="4"/>
  <c r="AN108" i="4" s="1"/>
  <c r="AL187" i="4"/>
  <c r="AN187" i="4" s="1"/>
  <c r="AL43" i="4"/>
  <c r="AN43" i="4" s="1"/>
  <c r="AL178" i="4"/>
  <c r="I113" i="4"/>
  <c r="AJ53" i="4"/>
  <c r="AP205" i="4"/>
  <c r="AP174" i="4"/>
  <c r="AP9" i="4"/>
  <c r="AI36" i="4"/>
  <c r="AP46" i="4"/>
  <c r="I45" i="4"/>
  <c r="I112" i="4"/>
  <c r="J112" i="4" s="1"/>
  <c r="N112" i="4" s="1"/>
  <c r="O112" i="4" s="1"/>
  <c r="Q112" i="4" s="1"/>
  <c r="AJ146" i="4"/>
  <c r="AJ114" i="4"/>
  <c r="AJ206" i="4"/>
  <c r="AJ209" i="4"/>
  <c r="AJ179" i="4"/>
  <c r="AJ50" i="4"/>
  <c r="I146" i="4"/>
  <c r="J146" i="4" s="1"/>
  <c r="R146" i="4" s="1"/>
  <c r="S146" i="4" s="1"/>
  <c r="T146" i="4" s="1"/>
  <c r="AP145" i="4"/>
  <c r="AJ113" i="4"/>
  <c r="I184" i="4"/>
  <c r="J184" i="4" s="1"/>
  <c r="L184" i="4" s="1"/>
  <c r="AP177" i="4"/>
  <c r="I106" i="4"/>
  <c r="AJ103" i="4"/>
  <c r="AP80" i="4"/>
  <c r="AJ54" i="4"/>
  <c r="AJ101" i="4"/>
  <c r="AI9" i="4"/>
  <c r="I175" i="4"/>
  <c r="J175" i="4" s="1"/>
  <c r="N175" i="4" s="1"/>
  <c r="O175" i="4" s="1"/>
  <c r="Q175" i="4" s="1"/>
  <c r="I115" i="4"/>
  <c r="AJ188" i="4"/>
  <c r="I109" i="4"/>
  <c r="AJ68" i="4"/>
  <c r="I9" i="4"/>
  <c r="AJ36" i="4"/>
  <c r="AI103" i="4"/>
  <c r="I174" i="4"/>
  <c r="J174" i="4" s="1"/>
  <c r="R174" i="4" s="1"/>
  <c r="S174" i="4" s="1"/>
  <c r="T174" i="4" s="1"/>
  <c r="AP191" i="4"/>
  <c r="I196" i="4"/>
  <c r="J196" i="4" s="1"/>
  <c r="L196" i="4" s="1"/>
  <c r="AJ119" i="4"/>
  <c r="AP179" i="4"/>
  <c r="I36" i="4"/>
  <c r="J36" i="4" s="1"/>
  <c r="AD36" i="4" s="1"/>
  <c r="AE36" i="4" s="1"/>
  <c r="AI46" i="4"/>
  <c r="AP106" i="4"/>
  <c r="I114" i="4"/>
  <c r="J114" i="4" s="1"/>
  <c r="R114" i="4" s="1"/>
  <c r="S114" i="4" s="1"/>
  <c r="T114" i="4" s="1"/>
  <c r="I111" i="4"/>
  <c r="AP111" i="4"/>
  <c r="AP209" i="4"/>
  <c r="AP123" i="4"/>
  <c r="AP196" i="4"/>
  <c r="I200" i="4"/>
  <c r="J200" i="4" s="1"/>
  <c r="X200" i="4" s="1"/>
  <c r="Y200" i="4" s="1"/>
  <c r="AI101" i="4"/>
  <c r="AI96" i="4"/>
  <c r="AP45" i="4"/>
  <c r="I20" i="4"/>
  <c r="J20" i="4" s="1"/>
  <c r="U20" i="4" s="1"/>
  <c r="V20" i="4" s="1"/>
  <c r="W20" i="4" s="1"/>
  <c r="AJ110" i="4"/>
  <c r="AP206" i="4"/>
  <c r="AP175" i="4"/>
  <c r="AP41" i="4"/>
  <c r="I41" i="4"/>
  <c r="I96" i="4"/>
  <c r="J96" i="4" s="1"/>
  <c r="K96" i="4" s="1"/>
  <c r="AP68" i="4"/>
  <c r="AP200" i="4"/>
  <c r="I46" i="4"/>
  <c r="AJ49" i="4"/>
  <c r="I49" i="4"/>
  <c r="AJ96" i="4"/>
  <c r="I191" i="4"/>
  <c r="J191" i="4" s="1"/>
  <c r="N191" i="4" s="1"/>
  <c r="O191" i="4" s="1"/>
  <c r="Q191" i="4" s="1"/>
  <c r="AJ145" i="4"/>
  <c r="AJ205" i="4"/>
  <c r="AJ183" i="4"/>
  <c r="I179" i="4"/>
  <c r="J179" i="4" s="1"/>
  <c r="N179" i="4" s="1"/>
  <c r="O179" i="4" s="1"/>
  <c r="Q179" i="4" s="1"/>
  <c r="AP113" i="4"/>
  <c r="I209" i="4"/>
  <c r="J209" i="4" s="1"/>
  <c r="K209" i="4" s="1"/>
  <c r="AP52" i="4"/>
  <c r="AJ106" i="4"/>
  <c r="AJ142" i="4"/>
  <c r="I188" i="4"/>
  <c r="J188" i="4" s="1"/>
  <c r="N188" i="4" s="1"/>
  <c r="O188" i="4" s="1"/>
  <c r="Q188" i="4" s="1"/>
  <c r="I177" i="4"/>
  <c r="J177" i="4" s="1"/>
  <c r="K177" i="4" s="1"/>
  <c r="I101" i="4"/>
  <c r="J101" i="4" s="1"/>
  <c r="K101" i="4" s="1"/>
  <c r="AJ9" i="4"/>
  <c r="AP42" i="4"/>
  <c r="AP112" i="4"/>
  <c r="AJ191" i="4"/>
  <c r="I110" i="4"/>
  <c r="J110" i="4" s="1"/>
  <c r="L110" i="4" s="1"/>
  <c r="AP107" i="4"/>
  <c r="I142" i="4"/>
  <c r="J142" i="4" s="1"/>
  <c r="U142" i="4" s="1"/>
  <c r="V142" i="4" s="1"/>
  <c r="W142" i="4" s="1"/>
  <c r="AP114" i="4"/>
  <c r="I145" i="4"/>
  <c r="J145" i="4" s="1"/>
  <c r="AD145" i="4" s="1"/>
  <c r="AE145" i="4" s="1"/>
  <c r="AP119" i="4"/>
  <c r="AI123" i="4" l="1"/>
  <c r="AI92" i="4"/>
  <c r="AP208" i="4"/>
  <c r="A682" i="3"/>
  <c r="C27" i="3"/>
  <c r="D11" i="3"/>
  <c r="D35" i="3"/>
  <c r="I62" i="4"/>
  <c r="J62" i="4" s="1"/>
  <c r="U62" i="4" s="1"/>
  <c r="V62" i="4" s="1"/>
  <c r="W62" i="4" s="1"/>
  <c r="AP94" i="4"/>
  <c r="AP139" i="4"/>
  <c r="I92" i="4"/>
  <c r="J92" i="4" s="1"/>
  <c r="AI124" i="4"/>
  <c r="AI83" i="4"/>
  <c r="C35" i="3"/>
  <c r="D32" i="3"/>
  <c r="D9" i="3"/>
  <c r="D33" i="3"/>
  <c r="AP64" i="4"/>
  <c r="AP133" i="4"/>
  <c r="I170" i="4"/>
  <c r="J170" i="4" s="1"/>
  <c r="N170" i="4" s="1"/>
  <c r="O170" i="4" s="1"/>
  <c r="Q170" i="4" s="1"/>
  <c r="AI54" i="4"/>
  <c r="AI141" i="4"/>
  <c r="AI208" i="4"/>
  <c r="AI64" i="4"/>
  <c r="AN88" i="4"/>
  <c r="C33" i="3"/>
  <c r="C15" i="3"/>
  <c r="D18" i="3"/>
  <c r="C23" i="3"/>
  <c r="I64" i="4"/>
  <c r="J64" i="4" s="1"/>
  <c r="N64" i="4" s="1"/>
  <c r="O64" i="4" s="1"/>
  <c r="Q64" i="4" s="1"/>
  <c r="AP193" i="4"/>
  <c r="AJ133" i="4"/>
  <c r="I53" i="4"/>
  <c r="AJ11" i="4"/>
  <c r="AN157" i="4"/>
  <c r="AJ193" i="4"/>
  <c r="AJ83" i="4"/>
  <c r="AI193" i="4"/>
  <c r="AJ208" i="4"/>
  <c r="C37" i="3"/>
  <c r="D12" i="3"/>
  <c r="D10" i="3"/>
  <c r="C9" i="3"/>
  <c r="I94" i="4"/>
  <c r="J94" i="4" s="1"/>
  <c r="K94" i="4" s="1"/>
  <c r="I33" i="4"/>
  <c r="J33" i="4" s="1"/>
  <c r="K33" i="4" s="1"/>
  <c r="AI13" i="4"/>
  <c r="J327" i="3"/>
  <c r="AN30" i="4"/>
  <c r="X199" i="4"/>
  <c r="Y199" i="4" s="1"/>
  <c r="AI24" i="4"/>
  <c r="AI139" i="4"/>
  <c r="AJ141" i="4"/>
  <c r="AN87" i="4"/>
  <c r="AI117" i="4"/>
  <c r="AN85" i="4"/>
  <c r="D25" i="3"/>
  <c r="C28" i="3"/>
  <c r="C12" i="3"/>
  <c r="C11" i="3"/>
  <c r="AP18" i="4"/>
  <c r="I13" i="4"/>
  <c r="J13" i="4" s="1"/>
  <c r="R13" i="4" s="1"/>
  <c r="S13" i="4" s="1"/>
  <c r="T13" i="4" s="1"/>
  <c r="AN39" i="4"/>
  <c r="R199" i="4"/>
  <c r="S199" i="4" s="1"/>
  <c r="T199" i="4" s="1"/>
  <c r="I123" i="4"/>
  <c r="J123" i="4" s="1"/>
  <c r="K123" i="4" s="1"/>
  <c r="AN180" i="4"/>
  <c r="AI170" i="4"/>
  <c r="AJ164" i="4"/>
  <c r="AI47" i="4"/>
  <c r="C22" i="3"/>
  <c r="C29" i="3"/>
  <c r="D22" i="3"/>
  <c r="AP164" i="4"/>
  <c r="I47" i="4"/>
  <c r="J47" i="4" s="1"/>
  <c r="R47" i="4" s="1"/>
  <c r="S47" i="4" s="1"/>
  <c r="T47" i="4" s="1"/>
  <c r="AN73" i="4"/>
  <c r="AN137" i="4"/>
  <c r="AN57" i="4"/>
  <c r="AN201" i="4"/>
  <c r="AN205" i="4"/>
  <c r="AN143" i="4"/>
  <c r="AN80" i="4"/>
  <c r="AJ13" i="4"/>
  <c r="C13" i="3"/>
  <c r="C10" i="3"/>
  <c r="E60" i="1"/>
  <c r="I133" i="4"/>
  <c r="J133" i="4" s="1"/>
  <c r="N133" i="4" s="1"/>
  <c r="O133" i="4" s="1"/>
  <c r="Q133" i="4" s="1"/>
  <c r="I139" i="4"/>
  <c r="J139" i="4" s="1"/>
  <c r="L139" i="4" s="1"/>
  <c r="AP30" i="4"/>
  <c r="AP32" i="4"/>
  <c r="D36" i="3"/>
  <c r="J199" i="3"/>
  <c r="J645" i="3"/>
  <c r="J65" i="3"/>
  <c r="J123" i="3"/>
  <c r="J313" i="3"/>
  <c r="J658" i="3"/>
  <c r="J232" i="3"/>
  <c r="J216" i="3"/>
  <c r="I24" i="4"/>
  <c r="I84" i="4"/>
  <c r="J84" i="4" s="1"/>
  <c r="R84" i="4" s="1"/>
  <c r="S84" i="4" s="1"/>
  <c r="T84" i="4" s="1"/>
  <c r="AI18" i="4"/>
  <c r="AJ203" i="4"/>
  <c r="AN208" i="4"/>
  <c r="AI32" i="4"/>
  <c r="D17" i="3"/>
  <c r="D13" i="3"/>
  <c r="C14" i="3"/>
  <c r="AP170" i="4"/>
  <c r="AP53" i="4"/>
  <c r="AJ84" i="4"/>
  <c r="AN151" i="4"/>
  <c r="AN125" i="4"/>
  <c r="AJ124" i="4"/>
  <c r="AI11" i="4"/>
  <c r="AN185" i="4"/>
  <c r="D16" i="3"/>
  <c r="C18" i="3"/>
  <c r="C16" i="3"/>
  <c r="AP124" i="4"/>
  <c r="AP141" i="4"/>
  <c r="AJ18" i="4"/>
  <c r="AN172" i="4"/>
  <c r="AJ32" i="4"/>
  <c r="AN100" i="4"/>
  <c r="D21" i="3"/>
  <c r="D27" i="3"/>
  <c r="D34" i="3"/>
  <c r="J194" i="3"/>
  <c r="J82" i="3"/>
  <c r="J213" i="3"/>
  <c r="J16" i="3"/>
  <c r="J406" i="3"/>
  <c r="J561" i="3"/>
  <c r="J360" i="3"/>
  <c r="AI203" i="4"/>
  <c r="AN60" i="4"/>
  <c r="AN197" i="4"/>
  <c r="D15" i="3"/>
  <c r="C32" i="3"/>
  <c r="D24" i="3"/>
  <c r="AN188" i="4"/>
  <c r="C24" i="3"/>
  <c r="C26" i="3"/>
  <c r="C25" i="3"/>
  <c r="AP11" i="4"/>
  <c r="I164" i="4"/>
  <c r="J164" i="4" s="1"/>
  <c r="K164" i="4" s="1"/>
  <c r="C36" i="3"/>
  <c r="J300" i="3"/>
  <c r="J162" i="3"/>
  <c r="J178" i="3"/>
  <c r="J274" i="3"/>
  <c r="J644" i="3"/>
  <c r="J63" i="3"/>
  <c r="D19" i="3"/>
  <c r="C31" i="3"/>
  <c r="C20" i="3"/>
  <c r="D37" i="3"/>
  <c r="AN55" i="4"/>
  <c r="AP178" i="4"/>
  <c r="AN47" i="4"/>
  <c r="AJ207" i="4"/>
  <c r="AN111" i="4"/>
  <c r="AN86" i="4"/>
  <c r="AJ131" i="4"/>
  <c r="AN106" i="4"/>
  <c r="I55" i="4"/>
  <c r="J55" i="4" s="1"/>
  <c r="K55" i="4" s="1"/>
  <c r="U199" i="4"/>
  <c r="V199" i="4" s="1"/>
  <c r="W199" i="4" s="1"/>
  <c r="AI131" i="4"/>
  <c r="AJ135" i="4"/>
  <c r="AI147" i="4"/>
  <c r="AN202" i="4"/>
  <c r="AN28" i="4"/>
  <c r="AN198" i="4"/>
  <c r="AN78" i="4"/>
  <c r="AN207" i="4"/>
  <c r="AI37" i="4"/>
  <c r="AN174" i="4"/>
  <c r="L199" i="4"/>
  <c r="AN12" i="4"/>
  <c r="AN26" i="4"/>
  <c r="AN162" i="4"/>
  <c r="AN46" i="4"/>
  <c r="AN161" i="4"/>
  <c r="AN27" i="4"/>
  <c r="I75" i="4"/>
  <c r="J75" i="4" s="1"/>
  <c r="R75" i="4" s="1"/>
  <c r="S75" i="4" s="1"/>
  <c r="T75" i="4" s="1"/>
  <c r="AP207" i="4"/>
  <c r="AN178" i="4"/>
  <c r="AP147" i="4"/>
  <c r="AN84" i="4"/>
  <c r="I147" i="4"/>
  <c r="J147" i="4" s="1"/>
  <c r="R147" i="4" s="1"/>
  <c r="S147" i="4" s="1"/>
  <c r="T147" i="4" s="1"/>
  <c r="AJ55" i="4"/>
  <c r="AN124" i="4"/>
  <c r="AN14" i="4"/>
  <c r="AN11" i="4"/>
  <c r="I135" i="4"/>
  <c r="J135" i="4" s="1"/>
  <c r="R135" i="4" s="1"/>
  <c r="S135" i="4" s="1"/>
  <c r="T135" i="4" s="1"/>
  <c r="AJ75" i="4"/>
  <c r="AP75" i="4"/>
  <c r="AP121" i="4"/>
  <c r="AN37" i="4"/>
  <c r="AI121" i="4"/>
  <c r="AN94" i="4"/>
  <c r="I121" i="4"/>
  <c r="J121" i="4" s="1"/>
  <c r="N121" i="4" s="1"/>
  <c r="O121" i="4" s="1"/>
  <c r="Q121" i="4" s="1"/>
  <c r="AN134" i="4"/>
  <c r="U183" i="4"/>
  <c r="V183" i="4" s="1"/>
  <c r="W183" i="4" s="1"/>
  <c r="K65" i="4"/>
  <c r="N65" i="4"/>
  <c r="O65" i="4" s="1"/>
  <c r="Q65" i="4" s="1"/>
  <c r="L183" i="4"/>
  <c r="X65" i="4"/>
  <c r="Y65" i="4" s="1"/>
  <c r="AN99" i="4"/>
  <c r="K199" i="4"/>
  <c r="AN164" i="4"/>
  <c r="AN95" i="4"/>
  <c r="AN24" i="4"/>
  <c r="I48" i="4"/>
  <c r="J48" i="4" s="1"/>
  <c r="AP82" i="4"/>
  <c r="AP161" i="4"/>
  <c r="AP172" i="4"/>
  <c r="AI26" i="4"/>
  <c r="AJ161" i="4"/>
  <c r="AP168" i="4"/>
  <c r="I39" i="4"/>
  <c r="J39" i="4" s="1"/>
  <c r="X39" i="4" s="1"/>
  <c r="Y39" i="4" s="1"/>
  <c r="N165" i="4"/>
  <c r="O165" i="4" s="1"/>
  <c r="Q165" i="4" s="1"/>
  <c r="AI90" i="4"/>
  <c r="AI98" i="4"/>
  <c r="AJ104" i="4"/>
  <c r="AP182" i="4"/>
  <c r="AP100" i="4"/>
  <c r="AP160" i="4"/>
  <c r="AP40" i="4"/>
  <c r="AJ20" i="4"/>
  <c r="AJ100" i="4"/>
  <c r="AI172" i="4"/>
  <c r="AI104" i="4"/>
  <c r="AI155" i="4"/>
  <c r="AJ156" i="4"/>
  <c r="AJ39" i="4"/>
  <c r="I207" i="4"/>
  <c r="J207" i="4" s="1"/>
  <c r="AD207" i="4" s="1"/>
  <c r="AE207" i="4" s="1"/>
  <c r="AP108" i="4"/>
  <c r="I104" i="4"/>
  <c r="J104" i="4" s="1"/>
  <c r="N104" i="4" s="1"/>
  <c r="O104" i="4" s="1"/>
  <c r="Q104" i="4" s="1"/>
  <c r="AP39" i="4"/>
  <c r="I30" i="4"/>
  <c r="J30" i="4" s="1"/>
  <c r="U30" i="4" s="1"/>
  <c r="V30" i="4" s="1"/>
  <c r="W30" i="4" s="1"/>
  <c r="I108" i="4"/>
  <c r="J108" i="4" s="1"/>
  <c r="X108" i="4" s="1"/>
  <c r="Y108" i="4" s="1"/>
  <c r="AP50" i="4"/>
  <c r="AJ26" i="4"/>
  <c r="R183" i="4"/>
  <c r="S183" i="4" s="1"/>
  <c r="T183" i="4" s="1"/>
  <c r="B72" i="4"/>
  <c r="B73" i="4"/>
  <c r="AI163" i="4"/>
  <c r="AI108" i="4"/>
  <c r="AP48" i="4"/>
  <c r="I162" i="4"/>
  <c r="J162" i="4" s="1"/>
  <c r="X162" i="4" s="1"/>
  <c r="Y162" i="4" s="1"/>
  <c r="AJ24" i="4"/>
  <c r="AI41" i="4"/>
  <c r="AJ22" i="4"/>
  <c r="I172" i="4"/>
  <c r="J172" i="4" s="1"/>
  <c r="R172" i="4" s="1"/>
  <c r="S172" i="4" s="1"/>
  <c r="T172" i="4" s="1"/>
  <c r="I82" i="4"/>
  <c r="J82" i="4" s="1"/>
  <c r="R82" i="4" s="1"/>
  <c r="S82" i="4" s="1"/>
  <c r="T82" i="4" s="1"/>
  <c r="AP167" i="4"/>
  <c r="I161" i="4"/>
  <c r="J161" i="4" s="1"/>
  <c r="N161" i="4" s="1"/>
  <c r="O161" i="4" s="1"/>
  <c r="Q161" i="4" s="1"/>
  <c r="AP156" i="4"/>
  <c r="AI156" i="4"/>
  <c r="I187" i="4"/>
  <c r="J187" i="4" s="1"/>
  <c r="N187" i="4" s="1"/>
  <c r="O187" i="4" s="1"/>
  <c r="Q187" i="4" s="1"/>
  <c r="AP131" i="4"/>
  <c r="I167" i="4"/>
  <c r="J167" i="4" s="1"/>
  <c r="L167" i="4" s="1"/>
  <c r="I34" i="4"/>
  <c r="J34" i="4" s="1"/>
  <c r="AI34" i="4"/>
  <c r="I26" i="4"/>
  <c r="J26" i="4" s="1"/>
  <c r="L26" i="4" s="1"/>
  <c r="AP150" i="4"/>
  <c r="I50" i="4"/>
  <c r="J50" i="4" s="1"/>
  <c r="X50" i="4" s="1"/>
  <c r="Y50" i="4" s="1"/>
  <c r="AP31" i="4"/>
  <c r="AJ187" i="4"/>
  <c r="I117" i="4"/>
  <c r="J117" i="4" s="1"/>
  <c r="R117" i="4" s="1"/>
  <c r="S117" i="4" s="1"/>
  <c r="T117" i="4" s="1"/>
  <c r="AP22" i="4"/>
  <c r="AP118" i="4"/>
  <c r="I31" i="4"/>
  <c r="J31" i="4" s="1"/>
  <c r="K31" i="4" s="1"/>
  <c r="AJ40" i="4"/>
  <c r="AI105" i="4"/>
  <c r="AJ31" i="4"/>
  <c r="AI40" i="4"/>
  <c r="AI160" i="4"/>
  <c r="B216" i="2"/>
  <c r="I105" i="4"/>
  <c r="J105" i="4" s="1"/>
  <c r="N105" i="4" s="1"/>
  <c r="O105" i="4" s="1"/>
  <c r="Q105" i="4" s="1"/>
  <c r="AJ30" i="4"/>
  <c r="B17" i="2"/>
  <c r="I178" i="4"/>
  <c r="J178" i="4" s="1"/>
  <c r="K178" i="4" s="1"/>
  <c r="AI178" i="4"/>
  <c r="AI182" i="4"/>
  <c r="I69" i="4"/>
  <c r="J69" i="4" s="1"/>
  <c r="K69" i="4" s="1"/>
  <c r="I158" i="4"/>
  <c r="J158" i="4" s="1"/>
  <c r="U158" i="4" s="1"/>
  <c r="V158" i="4" s="1"/>
  <c r="W158" i="4" s="1"/>
  <c r="AI158" i="4"/>
  <c r="AD199" i="4"/>
  <c r="AE199" i="4" s="1"/>
  <c r="J198" i="4"/>
  <c r="R198" i="4" s="1"/>
  <c r="S198" i="4" s="1"/>
  <c r="T198" i="4" s="1"/>
  <c r="R136" i="4"/>
  <c r="S136" i="4" s="1"/>
  <c r="T136" i="4" s="1"/>
  <c r="J168" i="4"/>
  <c r="R168" i="4" s="1"/>
  <c r="S168" i="4" s="1"/>
  <c r="T168" i="4" s="1"/>
  <c r="J81" i="4"/>
  <c r="AD81" i="4" s="1"/>
  <c r="AE81" i="4" s="1"/>
  <c r="X97" i="4"/>
  <c r="Y97" i="4" s="1"/>
  <c r="K97" i="4"/>
  <c r="K182" i="4"/>
  <c r="U136" i="4"/>
  <c r="V136" i="4" s="1"/>
  <c r="W136" i="4" s="1"/>
  <c r="X152" i="4"/>
  <c r="Y152" i="4" s="1"/>
  <c r="U65" i="4"/>
  <c r="V65" i="4" s="1"/>
  <c r="W65" i="4" s="1"/>
  <c r="R65" i="4"/>
  <c r="S65" i="4" s="1"/>
  <c r="T65" i="4" s="1"/>
  <c r="R150" i="4"/>
  <c r="S150" i="4" s="1"/>
  <c r="T150" i="4" s="1"/>
  <c r="J131" i="4"/>
  <c r="K131" i="4" s="1"/>
  <c r="X194" i="4"/>
  <c r="Y194" i="4" s="1"/>
  <c r="R27" i="4"/>
  <c r="S27" i="4" s="1"/>
  <c r="T27" i="4" s="1"/>
  <c r="K204" i="4"/>
  <c r="N204" i="4"/>
  <c r="O204" i="4" s="1"/>
  <c r="Q204" i="4" s="1"/>
  <c r="L204" i="4"/>
  <c r="M204" i="4" s="1"/>
  <c r="AA204" i="4" s="1"/>
  <c r="R116" i="4"/>
  <c r="S116" i="4" s="1"/>
  <c r="T116" i="4" s="1"/>
  <c r="N116" i="4"/>
  <c r="O116" i="4" s="1"/>
  <c r="Q116" i="4" s="1"/>
  <c r="K116" i="4"/>
  <c r="L116" i="4"/>
  <c r="M116" i="4" s="1"/>
  <c r="AA116" i="4" s="1"/>
  <c r="U150" i="4"/>
  <c r="V150" i="4" s="1"/>
  <c r="W150" i="4" s="1"/>
  <c r="L150" i="4"/>
  <c r="AD51" i="4"/>
  <c r="AE51" i="4" s="1"/>
  <c r="AD88" i="4"/>
  <c r="AE88" i="4" s="1"/>
  <c r="X183" i="4"/>
  <c r="Y183" i="4" s="1"/>
  <c r="R194" i="4"/>
  <c r="S194" i="4" s="1"/>
  <c r="T194" i="4" s="1"/>
  <c r="J181" i="4"/>
  <c r="R181" i="4" s="1"/>
  <c r="S181" i="4" s="1"/>
  <c r="T181" i="4" s="1"/>
  <c r="U51" i="4"/>
  <c r="V51" i="4" s="1"/>
  <c r="W51" i="4" s="1"/>
  <c r="N183" i="4"/>
  <c r="O183" i="4" s="1"/>
  <c r="Q183" i="4" s="1"/>
  <c r="AD68" i="4"/>
  <c r="AE68" i="4" s="1"/>
  <c r="N97" i="4"/>
  <c r="O97" i="4" s="1"/>
  <c r="Q97" i="4" s="1"/>
  <c r="X51" i="4"/>
  <c r="Y51" i="4" s="1"/>
  <c r="D242" i="2"/>
  <c r="B245" i="2" s="1"/>
  <c r="D243" i="2" s="1"/>
  <c r="E243" i="2" s="1"/>
  <c r="R193" i="4"/>
  <c r="S193" i="4" s="1"/>
  <c r="T193" i="4" s="1"/>
  <c r="K51" i="4"/>
  <c r="X116" i="4"/>
  <c r="Y116" i="4" s="1"/>
  <c r="B244" i="2"/>
  <c r="D44" i="16" s="1"/>
  <c r="K170" i="4"/>
  <c r="AD183" i="4"/>
  <c r="AE183" i="4" s="1"/>
  <c r="U97" i="4"/>
  <c r="V97" i="4" s="1"/>
  <c r="W97" i="4" s="1"/>
  <c r="X150" i="4"/>
  <c r="Y150" i="4" s="1"/>
  <c r="U123" i="4"/>
  <c r="V123" i="4" s="1"/>
  <c r="W123" i="4" s="1"/>
  <c r="L147" i="4"/>
  <c r="AB147" i="4" s="1"/>
  <c r="J74" i="4"/>
  <c r="R74" i="4" s="1"/>
  <c r="S74" i="4" s="1"/>
  <c r="T74" i="4" s="1"/>
  <c r="J125" i="4"/>
  <c r="X125" i="4" s="1"/>
  <c r="Y125" i="4" s="1"/>
  <c r="B153" i="2"/>
  <c r="B146" i="2" s="1"/>
  <c r="B135" i="2" s="1"/>
  <c r="B136" i="2" s="1"/>
  <c r="L159" i="4"/>
  <c r="AD159" i="4"/>
  <c r="AE159" i="4" s="1"/>
  <c r="L33" i="4"/>
  <c r="AB33" i="4" s="1"/>
  <c r="N13" i="4"/>
  <c r="O13" i="4" s="1"/>
  <c r="Q13" i="4" s="1"/>
  <c r="L64" i="4"/>
  <c r="AB64" i="4" s="1"/>
  <c r="AD64" i="4"/>
  <c r="AE64" i="4" s="1"/>
  <c r="R19" i="4"/>
  <c r="S19" i="4" s="1"/>
  <c r="T19" i="4" s="1"/>
  <c r="K19" i="4"/>
  <c r="N19" i="4"/>
  <c r="O19" i="4" s="1"/>
  <c r="Q19" i="4" s="1"/>
  <c r="L19" i="4"/>
  <c r="AB19" i="4" s="1"/>
  <c r="N129" i="4"/>
  <c r="O129" i="4" s="1"/>
  <c r="Q129" i="4" s="1"/>
  <c r="K129" i="4"/>
  <c r="L129" i="4"/>
  <c r="AB129" i="4" s="1"/>
  <c r="X129" i="4"/>
  <c r="Y129" i="4" s="1"/>
  <c r="U129" i="4"/>
  <c r="V129" i="4" s="1"/>
  <c r="W129" i="4" s="1"/>
  <c r="AD129" i="4"/>
  <c r="AE129" i="4" s="1"/>
  <c r="R129" i="4"/>
  <c r="S129" i="4" s="1"/>
  <c r="T129" i="4" s="1"/>
  <c r="K153" i="4"/>
  <c r="L153" i="4"/>
  <c r="M153" i="4" s="1"/>
  <c r="AA153" i="4" s="1"/>
  <c r="X153" i="4"/>
  <c r="Y153" i="4" s="1"/>
  <c r="R153" i="4"/>
  <c r="S153" i="4" s="1"/>
  <c r="T153" i="4" s="1"/>
  <c r="N153" i="4"/>
  <c r="O153" i="4" s="1"/>
  <c r="Q153" i="4" s="1"/>
  <c r="L140" i="4"/>
  <c r="K140" i="4"/>
  <c r="R140" i="4"/>
  <c r="S140" i="4" s="1"/>
  <c r="T140" i="4" s="1"/>
  <c r="U140" i="4"/>
  <c r="V140" i="4" s="1"/>
  <c r="W140" i="4" s="1"/>
  <c r="AD140" i="4"/>
  <c r="AE140" i="4" s="1"/>
  <c r="L88" i="4"/>
  <c r="M88" i="4" s="1"/>
  <c r="AA88" i="4" s="1"/>
  <c r="AD89" i="4"/>
  <c r="AE89" i="4" s="1"/>
  <c r="X19" i="4"/>
  <c r="Y19" i="4" s="1"/>
  <c r="AN126" i="4"/>
  <c r="AN71" i="4"/>
  <c r="AN61" i="4"/>
  <c r="AN77" i="4"/>
  <c r="B30" i="2"/>
  <c r="E16" i="1" s="1"/>
  <c r="AD201" i="4"/>
  <c r="AE201" i="4" s="1"/>
  <c r="AN33" i="4"/>
  <c r="AN90" i="4"/>
  <c r="J180" i="4"/>
  <c r="X180" i="4" s="1"/>
  <c r="Y180" i="4" s="1"/>
  <c r="N136" i="4"/>
  <c r="O136" i="4" s="1"/>
  <c r="Q136" i="4" s="1"/>
  <c r="J103" i="4"/>
  <c r="AD128" i="4"/>
  <c r="AE128" i="4" s="1"/>
  <c r="X136" i="4"/>
  <c r="Y136" i="4" s="1"/>
  <c r="AD19" i="4"/>
  <c r="AE19" i="4" s="1"/>
  <c r="J58" i="4"/>
  <c r="AN81" i="4"/>
  <c r="B85" i="2"/>
  <c r="AN199" i="4"/>
  <c r="AN119" i="4"/>
  <c r="AN170" i="4"/>
  <c r="X68" i="4"/>
  <c r="Y68" i="4" s="1"/>
  <c r="U152" i="4"/>
  <c r="V152" i="4" s="1"/>
  <c r="W152" i="4" s="1"/>
  <c r="L171" i="4"/>
  <c r="AD27" i="4"/>
  <c r="AE27" i="4" s="1"/>
  <c r="R68" i="4"/>
  <c r="S68" i="4" s="1"/>
  <c r="T68" i="4" s="1"/>
  <c r="N56" i="4"/>
  <c r="O56" i="4" s="1"/>
  <c r="Q56" i="4" s="1"/>
  <c r="AN149" i="4"/>
  <c r="AN147" i="4"/>
  <c r="AN93" i="4"/>
  <c r="N51" i="4"/>
  <c r="O51" i="4" s="1"/>
  <c r="Q51" i="4" s="1"/>
  <c r="AN195" i="4"/>
  <c r="N68" i="4"/>
  <c r="O68" i="4" s="1"/>
  <c r="Q68" i="4" s="1"/>
  <c r="AN68" i="4"/>
  <c r="U88" i="4"/>
  <c r="V88" i="4" s="1"/>
  <c r="W88" i="4" s="1"/>
  <c r="R56" i="4"/>
  <c r="S56" i="4" s="1"/>
  <c r="T56" i="4" s="1"/>
  <c r="AN75" i="4"/>
  <c r="AN196" i="4"/>
  <c r="AN102" i="4"/>
  <c r="AN101" i="4"/>
  <c r="AD152" i="4"/>
  <c r="AE152" i="4" s="1"/>
  <c r="U204" i="4"/>
  <c r="V204" i="4" s="1"/>
  <c r="W204" i="4" s="1"/>
  <c r="AD204" i="4"/>
  <c r="AE204" i="4" s="1"/>
  <c r="U68" i="4"/>
  <c r="V68" i="4" s="1"/>
  <c r="W68" i="4" s="1"/>
  <c r="U126" i="4"/>
  <c r="V126" i="4" s="1"/>
  <c r="W126" i="4" s="1"/>
  <c r="AN25" i="4"/>
  <c r="AN79" i="4"/>
  <c r="AN18" i="4"/>
  <c r="AN23" i="4"/>
  <c r="AN191" i="4"/>
  <c r="U19" i="4"/>
  <c r="V19" i="4" s="1"/>
  <c r="W19" i="4" s="1"/>
  <c r="R204" i="4"/>
  <c r="S204" i="4" s="1"/>
  <c r="T204" i="4" s="1"/>
  <c r="R110" i="4"/>
  <c r="S110" i="4" s="1"/>
  <c r="T110" i="4" s="1"/>
  <c r="R88" i="4"/>
  <c r="S88" i="4" s="1"/>
  <c r="T88" i="4" s="1"/>
  <c r="AN13" i="4"/>
  <c r="AN136" i="4"/>
  <c r="AN107" i="4"/>
  <c r="AN122" i="4"/>
  <c r="AN153" i="4"/>
  <c r="AN50" i="4"/>
  <c r="AD171" i="4"/>
  <c r="AE171" i="4" s="1"/>
  <c r="X204" i="4"/>
  <c r="Y204" i="4" s="1"/>
  <c r="AN44" i="4"/>
  <c r="AN123" i="4"/>
  <c r="AN121" i="4"/>
  <c r="U55" i="4"/>
  <c r="V55" i="4" s="1"/>
  <c r="W55" i="4" s="1"/>
  <c r="X176" i="4"/>
  <c r="Y176" i="4" s="1"/>
  <c r="R176" i="4"/>
  <c r="S176" i="4" s="1"/>
  <c r="T176" i="4" s="1"/>
  <c r="AD176" i="4"/>
  <c r="AE176" i="4" s="1"/>
  <c r="K176" i="4"/>
  <c r="U176" i="4"/>
  <c r="V176" i="4" s="1"/>
  <c r="W176" i="4" s="1"/>
  <c r="L176" i="4"/>
  <c r="M176" i="4" s="1"/>
  <c r="AA176" i="4" s="1"/>
  <c r="N176" i="4"/>
  <c r="O176" i="4" s="1"/>
  <c r="Q176" i="4" s="1"/>
  <c r="X186" i="4"/>
  <c r="Y186" i="4" s="1"/>
  <c r="U186" i="4"/>
  <c r="V186" i="4" s="1"/>
  <c r="W186" i="4" s="1"/>
  <c r="K186" i="4"/>
  <c r="R186" i="4"/>
  <c r="S186" i="4" s="1"/>
  <c r="T186" i="4" s="1"/>
  <c r="L186" i="4"/>
  <c r="M186" i="4" s="1"/>
  <c r="AA186" i="4" s="1"/>
  <c r="AD186" i="4"/>
  <c r="AE186" i="4" s="1"/>
  <c r="N186" i="4"/>
  <c r="O186" i="4" s="1"/>
  <c r="Q186" i="4" s="1"/>
  <c r="K138" i="4"/>
  <c r="AF138" i="4" s="1"/>
  <c r="X107" i="4"/>
  <c r="Y107" i="4" s="1"/>
  <c r="X191" i="4"/>
  <c r="Y191" i="4" s="1"/>
  <c r="N110" i="4"/>
  <c r="O110" i="4" s="1"/>
  <c r="Q110" i="4" s="1"/>
  <c r="U170" i="4"/>
  <c r="V170" i="4" s="1"/>
  <c r="W170" i="4" s="1"/>
  <c r="U147" i="4"/>
  <c r="V147" i="4" s="1"/>
  <c r="W147" i="4" s="1"/>
  <c r="J143" i="4"/>
  <c r="N143" i="4" s="1"/>
  <c r="O143" i="4" s="1"/>
  <c r="Q143" i="4" s="1"/>
  <c r="B34" i="3"/>
  <c r="AR34" i="3"/>
  <c r="AQ34" i="3"/>
  <c r="X170" i="4"/>
  <c r="Y170" i="4" s="1"/>
  <c r="A103" i="8"/>
  <c r="AR30" i="3"/>
  <c r="B30" i="3"/>
  <c r="AQ30" i="3"/>
  <c r="AD110" i="4"/>
  <c r="AE110" i="4" s="1"/>
  <c r="AD32" i="4"/>
  <c r="AE32" i="4" s="1"/>
  <c r="U155" i="4"/>
  <c r="V155" i="4" s="1"/>
  <c r="W155" i="4" s="1"/>
  <c r="A62" i="8"/>
  <c r="AR33" i="3"/>
  <c r="B33" i="3"/>
  <c r="AQ33" i="3"/>
  <c r="A88" i="8"/>
  <c r="L170" i="4"/>
  <c r="AB170" i="4" s="1"/>
  <c r="U128" i="4"/>
  <c r="V128" i="4" s="1"/>
  <c r="W128" i="4" s="1"/>
  <c r="X32" i="4"/>
  <c r="Y32" i="4" s="1"/>
  <c r="L65" i="4"/>
  <c r="AB65" i="4" s="1"/>
  <c r="A63" i="8"/>
  <c r="A65" i="8"/>
  <c r="AR37" i="3"/>
  <c r="A38" i="3"/>
  <c r="B37" i="3"/>
  <c r="AQ37" i="3"/>
  <c r="R32" i="4"/>
  <c r="S32" i="4" s="1"/>
  <c r="T32" i="4" s="1"/>
  <c r="K147" i="4"/>
  <c r="A82" i="8"/>
  <c r="A71" i="8"/>
  <c r="AD138" i="4"/>
  <c r="AE138" i="4" s="1"/>
  <c r="A104" i="8"/>
  <c r="U193" i="4"/>
  <c r="V193" i="4" s="1"/>
  <c r="W193" i="4" s="1"/>
  <c r="R138" i="4"/>
  <c r="S138" i="4" s="1"/>
  <c r="T138" i="4" s="1"/>
  <c r="J166" i="4"/>
  <c r="X166" i="4" s="1"/>
  <c r="Y166" i="4" s="1"/>
  <c r="B45" i="4"/>
  <c r="A90" i="8"/>
  <c r="D30" i="3"/>
  <c r="A81" i="8"/>
  <c r="X138" i="4"/>
  <c r="Y138" i="4" s="1"/>
  <c r="AD193" i="4"/>
  <c r="AE193" i="4" s="1"/>
  <c r="R209" i="4"/>
  <c r="S209" i="4" s="1"/>
  <c r="T209" i="4" s="1"/>
  <c r="AQ32" i="3"/>
  <c r="AR32" i="3"/>
  <c r="B32" i="3"/>
  <c r="L107" i="4"/>
  <c r="AB107" i="4" s="1"/>
  <c r="L155" i="4"/>
  <c r="M155" i="4" s="1"/>
  <c r="AA155" i="4" s="1"/>
  <c r="N150" i="4"/>
  <c r="O150" i="4" s="1"/>
  <c r="Q150" i="4" s="1"/>
  <c r="R208" i="4"/>
  <c r="S208" i="4" s="1"/>
  <c r="T208" i="4" s="1"/>
  <c r="U107" i="4"/>
  <c r="V107" i="4" s="1"/>
  <c r="W107" i="4" s="1"/>
  <c r="N155" i="4"/>
  <c r="O155" i="4" s="1"/>
  <c r="Q155" i="4" s="1"/>
  <c r="C30" i="3"/>
  <c r="X193" i="4"/>
  <c r="Y193" i="4" s="1"/>
  <c r="AD107" i="4"/>
  <c r="AE107" i="4" s="1"/>
  <c r="U27" i="4"/>
  <c r="V27" i="4" s="1"/>
  <c r="W27" i="4" s="1"/>
  <c r="U116" i="4"/>
  <c r="V116" i="4" s="1"/>
  <c r="W116" i="4" s="1"/>
  <c r="N107" i="4"/>
  <c r="O107" i="4" s="1"/>
  <c r="Q107" i="4" s="1"/>
  <c r="AD155" i="4"/>
  <c r="AE155" i="4" s="1"/>
  <c r="AD65" i="4"/>
  <c r="AE65" i="4" s="1"/>
  <c r="A73" i="8"/>
  <c r="R107" i="4"/>
  <c r="S107" i="4" s="1"/>
  <c r="T107" i="4" s="1"/>
  <c r="AD150" i="4"/>
  <c r="AE150" i="4" s="1"/>
  <c r="X110" i="4"/>
  <c r="Y110" i="4" s="1"/>
  <c r="U110" i="4"/>
  <c r="V110" i="4" s="1"/>
  <c r="W110" i="4" s="1"/>
  <c r="AD116" i="4"/>
  <c r="AE116" i="4" s="1"/>
  <c r="L136" i="4"/>
  <c r="AB136" i="4" s="1"/>
  <c r="K155" i="4"/>
  <c r="U56" i="4"/>
  <c r="V56" i="4" s="1"/>
  <c r="W56" i="4" s="1"/>
  <c r="X88" i="4"/>
  <c r="Y88" i="4" s="1"/>
  <c r="L51" i="4"/>
  <c r="A72" i="8"/>
  <c r="G97" i="2"/>
  <c r="G98" i="2" s="1"/>
  <c r="F97" i="2"/>
  <c r="E53" i="1" s="1"/>
  <c r="C60" i="16" s="1"/>
  <c r="D60" i="16" s="1"/>
  <c r="X66" i="4"/>
  <c r="Y66" i="4" s="1"/>
  <c r="K66" i="4"/>
  <c r="AD137" i="4"/>
  <c r="AE137" i="4" s="1"/>
  <c r="K137" i="4"/>
  <c r="X28" i="4"/>
  <c r="Y28" i="4" s="1"/>
  <c r="L28" i="4"/>
  <c r="M28" i="4" s="1"/>
  <c r="AA28" i="4" s="1"/>
  <c r="K95" i="4"/>
  <c r="L95" i="4"/>
  <c r="M95" i="4" s="1"/>
  <c r="AA95" i="4" s="1"/>
  <c r="L192" i="4"/>
  <c r="AB192" i="4" s="1"/>
  <c r="K192" i="4"/>
  <c r="N156" i="4"/>
  <c r="O156" i="4" s="1"/>
  <c r="Q156" i="4" s="1"/>
  <c r="X62" i="4"/>
  <c r="Y62" i="4" s="1"/>
  <c r="AD62" i="4"/>
  <c r="AE62" i="4" s="1"/>
  <c r="K32" i="4"/>
  <c r="AF32" i="4" s="1"/>
  <c r="B42" i="2"/>
  <c r="B50" i="2" s="1"/>
  <c r="U28" i="4"/>
  <c r="V28" i="4" s="1"/>
  <c r="W28" i="4" s="1"/>
  <c r="B100" i="2"/>
  <c r="B259" i="2"/>
  <c r="B129" i="2"/>
  <c r="E65" i="1" s="1"/>
  <c r="N62" i="4"/>
  <c r="O62" i="4" s="1"/>
  <c r="Q62" i="4" s="1"/>
  <c r="B80" i="2"/>
  <c r="E41" i="1" s="1"/>
  <c r="B28" i="2"/>
  <c r="B62" i="2"/>
  <c r="B159" i="2"/>
  <c r="J132" i="4"/>
  <c r="AD132" i="4" s="1"/>
  <c r="AE132" i="4" s="1"/>
  <c r="A259" i="2"/>
  <c r="J127" i="4"/>
  <c r="AR682" i="3"/>
  <c r="B682" i="3"/>
  <c r="C682" i="3"/>
  <c r="AQ682" i="3"/>
  <c r="D682" i="3"/>
  <c r="N18" i="4"/>
  <c r="O18" i="4" s="1"/>
  <c r="Q18" i="4" s="1"/>
  <c r="X208" i="4"/>
  <c r="Y208" i="4" s="1"/>
  <c r="R156" i="4"/>
  <c r="S156" i="4" s="1"/>
  <c r="T156" i="4" s="1"/>
  <c r="N72" i="4"/>
  <c r="O72" i="4" s="1"/>
  <c r="Q72" i="4" s="1"/>
  <c r="K72" i="4"/>
  <c r="R72" i="4"/>
  <c r="S72" i="4" s="1"/>
  <c r="T72" i="4" s="1"/>
  <c r="U72" i="4"/>
  <c r="V72" i="4" s="1"/>
  <c r="W72" i="4" s="1"/>
  <c r="AD72" i="4"/>
  <c r="AE72" i="4" s="1"/>
  <c r="L72" i="4"/>
  <c r="AB72" i="4" s="1"/>
  <c r="X72" i="4"/>
  <c r="Y72" i="4" s="1"/>
  <c r="K136" i="4"/>
  <c r="U138" i="4"/>
  <c r="V138" i="4" s="1"/>
  <c r="W138" i="4" s="1"/>
  <c r="R155" i="4"/>
  <c r="S155" i="4" s="1"/>
  <c r="T155" i="4" s="1"/>
  <c r="U153" i="4"/>
  <c r="V153" i="4" s="1"/>
  <c r="W153" i="4" s="1"/>
  <c r="N123" i="4"/>
  <c r="O123" i="4" s="1"/>
  <c r="Q123" i="4" s="1"/>
  <c r="N138" i="4"/>
  <c r="O138" i="4" s="1"/>
  <c r="Q138" i="4" s="1"/>
  <c r="AD153" i="4"/>
  <c r="AE153" i="4" s="1"/>
  <c r="J195" i="4"/>
  <c r="U195" i="4" s="1"/>
  <c r="V195" i="4" s="1"/>
  <c r="W195" i="4" s="1"/>
  <c r="U52" i="4"/>
  <c r="V52" i="4" s="1"/>
  <c r="W52" i="4" s="1"/>
  <c r="R37" i="4"/>
  <c r="S37" i="4" s="1"/>
  <c r="T37" i="4" s="1"/>
  <c r="K37" i="4"/>
  <c r="AD135" i="4"/>
  <c r="AE135" i="4" s="1"/>
  <c r="R188" i="4"/>
  <c r="S188" i="4" s="1"/>
  <c r="T188" i="4" s="1"/>
  <c r="K110" i="4"/>
  <c r="AF110" i="4" s="1"/>
  <c r="X188" i="4"/>
  <c r="Y188" i="4" s="1"/>
  <c r="L126" i="4"/>
  <c r="AB126" i="4" s="1"/>
  <c r="N28" i="4"/>
  <c r="O28" i="4" s="1"/>
  <c r="Q28" i="4" s="1"/>
  <c r="AD188" i="4"/>
  <c r="AE188" i="4" s="1"/>
  <c r="AD123" i="4"/>
  <c r="AE123" i="4" s="1"/>
  <c r="K172" i="4"/>
  <c r="X174" i="4"/>
  <c r="Y174" i="4" s="1"/>
  <c r="K188" i="4"/>
  <c r="AD126" i="4"/>
  <c r="AE126" i="4" s="1"/>
  <c r="R28" i="4"/>
  <c r="S28" i="4" s="1"/>
  <c r="T28" i="4" s="1"/>
  <c r="X112" i="4"/>
  <c r="Y112" i="4" s="1"/>
  <c r="N88" i="4"/>
  <c r="O88" i="4" s="1"/>
  <c r="Q88" i="4" s="1"/>
  <c r="AD22" i="4"/>
  <c r="AE22" i="4" s="1"/>
  <c r="AD139" i="4"/>
  <c r="AE139" i="4" s="1"/>
  <c r="K38" i="4"/>
  <c r="R205" i="4"/>
  <c r="S205" i="4" s="1"/>
  <c r="T205" i="4" s="1"/>
  <c r="N134" i="4"/>
  <c r="O134" i="4" s="1"/>
  <c r="Q134" i="4" s="1"/>
  <c r="AD209" i="4"/>
  <c r="AE209" i="4" s="1"/>
  <c r="U191" i="4"/>
  <c r="V191" i="4" s="1"/>
  <c r="W191" i="4" s="1"/>
  <c r="N171" i="4"/>
  <c r="O171" i="4" s="1"/>
  <c r="Q171" i="4" s="1"/>
  <c r="R133" i="4"/>
  <c r="S133" i="4" s="1"/>
  <c r="T133" i="4" s="1"/>
  <c r="R191" i="4"/>
  <c r="S191" i="4" s="1"/>
  <c r="T191" i="4" s="1"/>
  <c r="L191" i="4"/>
  <c r="AB191" i="4" s="1"/>
  <c r="X133" i="4"/>
  <c r="Y133" i="4" s="1"/>
  <c r="K191" i="4"/>
  <c r="N122" i="4"/>
  <c r="O122" i="4" s="1"/>
  <c r="Q122" i="4" s="1"/>
  <c r="U171" i="4"/>
  <c r="V171" i="4" s="1"/>
  <c r="W171" i="4" s="1"/>
  <c r="R171" i="4"/>
  <c r="S171" i="4" s="1"/>
  <c r="T171" i="4" s="1"/>
  <c r="X171" i="4"/>
  <c r="Y171" i="4" s="1"/>
  <c r="X165" i="4"/>
  <c r="Y165" i="4" s="1"/>
  <c r="U165" i="4"/>
  <c r="V165" i="4" s="1"/>
  <c r="W165" i="4" s="1"/>
  <c r="X154" i="4"/>
  <c r="Y154" i="4" s="1"/>
  <c r="N119" i="4"/>
  <c r="O119" i="4" s="1"/>
  <c r="Q119" i="4" s="1"/>
  <c r="AD96" i="4"/>
  <c r="AE96" i="4" s="1"/>
  <c r="AD165" i="4"/>
  <c r="AE165" i="4" s="1"/>
  <c r="AD122" i="4"/>
  <c r="AE122" i="4" s="1"/>
  <c r="U122" i="4"/>
  <c r="V122" i="4" s="1"/>
  <c r="W122" i="4" s="1"/>
  <c r="L154" i="4"/>
  <c r="AB154" i="4" s="1"/>
  <c r="K119" i="4"/>
  <c r="AF119" i="4" s="1"/>
  <c r="R165" i="4"/>
  <c r="S165" i="4" s="1"/>
  <c r="T165" i="4" s="1"/>
  <c r="X122" i="4"/>
  <c r="Y122" i="4" s="1"/>
  <c r="K122" i="4"/>
  <c r="U154" i="4"/>
  <c r="V154" i="4" s="1"/>
  <c r="W154" i="4" s="1"/>
  <c r="L165" i="4"/>
  <c r="AF165" i="4" s="1"/>
  <c r="L122" i="4"/>
  <c r="M122" i="4" s="1"/>
  <c r="AA122" i="4" s="1"/>
  <c r="X114" i="4"/>
  <c r="Y114" i="4" s="1"/>
  <c r="AD154" i="4"/>
  <c r="AE154" i="4" s="1"/>
  <c r="U177" i="4"/>
  <c r="V177" i="4" s="1"/>
  <c r="W177" i="4" s="1"/>
  <c r="N154" i="4"/>
  <c r="O154" i="4" s="1"/>
  <c r="Q154" i="4" s="1"/>
  <c r="R154" i="4"/>
  <c r="S154" i="4" s="1"/>
  <c r="T154" i="4" s="1"/>
  <c r="AD191" i="4"/>
  <c r="AE191" i="4" s="1"/>
  <c r="AD35" i="4"/>
  <c r="AE35" i="4" s="1"/>
  <c r="K91" i="4"/>
  <c r="L91" i="4"/>
  <c r="M91" i="4" s="1"/>
  <c r="AA91" i="4" s="1"/>
  <c r="U91" i="4"/>
  <c r="V91" i="4" s="1"/>
  <c r="W91" i="4" s="1"/>
  <c r="X91" i="4"/>
  <c r="Y91" i="4" s="1"/>
  <c r="N91" i="4"/>
  <c r="O91" i="4" s="1"/>
  <c r="Q91" i="4" s="1"/>
  <c r="AD91" i="4"/>
  <c r="AE91" i="4" s="1"/>
  <c r="R91" i="4"/>
  <c r="S91" i="4" s="1"/>
  <c r="T91" i="4" s="1"/>
  <c r="X101" i="4"/>
  <c r="Y101" i="4" s="1"/>
  <c r="K130" i="4"/>
  <c r="N209" i="4"/>
  <c r="O209" i="4" s="1"/>
  <c r="Q209" i="4" s="1"/>
  <c r="AD70" i="4"/>
  <c r="AE70" i="4" s="1"/>
  <c r="U209" i="4"/>
  <c r="V209" i="4" s="1"/>
  <c r="W209" i="4" s="1"/>
  <c r="X130" i="4"/>
  <c r="Y130" i="4" s="1"/>
  <c r="R169" i="4"/>
  <c r="S169" i="4" s="1"/>
  <c r="T169" i="4" s="1"/>
  <c r="L209" i="4"/>
  <c r="AB209" i="4" s="1"/>
  <c r="L185" i="4"/>
  <c r="AB185" i="4" s="1"/>
  <c r="R70" i="4"/>
  <c r="S70" i="4" s="1"/>
  <c r="T70" i="4" s="1"/>
  <c r="AD142" i="4"/>
  <c r="AE142" i="4" s="1"/>
  <c r="U159" i="4"/>
  <c r="V159" i="4" s="1"/>
  <c r="W159" i="4" s="1"/>
  <c r="AD130" i="4"/>
  <c r="AE130" i="4" s="1"/>
  <c r="N185" i="4"/>
  <c r="O185" i="4" s="1"/>
  <c r="Q185" i="4" s="1"/>
  <c r="K142" i="4"/>
  <c r="X156" i="4"/>
  <c r="Y156" i="4" s="1"/>
  <c r="L169" i="4"/>
  <c r="M169" i="4" s="1"/>
  <c r="AA169" i="4" s="1"/>
  <c r="AD169" i="4"/>
  <c r="AE169" i="4" s="1"/>
  <c r="N192" i="4"/>
  <c r="O192" i="4" s="1"/>
  <c r="Q192" i="4" s="1"/>
  <c r="K201" i="4"/>
  <c r="AF201" i="4" s="1"/>
  <c r="N44" i="4"/>
  <c r="O44" i="4" s="1"/>
  <c r="Q44" i="4" s="1"/>
  <c r="X56" i="4"/>
  <c r="Y56" i="4" s="1"/>
  <c r="U100" i="4"/>
  <c r="V100" i="4" s="1"/>
  <c r="W100" i="4" s="1"/>
  <c r="U130" i="4"/>
  <c r="V130" i="4" s="1"/>
  <c r="W130" i="4" s="1"/>
  <c r="K169" i="4"/>
  <c r="K193" i="4"/>
  <c r="AF193" i="4" s="1"/>
  <c r="U169" i="4"/>
  <c r="V169" i="4" s="1"/>
  <c r="W169" i="4" s="1"/>
  <c r="AD192" i="4"/>
  <c r="AE192" i="4" s="1"/>
  <c r="K159" i="4"/>
  <c r="K174" i="4"/>
  <c r="N201" i="4"/>
  <c r="O201" i="4" s="1"/>
  <c r="Q201" i="4" s="1"/>
  <c r="N32" i="4"/>
  <c r="O32" i="4" s="1"/>
  <c r="Q32" i="4" s="1"/>
  <c r="U163" i="4"/>
  <c r="V163" i="4" s="1"/>
  <c r="W163" i="4" s="1"/>
  <c r="R35" i="4"/>
  <c r="S35" i="4" s="1"/>
  <c r="T35" i="4" s="1"/>
  <c r="AD56" i="4"/>
  <c r="AE56" i="4" s="1"/>
  <c r="L56" i="4"/>
  <c r="J61" i="4"/>
  <c r="K61" i="4" s="1"/>
  <c r="X192" i="4"/>
  <c r="Y192" i="4" s="1"/>
  <c r="R201" i="4"/>
  <c r="S201" i="4" s="1"/>
  <c r="T201" i="4" s="1"/>
  <c r="X35" i="4"/>
  <c r="Y35" i="4" s="1"/>
  <c r="L100" i="4"/>
  <c r="M100" i="4" s="1"/>
  <c r="AA100" i="4" s="1"/>
  <c r="N193" i="4"/>
  <c r="O193" i="4" s="1"/>
  <c r="Q193" i="4" s="1"/>
  <c r="X169" i="4"/>
  <c r="Y169" i="4" s="1"/>
  <c r="U192" i="4"/>
  <c r="V192" i="4" s="1"/>
  <c r="W192" i="4" s="1"/>
  <c r="R159" i="4"/>
  <c r="S159" i="4" s="1"/>
  <c r="T159" i="4" s="1"/>
  <c r="AD174" i="4"/>
  <c r="AE174" i="4" s="1"/>
  <c r="U201" i="4"/>
  <c r="V201" i="4" s="1"/>
  <c r="W201" i="4" s="1"/>
  <c r="AD66" i="4"/>
  <c r="AE66" i="4" s="1"/>
  <c r="U32" i="4"/>
  <c r="V32" i="4" s="1"/>
  <c r="W32" i="4" s="1"/>
  <c r="X120" i="4"/>
  <c r="Y120" i="4" s="1"/>
  <c r="AD37" i="4"/>
  <c r="AE37" i="4" s="1"/>
  <c r="L163" i="4"/>
  <c r="AB163" i="4" s="1"/>
  <c r="AD100" i="4"/>
  <c r="AE100" i="4" s="1"/>
  <c r="R100" i="4"/>
  <c r="S100" i="4" s="1"/>
  <c r="T100" i="4" s="1"/>
  <c r="AD114" i="4"/>
  <c r="AE114" i="4" s="1"/>
  <c r="K124" i="4"/>
  <c r="R192" i="4"/>
  <c r="S192" i="4" s="1"/>
  <c r="T192" i="4" s="1"/>
  <c r="N208" i="4"/>
  <c r="O208" i="4" s="1"/>
  <c r="Q208" i="4" s="1"/>
  <c r="N159" i="4"/>
  <c r="O159" i="4" s="1"/>
  <c r="Q159" i="4" s="1"/>
  <c r="N174" i="4"/>
  <c r="O174" i="4" s="1"/>
  <c r="Q174" i="4" s="1"/>
  <c r="X201" i="4"/>
  <c r="Y201" i="4" s="1"/>
  <c r="L66" i="4"/>
  <c r="M66" i="4" s="1"/>
  <c r="AA66" i="4" s="1"/>
  <c r="R120" i="4"/>
  <c r="S120" i="4" s="1"/>
  <c r="T120" i="4" s="1"/>
  <c r="N37" i="4"/>
  <c r="O37" i="4" s="1"/>
  <c r="Q37" i="4" s="1"/>
  <c r="R163" i="4"/>
  <c r="S163" i="4" s="1"/>
  <c r="T163" i="4" s="1"/>
  <c r="L35" i="4"/>
  <c r="X100" i="4"/>
  <c r="Y100" i="4" s="1"/>
  <c r="X124" i="4"/>
  <c r="Y124" i="4" s="1"/>
  <c r="R128" i="4"/>
  <c r="S128" i="4" s="1"/>
  <c r="T128" i="4" s="1"/>
  <c r="K114" i="4"/>
  <c r="K208" i="4"/>
  <c r="L174" i="4"/>
  <c r="M174" i="4" s="1"/>
  <c r="AA174" i="4" s="1"/>
  <c r="L188" i="4"/>
  <c r="M188" i="4" s="1"/>
  <c r="AA188" i="4" s="1"/>
  <c r="U64" i="4"/>
  <c r="V64" i="4" s="1"/>
  <c r="W64" i="4" s="1"/>
  <c r="U156" i="4"/>
  <c r="V156" i="4" s="1"/>
  <c r="W156" i="4" s="1"/>
  <c r="N126" i="4"/>
  <c r="O126" i="4" s="1"/>
  <c r="Q126" i="4" s="1"/>
  <c r="K120" i="4"/>
  <c r="L37" i="4"/>
  <c r="L44" i="4"/>
  <c r="M44" i="4" s="1"/>
  <c r="AA44" i="4" s="1"/>
  <c r="U44" i="4"/>
  <c r="V44" i="4" s="1"/>
  <c r="W44" i="4" s="1"/>
  <c r="N120" i="4"/>
  <c r="O120" i="4" s="1"/>
  <c r="Q120" i="4" s="1"/>
  <c r="AD44" i="4"/>
  <c r="AE44" i="4" s="1"/>
  <c r="AD182" i="4"/>
  <c r="AE182" i="4" s="1"/>
  <c r="AD148" i="4"/>
  <c r="AE148" i="4" s="1"/>
  <c r="X159" i="4"/>
  <c r="Y159" i="4" s="1"/>
  <c r="X128" i="4"/>
  <c r="Y128" i="4" s="1"/>
  <c r="L114" i="4"/>
  <c r="M114" i="4" s="1"/>
  <c r="AA114" i="4" s="1"/>
  <c r="AD208" i="4"/>
  <c r="AE208" i="4" s="1"/>
  <c r="U174" i="4"/>
  <c r="V174" i="4" s="1"/>
  <c r="W174" i="4" s="1"/>
  <c r="R64" i="4"/>
  <c r="S64" i="4" s="1"/>
  <c r="T64" i="4" s="1"/>
  <c r="L156" i="4"/>
  <c r="X126" i="4"/>
  <c r="Y126" i="4" s="1"/>
  <c r="L120" i="4"/>
  <c r="M120" i="4" s="1"/>
  <c r="AA120" i="4" s="1"/>
  <c r="U37" i="4"/>
  <c r="V37" i="4" s="1"/>
  <c r="W37" i="4" s="1"/>
  <c r="X70" i="4"/>
  <c r="Y70" i="4" s="1"/>
  <c r="U114" i="4"/>
  <c r="V114" i="4" s="1"/>
  <c r="W114" i="4" s="1"/>
  <c r="R130" i="4"/>
  <c r="S130" i="4" s="1"/>
  <c r="T130" i="4" s="1"/>
  <c r="N114" i="4"/>
  <c r="O114" i="4" s="1"/>
  <c r="Q114" i="4" s="1"/>
  <c r="X209" i="4"/>
  <c r="Y209" i="4" s="1"/>
  <c r="L208" i="4"/>
  <c r="AB208" i="4" s="1"/>
  <c r="U188" i="4"/>
  <c r="V188" i="4" s="1"/>
  <c r="W188" i="4" s="1"/>
  <c r="X64" i="4"/>
  <c r="Y64" i="4" s="1"/>
  <c r="AD156" i="4"/>
  <c r="AE156" i="4" s="1"/>
  <c r="K126" i="4"/>
  <c r="AD120" i="4"/>
  <c r="AE120" i="4" s="1"/>
  <c r="X131" i="4"/>
  <c r="Y131" i="4" s="1"/>
  <c r="N35" i="4"/>
  <c r="O35" i="4" s="1"/>
  <c r="Q35" i="4" s="1"/>
  <c r="N70" i="4"/>
  <c r="O70" i="4" s="1"/>
  <c r="Q70" i="4" s="1"/>
  <c r="X44" i="4"/>
  <c r="Y44" i="4" s="1"/>
  <c r="N100" i="4"/>
  <c r="O100" i="4" s="1"/>
  <c r="Q100" i="4" s="1"/>
  <c r="U35" i="4"/>
  <c r="V35" i="4" s="1"/>
  <c r="W35" i="4" s="1"/>
  <c r="R44" i="4"/>
  <c r="S44" i="4" s="1"/>
  <c r="T44" i="4" s="1"/>
  <c r="AD196" i="4"/>
  <c r="AE196" i="4" s="1"/>
  <c r="R175" i="4"/>
  <c r="S175" i="4" s="1"/>
  <c r="T175" i="4" s="1"/>
  <c r="R185" i="4"/>
  <c r="S185" i="4" s="1"/>
  <c r="T185" i="4" s="1"/>
  <c r="N196" i="4"/>
  <c r="O196" i="4" s="1"/>
  <c r="Q196" i="4" s="1"/>
  <c r="K175" i="4"/>
  <c r="K185" i="4"/>
  <c r="U157" i="4"/>
  <c r="V157" i="4" s="1"/>
  <c r="W157" i="4" s="1"/>
  <c r="R196" i="4"/>
  <c r="S196" i="4" s="1"/>
  <c r="T196" i="4" s="1"/>
  <c r="X175" i="4"/>
  <c r="Y175" i="4" s="1"/>
  <c r="AD185" i="4"/>
  <c r="AE185" i="4" s="1"/>
  <c r="AD189" i="4"/>
  <c r="AE189" i="4" s="1"/>
  <c r="U196" i="4"/>
  <c r="V196" i="4" s="1"/>
  <c r="W196" i="4" s="1"/>
  <c r="U175" i="4"/>
  <c r="V175" i="4" s="1"/>
  <c r="W175" i="4" s="1"/>
  <c r="L78" i="4"/>
  <c r="M78" i="4" s="1"/>
  <c r="AA78" i="4" s="1"/>
  <c r="U185" i="4"/>
  <c r="V185" i="4" s="1"/>
  <c r="W185" i="4" s="1"/>
  <c r="K196" i="4"/>
  <c r="AD175" i="4"/>
  <c r="AE175" i="4" s="1"/>
  <c r="X196" i="4"/>
  <c r="Y196" i="4" s="1"/>
  <c r="L175" i="4"/>
  <c r="AD146" i="4"/>
  <c r="AE146" i="4" s="1"/>
  <c r="L146" i="4"/>
  <c r="AB146" i="4" s="1"/>
  <c r="N148" i="4"/>
  <c r="O148" i="4" s="1"/>
  <c r="Q148" i="4" s="1"/>
  <c r="N149" i="4"/>
  <c r="O149" i="4" s="1"/>
  <c r="Q149" i="4" s="1"/>
  <c r="X146" i="4"/>
  <c r="Y146" i="4" s="1"/>
  <c r="U78" i="4"/>
  <c r="V78" i="4" s="1"/>
  <c r="W78" i="4" s="1"/>
  <c r="L148" i="4"/>
  <c r="M148" i="4" s="1"/>
  <c r="AA148" i="4" s="1"/>
  <c r="K146" i="4"/>
  <c r="R134" i="4"/>
  <c r="S134" i="4" s="1"/>
  <c r="T134" i="4" s="1"/>
  <c r="R148" i="4"/>
  <c r="S148" i="4" s="1"/>
  <c r="T148" i="4" s="1"/>
  <c r="N86" i="4"/>
  <c r="O86" i="4" s="1"/>
  <c r="Q86" i="4" s="1"/>
  <c r="U146" i="4"/>
  <c r="V146" i="4" s="1"/>
  <c r="W146" i="4" s="1"/>
  <c r="U66" i="4"/>
  <c r="V66" i="4" s="1"/>
  <c r="W66" i="4" s="1"/>
  <c r="U101" i="4"/>
  <c r="V101" i="4" s="1"/>
  <c r="W101" i="4" s="1"/>
  <c r="N78" i="4"/>
  <c r="O78" i="4" s="1"/>
  <c r="Q78" i="4" s="1"/>
  <c r="K148" i="4"/>
  <c r="N146" i="4"/>
  <c r="O146" i="4" s="1"/>
  <c r="Q146" i="4" s="1"/>
  <c r="N66" i="4"/>
  <c r="O66" i="4" s="1"/>
  <c r="Q66" i="4" s="1"/>
  <c r="X148" i="4"/>
  <c r="Y148" i="4" s="1"/>
  <c r="R66" i="4"/>
  <c r="S66" i="4" s="1"/>
  <c r="T66" i="4" s="1"/>
  <c r="AD78" i="4"/>
  <c r="AE78" i="4" s="1"/>
  <c r="U80" i="4"/>
  <c r="V80" i="4" s="1"/>
  <c r="W80" i="4" s="1"/>
  <c r="U194" i="4"/>
  <c r="V194" i="4" s="1"/>
  <c r="W194" i="4" s="1"/>
  <c r="N194" i="4"/>
  <c r="O194" i="4" s="1"/>
  <c r="Q194" i="4" s="1"/>
  <c r="K10" i="4"/>
  <c r="X94" i="4"/>
  <c r="Y94" i="4" s="1"/>
  <c r="AD194" i="4"/>
  <c r="AE194" i="4" s="1"/>
  <c r="L179" i="4"/>
  <c r="M179" i="4" s="1"/>
  <c r="AA179" i="4" s="1"/>
  <c r="AD76" i="4"/>
  <c r="AE76" i="4" s="1"/>
  <c r="AD94" i="4"/>
  <c r="AE94" i="4" s="1"/>
  <c r="X76" i="4"/>
  <c r="Y76" i="4" s="1"/>
  <c r="U94" i="4"/>
  <c r="V94" i="4" s="1"/>
  <c r="W94" i="4" s="1"/>
  <c r="R94" i="4"/>
  <c r="S94" i="4" s="1"/>
  <c r="T94" i="4" s="1"/>
  <c r="L94" i="4"/>
  <c r="M94" i="4" s="1"/>
  <c r="AA94" i="4" s="1"/>
  <c r="N94" i="4"/>
  <c r="O94" i="4" s="1"/>
  <c r="Q94" i="4" s="1"/>
  <c r="L68" i="4"/>
  <c r="AB68" i="4" s="1"/>
  <c r="R76" i="4"/>
  <c r="S76" i="4" s="1"/>
  <c r="T76" i="4" s="1"/>
  <c r="N76" i="4"/>
  <c r="O76" i="4" s="1"/>
  <c r="Q76" i="4" s="1"/>
  <c r="U54" i="4"/>
  <c r="V54" i="4" s="1"/>
  <c r="W54" i="4" s="1"/>
  <c r="AD73" i="4"/>
  <c r="AE73" i="4" s="1"/>
  <c r="L194" i="4"/>
  <c r="M194" i="4" s="1"/>
  <c r="AA194" i="4" s="1"/>
  <c r="L76" i="4"/>
  <c r="M76" i="4" s="1"/>
  <c r="AA76" i="4" s="1"/>
  <c r="K73" i="4"/>
  <c r="U151" i="4"/>
  <c r="V151" i="4" s="1"/>
  <c r="W151" i="4" s="1"/>
  <c r="U76" i="4"/>
  <c r="V76" i="4" s="1"/>
  <c r="W76" i="4" s="1"/>
  <c r="K173" i="4"/>
  <c r="AD151" i="4"/>
  <c r="AE151" i="4" s="1"/>
  <c r="R145" i="4"/>
  <c r="S145" i="4" s="1"/>
  <c r="T145" i="4" s="1"/>
  <c r="L145" i="4"/>
  <c r="AB145" i="4" s="1"/>
  <c r="N145" i="4"/>
  <c r="O145" i="4" s="1"/>
  <c r="Q145" i="4" s="1"/>
  <c r="K163" i="4"/>
  <c r="K145" i="4"/>
  <c r="U86" i="4"/>
  <c r="V86" i="4" s="1"/>
  <c r="W86" i="4" s="1"/>
  <c r="X145" i="4"/>
  <c r="Y145" i="4" s="1"/>
  <c r="AD206" i="4"/>
  <c r="AE206" i="4" s="1"/>
  <c r="X163" i="4"/>
  <c r="Y163" i="4" s="1"/>
  <c r="U57" i="4"/>
  <c r="V57" i="4" s="1"/>
  <c r="W57" i="4" s="1"/>
  <c r="U145" i="4"/>
  <c r="V145" i="4" s="1"/>
  <c r="W145" i="4" s="1"/>
  <c r="N163" i="4"/>
  <c r="O163" i="4" s="1"/>
  <c r="Q163" i="4" s="1"/>
  <c r="N57" i="4"/>
  <c r="O57" i="4" s="1"/>
  <c r="Q57" i="4" s="1"/>
  <c r="X57" i="4"/>
  <c r="Y57" i="4" s="1"/>
  <c r="AB130" i="4"/>
  <c r="R21" i="4"/>
  <c r="S21" i="4" s="1"/>
  <c r="T21" i="4" s="1"/>
  <c r="AB160" i="4"/>
  <c r="AD160" i="4"/>
  <c r="AE160" i="4" s="1"/>
  <c r="K141" i="4"/>
  <c r="X189" i="4"/>
  <c r="Y189" i="4" s="1"/>
  <c r="L73" i="4"/>
  <c r="M73" i="4" s="1"/>
  <c r="AA73" i="4" s="1"/>
  <c r="N96" i="4"/>
  <c r="O96" i="4" s="1"/>
  <c r="Q96" i="4" s="1"/>
  <c r="X96" i="4"/>
  <c r="Y96" i="4" s="1"/>
  <c r="K151" i="4"/>
  <c r="AF151" i="4" s="1"/>
  <c r="X144" i="4"/>
  <c r="Y144" i="4" s="1"/>
  <c r="X173" i="4"/>
  <c r="Y173" i="4" s="1"/>
  <c r="K75" i="4"/>
  <c r="N75" i="4"/>
  <c r="O75" i="4" s="1"/>
  <c r="Q75" i="4" s="1"/>
  <c r="AD75" i="4"/>
  <c r="AE75" i="4" s="1"/>
  <c r="B13" i="6"/>
  <c r="K78" i="4"/>
  <c r="R78" i="4"/>
  <c r="S78" i="4" s="1"/>
  <c r="T78" i="4" s="1"/>
  <c r="X118" i="4"/>
  <c r="Y118" i="4" s="1"/>
  <c r="N144" i="4"/>
  <c r="O144" i="4" s="1"/>
  <c r="Q144" i="4" s="1"/>
  <c r="K15" i="4"/>
  <c r="L15" i="4"/>
  <c r="AD15" i="4"/>
  <c r="AE15" i="4" s="1"/>
  <c r="U15" i="4"/>
  <c r="V15" i="4" s="1"/>
  <c r="W15" i="4" s="1"/>
  <c r="N15" i="4"/>
  <c r="O15" i="4" s="1"/>
  <c r="Q15" i="4" s="1"/>
  <c r="X15" i="4"/>
  <c r="Y15" i="4" s="1"/>
  <c r="R15" i="4"/>
  <c r="S15" i="4" s="1"/>
  <c r="T15" i="4" s="1"/>
  <c r="K29" i="4"/>
  <c r="L29" i="4"/>
  <c r="AD29" i="4"/>
  <c r="AE29" i="4" s="1"/>
  <c r="U29" i="4"/>
  <c r="V29" i="4" s="1"/>
  <c r="W29" i="4" s="1"/>
  <c r="X29" i="4"/>
  <c r="Y29" i="4" s="1"/>
  <c r="N29" i="4"/>
  <c r="O29" i="4" s="1"/>
  <c r="Q29" i="4" s="1"/>
  <c r="R29" i="4"/>
  <c r="S29" i="4" s="1"/>
  <c r="T29" i="4" s="1"/>
  <c r="X79" i="4"/>
  <c r="Y79" i="4" s="1"/>
  <c r="K118" i="4"/>
  <c r="R139" i="4"/>
  <c r="S139" i="4" s="1"/>
  <c r="T139" i="4" s="1"/>
  <c r="X164" i="4"/>
  <c r="Y164" i="4" s="1"/>
  <c r="X197" i="4"/>
  <c r="Y197" i="4" s="1"/>
  <c r="AD157" i="4"/>
  <c r="AE157" i="4" s="1"/>
  <c r="K179" i="4"/>
  <c r="R118" i="4"/>
  <c r="S118" i="4" s="1"/>
  <c r="T118" i="4" s="1"/>
  <c r="X149" i="4"/>
  <c r="Y149" i="4" s="1"/>
  <c r="X139" i="4"/>
  <c r="Y139" i="4" s="1"/>
  <c r="R164" i="4"/>
  <c r="S164" i="4" s="1"/>
  <c r="T164" i="4" s="1"/>
  <c r="U73" i="4"/>
  <c r="V73" i="4" s="1"/>
  <c r="W73" i="4" s="1"/>
  <c r="L197" i="4"/>
  <c r="M197" i="4" s="1"/>
  <c r="AA197" i="4" s="1"/>
  <c r="N157" i="4"/>
  <c r="O157" i="4" s="1"/>
  <c r="Q157" i="4" s="1"/>
  <c r="AD101" i="4"/>
  <c r="AE101" i="4" s="1"/>
  <c r="N142" i="4"/>
  <c r="O142" i="4" s="1"/>
  <c r="Q142" i="4" s="1"/>
  <c r="R144" i="4"/>
  <c r="S144" i="4" s="1"/>
  <c r="T144" i="4" s="1"/>
  <c r="L173" i="4"/>
  <c r="U197" i="4"/>
  <c r="V197" i="4" s="1"/>
  <c r="W197" i="4" s="1"/>
  <c r="R152" i="4"/>
  <c r="S152" i="4" s="1"/>
  <c r="T152" i="4" s="1"/>
  <c r="N152" i="4"/>
  <c r="O152" i="4" s="1"/>
  <c r="Q152" i="4" s="1"/>
  <c r="L152" i="4"/>
  <c r="AF152" i="4" s="1"/>
  <c r="K84" i="4"/>
  <c r="L84" i="4"/>
  <c r="X84" i="4"/>
  <c r="Y84" i="4" s="1"/>
  <c r="AD84" i="4"/>
  <c r="AE84" i="4" s="1"/>
  <c r="U84" i="4"/>
  <c r="V84" i="4" s="1"/>
  <c r="W84" i="4" s="1"/>
  <c r="N95" i="4"/>
  <c r="O95" i="4" s="1"/>
  <c r="Q95" i="4" s="1"/>
  <c r="AD149" i="4"/>
  <c r="AE149" i="4" s="1"/>
  <c r="L205" i="4"/>
  <c r="U118" i="4"/>
  <c r="V118" i="4" s="1"/>
  <c r="W118" i="4" s="1"/>
  <c r="U134" i="4"/>
  <c r="V134" i="4" s="1"/>
  <c r="W134" i="4" s="1"/>
  <c r="K149" i="4"/>
  <c r="N139" i="4"/>
  <c r="O139" i="4" s="1"/>
  <c r="Q139" i="4" s="1"/>
  <c r="AD164" i="4"/>
  <c r="AE164" i="4" s="1"/>
  <c r="N73" i="4"/>
  <c r="O73" i="4" s="1"/>
  <c r="Q73" i="4" s="1"/>
  <c r="K197" i="4"/>
  <c r="R157" i="4"/>
  <c r="S157" i="4" s="1"/>
  <c r="T157" i="4" s="1"/>
  <c r="L142" i="4"/>
  <c r="L57" i="4"/>
  <c r="L144" i="4"/>
  <c r="R173" i="4"/>
  <c r="S173" i="4" s="1"/>
  <c r="T173" i="4" s="1"/>
  <c r="E108" i="1"/>
  <c r="E107" i="1"/>
  <c r="B221" i="2"/>
  <c r="B222" i="2" s="1"/>
  <c r="B75" i="4"/>
  <c r="B76" i="4" s="1"/>
  <c r="K93" i="4"/>
  <c r="U93" i="4"/>
  <c r="V93" i="4" s="1"/>
  <c r="W93" i="4" s="1"/>
  <c r="L93" i="4"/>
  <c r="R93" i="4"/>
  <c r="S93" i="4" s="1"/>
  <c r="T93" i="4" s="1"/>
  <c r="N93" i="4"/>
  <c r="O93" i="4" s="1"/>
  <c r="Q93" i="4" s="1"/>
  <c r="AD93" i="4"/>
  <c r="AE93" i="4" s="1"/>
  <c r="X93" i="4"/>
  <c r="Y93" i="4" s="1"/>
  <c r="R124" i="4"/>
  <c r="S124" i="4" s="1"/>
  <c r="T124" i="4" s="1"/>
  <c r="N124" i="4"/>
  <c r="O124" i="4" s="1"/>
  <c r="Q124" i="4" s="1"/>
  <c r="L124" i="4"/>
  <c r="U124" i="4"/>
  <c r="V124" i="4" s="1"/>
  <c r="W124" i="4" s="1"/>
  <c r="U164" i="4"/>
  <c r="V164" i="4" s="1"/>
  <c r="W164" i="4" s="1"/>
  <c r="N63" i="4"/>
  <c r="O63" i="4" s="1"/>
  <c r="Q63" i="4" s="1"/>
  <c r="K205" i="4"/>
  <c r="AD67" i="4"/>
  <c r="AE67" i="4" s="1"/>
  <c r="AD118" i="4"/>
  <c r="AE118" i="4" s="1"/>
  <c r="AD134" i="4"/>
  <c r="AE134" i="4" s="1"/>
  <c r="L149" i="4"/>
  <c r="M149" i="4" s="1"/>
  <c r="AA149" i="4" s="1"/>
  <c r="N79" i="4"/>
  <c r="O79" i="4" s="1"/>
  <c r="Q79" i="4" s="1"/>
  <c r="K139" i="4"/>
  <c r="AF139" i="4" s="1"/>
  <c r="L79" i="4"/>
  <c r="AF79" i="4" s="1"/>
  <c r="N164" i="4"/>
  <c r="O164" i="4" s="1"/>
  <c r="Q164" i="4" s="1"/>
  <c r="R73" i="4"/>
  <c r="S73" i="4" s="1"/>
  <c r="T73" i="4" s="1"/>
  <c r="N197" i="4"/>
  <c r="O197" i="4" s="1"/>
  <c r="Q197" i="4" s="1"/>
  <c r="L157" i="4"/>
  <c r="M157" i="4" s="1"/>
  <c r="AA157" i="4" s="1"/>
  <c r="R142" i="4"/>
  <c r="S142" i="4" s="1"/>
  <c r="T142" i="4" s="1"/>
  <c r="AD57" i="4"/>
  <c r="AE57" i="4" s="1"/>
  <c r="AD144" i="4"/>
  <c r="AE144" i="4" s="1"/>
  <c r="N173" i="4"/>
  <c r="O173" i="4" s="1"/>
  <c r="Q173" i="4" s="1"/>
  <c r="K18" i="4"/>
  <c r="L18" i="4"/>
  <c r="R18" i="4"/>
  <c r="S18" i="4" s="1"/>
  <c r="T18" i="4" s="1"/>
  <c r="X18" i="4"/>
  <c r="Y18" i="4" s="1"/>
  <c r="AD18" i="4"/>
  <c r="AE18" i="4" s="1"/>
  <c r="K70" i="4"/>
  <c r="AF70" i="4" s="1"/>
  <c r="U70" i="4"/>
  <c r="V70" i="4" s="1"/>
  <c r="W70" i="4" s="1"/>
  <c r="R179" i="4"/>
  <c r="S179" i="4" s="1"/>
  <c r="T179" i="4" s="1"/>
  <c r="L164" i="4"/>
  <c r="AF164" i="4" s="1"/>
  <c r="AD197" i="4"/>
  <c r="AE197" i="4" s="1"/>
  <c r="K157" i="4"/>
  <c r="R160" i="4"/>
  <c r="S160" i="4" s="1"/>
  <c r="T160" i="4" s="1"/>
  <c r="X142" i="4"/>
  <c r="Y142" i="4" s="1"/>
  <c r="U144" i="4"/>
  <c r="V144" i="4" s="1"/>
  <c r="W144" i="4" s="1"/>
  <c r="R112" i="4"/>
  <c r="S112" i="4" s="1"/>
  <c r="T112" i="4" s="1"/>
  <c r="U173" i="4"/>
  <c r="V173" i="4" s="1"/>
  <c r="W173" i="4" s="1"/>
  <c r="X42" i="4"/>
  <c r="Y42" i="4" s="1"/>
  <c r="AD42" i="4"/>
  <c r="AE42" i="4" s="1"/>
  <c r="K25" i="4"/>
  <c r="Z25" i="4" s="1"/>
  <c r="U25" i="4"/>
  <c r="V25" i="4" s="1"/>
  <c r="W25" i="4" s="1"/>
  <c r="AD25" i="4"/>
  <c r="AE25" i="4" s="1"/>
  <c r="N25" i="4"/>
  <c r="O25" i="4" s="1"/>
  <c r="Q25" i="4" s="1"/>
  <c r="X25" i="4"/>
  <c r="Y25" i="4" s="1"/>
  <c r="R25" i="4"/>
  <c r="S25" i="4" s="1"/>
  <c r="T25" i="4" s="1"/>
  <c r="K16" i="4"/>
  <c r="X16" i="4"/>
  <c r="Y16" i="4" s="1"/>
  <c r="U16" i="4"/>
  <c r="V16" i="4" s="1"/>
  <c r="W16" i="4" s="1"/>
  <c r="R16" i="4"/>
  <c r="S16" i="4" s="1"/>
  <c r="T16" i="4" s="1"/>
  <c r="N16" i="4"/>
  <c r="O16" i="4" s="1"/>
  <c r="Q16" i="4" s="1"/>
  <c r="AD16" i="4"/>
  <c r="AE16" i="4" s="1"/>
  <c r="L16" i="4"/>
  <c r="K71" i="4"/>
  <c r="AD71" i="4"/>
  <c r="AE71" i="4" s="1"/>
  <c r="L71" i="4"/>
  <c r="R71" i="4"/>
  <c r="S71" i="4" s="1"/>
  <c r="T71" i="4" s="1"/>
  <c r="X71" i="4"/>
  <c r="Y71" i="4" s="1"/>
  <c r="N71" i="4"/>
  <c r="O71" i="4" s="1"/>
  <c r="Q71" i="4" s="1"/>
  <c r="U71" i="4"/>
  <c r="V71" i="4" s="1"/>
  <c r="W71" i="4" s="1"/>
  <c r="K63" i="4"/>
  <c r="AF63" i="4" s="1"/>
  <c r="AD63" i="4"/>
  <c r="AE63" i="4" s="1"/>
  <c r="X63" i="4"/>
  <c r="Y63" i="4" s="1"/>
  <c r="U63" i="4"/>
  <c r="V63" i="4" s="1"/>
  <c r="W63" i="4" s="1"/>
  <c r="K21" i="4"/>
  <c r="L21" i="4"/>
  <c r="AD21" i="4"/>
  <c r="AE21" i="4" s="1"/>
  <c r="U21" i="4"/>
  <c r="V21" i="4" s="1"/>
  <c r="W21" i="4" s="1"/>
  <c r="X205" i="4"/>
  <c r="Y205" i="4" s="1"/>
  <c r="L118" i="4"/>
  <c r="M118" i="4" s="1"/>
  <c r="AA118" i="4" s="1"/>
  <c r="L134" i="4"/>
  <c r="AB134" i="4" s="1"/>
  <c r="R149" i="4"/>
  <c r="S149" i="4" s="1"/>
  <c r="T149" i="4" s="1"/>
  <c r="N205" i="4"/>
  <c r="O205" i="4" s="1"/>
  <c r="Q205" i="4" s="1"/>
  <c r="K134" i="4"/>
  <c r="R206" i="4"/>
  <c r="S206" i="4" s="1"/>
  <c r="T206" i="4" s="1"/>
  <c r="L96" i="4"/>
  <c r="AB96" i="4" s="1"/>
  <c r="R57" i="4"/>
  <c r="S57" i="4" s="1"/>
  <c r="T57" i="4" s="1"/>
  <c r="K112" i="4"/>
  <c r="U22" i="4"/>
  <c r="V22" i="4" s="1"/>
  <c r="W22" i="4" s="1"/>
  <c r="L22" i="4"/>
  <c r="M22" i="4" s="1"/>
  <c r="AA22" i="4" s="1"/>
  <c r="K14" i="4"/>
  <c r="R14" i="4"/>
  <c r="S14" i="4" s="1"/>
  <c r="T14" i="4" s="1"/>
  <c r="L14" i="4"/>
  <c r="N14" i="4"/>
  <c r="O14" i="4" s="1"/>
  <c r="Q14" i="4" s="1"/>
  <c r="AD14" i="4"/>
  <c r="AE14" i="4" s="1"/>
  <c r="U14" i="4"/>
  <c r="V14" i="4" s="1"/>
  <c r="W14" i="4" s="1"/>
  <c r="X14" i="4"/>
  <c r="Y14" i="4" s="1"/>
  <c r="K59" i="4"/>
  <c r="L59" i="4"/>
  <c r="AD59" i="4"/>
  <c r="AE59" i="4" s="1"/>
  <c r="U59" i="4"/>
  <c r="V59" i="4" s="1"/>
  <c r="W59" i="4" s="1"/>
  <c r="R59" i="4"/>
  <c r="S59" i="4" s="1"/>
  <c r="T59" i="4" s="1"/>
  <c r="N59" i="4"/>
  <c r="O59" i="4" s="1"/>
  <c r="Q59" i="4" s="1"/>
  <c r="X59" i="4"/>
  <c r="Y59" i="4" s="1"/>
  <c r="K62" i="4"/>
  <c r="R62" i="4"/>
  <c r="S62" i="4" s="1"/>
  <c r="T62" i="4" s="1"/>
  <c r="L62" i="4"/>
  <c r="K102" i="4"/>
  <c r="R102" i="4"/>
  <c r="S102" i="4" s="1"/>
  <c r="T102" i="4" s="1"/>
  <c r="L102" i="4"/>
  <c r="AD102" i="4"/>
  <c r="AE102" i="4" s="1"/>
  <c r="N102" i="4"/>
  <c r="O102" i="4" s="1"/>
  <c r="Q102" i="4" s="1"/>
  <c r="U102" i="4"/>
  <c r="V102" i="4" s="1"/>
  <c r="W102" i="4" s="1"/>
  <c r="X102" i="4"/>
  <c r="Y102" i="4" s="1"/>
  <c r="K42" i="4"/>
  <c r="AF42" i="4" s="1"/>
  <c r="N42" i="4"/>
  <c r="O42" i="4" s="1"/>
  <c r="Q42" i="4" s="1"/>
  <c r="U42" i="4"/>
  <c r="V42" i="4" s="1"/>
  <c r="W42" i="4" s="1"/>
  <c r="AD205" i="4"/>
  <c r="AE205" i="4" s="1"/>
  <c r="N52" i="4"/>
  <c r="O52" i="4" s="1"/>
  <c r="Q52" i="4" s="1"/>
  <c r="L206" i="4"/>
  <c r="AB206" i="4" s="1"/>
  <c r="L38" i="4"/>
  <c r="AB38" i="4" s="1"/>
  <c r="X177" i="4"/>
  <c r="Y177" i="4" s="1"/>
  <c r="R189" i="4"/>
  <c r="S189" i="4" s="1"/>
  <c r="T189" i="4" s="1"/>
  <c r="L133" i="4"/>
  <c r="X160" i="4"/>
  <c r="Y160" i="4" s="1"/>
  <c r="R96" i="4"/>
  <c r="S96" i="4" s="1"/>
  <c r="T96" i="4" s="1"/>
  <c r="R10" i="4"/>
  <c r="S10" i="4" s="1"/>
  <c r="T10" i="4" s="1"/>
  <c r="N135" i="4"/>
  <c r="O135" i="4" s="1"/>
  <c r="Q135" i="4" s="1"/>
  <c r="AD141" i="4"/>
  <c r="AE141" i="4" s="1"/>
  <c r="N130" i="4"/>
  <c r="O130" i="4" s="1"/>
  <c r="Q130" i="4" s="1"/>
  <c r="N80" i="4"/>
  <c r="O80" i="4" s="1"/>
  <c r="Q80" i="4" s="1"/>
  <c r="K11" i="4"/>
  <c r="U11" i="4"/>
  <c r="V11" i="4" s="1"/>
  <c r="W11" i="4" s="1"/>
  <c r="L11" i="4"/>
  <c r="X11" i="4"/>
  <c r="Y11" i="4" s="1"/>
  <c r="N11" i="4"/>
  <c r="O11" i="4" s="1"/>
  <c r="Q11" i="4" s="1"/>
  <c r="AD11" i="4"/>
  <c r="AE11" i="4" s="1"/>
  <c r="R11" i="4"/>
  <c r="S11" i="4" s="1"/>
  <c r="T11" i="4" s="1"/>
  <c r="K23" i="4"/>
  <c r="U23" i="4"/>
  <c r="V23" i="4" s="1"/>
  <c r="W23" i="4" s="1"/>
  <c r="L23" i="4"/>
  <c r="N23" i="4"/>
  <c r="O23" i="4" s="1"/>
  <c r="Q23" i="4" s="1"/>
  <c r="AD23" i="4"/>
  <c r="AE23" i="4" s="1"/>
  <c r="X23" i="4"/>
  <c r="Y23" i="4" s="1"/>
  <c r="R23" i="4"/>
  <c r="S23" i="4" s="1"/>
  <c r="T23" i="4" s="1"/>
  <c r="K206" i="4"/>
  <c r="X22" i="4"/>
  <c r="Y22" i="4" s="1"/>
  <c r="U67" i="4"/>
  <c r="V67" i="4" s="1"/>
  <c r="W67" i="4" s="1"/>
  <c r="K80" i="4"/>
  <c r="L101" i="4"/>
  <c r="AB101" i="4" s="1"/>
  <c r="U206" i="4"/>
  <c r="V206" i="4" s="1"/>
  <c r="W206" i="4" s="1"/>
  <c r="R38" i="4"/>
  <c r="S38" i="4" s="1"/>
  <c r="T38" i="4" s="1"/>
  <c r="R177" i="4"/>
  <c r="S177" i="4" s="1"/>
  <c r="T177" i="4" s="1"/>
  <c r="R55" i="4"/>
  <c r="S55" i="4" s="1"/>
  <c r="T55" i="4" s="1"/>
  <c r="L189" i="4"/>
  <c r="M189" i="4" s="1"/>
  <c r="AA189" i="4" s="1"/>
  <c r="K133" i="4"/>
  <c r="AD52" i="4"/>
  <c r="AE52" i="4" s="1"/>
  <c r="U79" i="4"/>
  <c r="V79" i="4" s="1"/>
  <c r="W79" i="4" s="1"/>
  <c r="U10" i="4"/>
  <c r="V10" i="4" s="1"/>
  <c r="W10" i="4" s="1"/>
  <c r="X135" i="4"/>
  <c r="Y135" i="4" s="1"/>
  <c r="N141" i="4"/>
  <c r="O141" i="4" s="1"/>
  <c r="Q141" i="4" s="1"/>
  <c r="R42" i="4"/>
  <c r="S42" i="4" s="1"/>
  <c r="T42" i="4" s="1"/>
  <c r="N21" i="4"/>
  <c r="O21" i="4" s="1"/>
  <c r="Q21" i="4" s="1"/>
  <c r="K43" i="4"/>
  <c r="R43" i="4"/>
  <c r="S43" i="4" s="1"/>
  <c r="T43" i="4" s="1"/>
  <c r="L43" i="4"/>
  <c r="U43" i="4"/>
  <c r="V43" i="4" s="1"/>
  <c r="W43" i="4" s="1"/>
  <c r="AD43" i="4"/>
  <c r="AE43" i="4" s="1"/>
  <c r="X43" i="4"/>
  <c r="Y43" i="4" s="1"/>
  <c r="N43" i="4"/>
  <c r="O43" i="4" s="1"/>
  <c r="Q43" i="4" s="1"/>
  <c r="X137" i="4"/>
  <c r="Y137" i="4" s="1"/>
  <c r="U137" i="4"/>
  <c r="V137" i="4" s="1"/>
  <c r="W137" i="4" s="1"/>
  <c r="R137" i="4"/>
  <c r="S137" i="4" s="1"/>
  <c r="T137" i="4" s="1"/>
  <c r="L137" i="4"/>
  <c r="N137" i="4"/>
  <c r="O137" i="4" s="1"/>
  <c r="Q137" i="4" s="1"/>
  <c r="K92" i="4"/>
  <c r="AD92" i="4"/>
  <c r="AE92" i="4" s="1"/>
  <c r="L92" i="4"/>
  <c r="R92" i="4"/>
  <c r="S92" i="4" s="1"/>
  <c r="T92" i="4" s="1"/>
  <c r="N92" i="4"/>
  <c r="O92" i="4" s="1"/>
  <c r="Q92" i="4" s="1"/>
  <c r="X92" i="4"/>
  <c r="Y92" i="4" s="1"/>
  <c r="U92" i="4"/>
  <c r="V92" i="4" s="1"/>
  <c r="W92" i="4" s="1"/>
  <c r="K47" i="4"/>
  <c r="X47" i="4"/>
  <c r="Y47" i="4" s="1"/>
  <c r="L47" i="4"/>
  <c r="K189" i="4"/>
  <c r="K160" i="4"/>
  <c r="AF160" i="4" s="1"/>
  <c r="X151" i="4"/>
  <c r="Y151" i="4" s="1"/>
  <c r="N10" i="4"/>
  <c r="O10" i="4" s="1"/>
  <c r="Q10" i="4" s="1"/>
  <c r="K135" i="4"/>
  <c r="R141" i="4"/>
  <c r="S141" i="4" s="1"/>
  <c r="T141" i="4" s="1"/>
  <c r="X140" i="4"/>
  <c r="Y140" i="4" s="1"/>
  <c r="N140" i="4"/>
  <c r="O140" i="4" s="1"/>
  <c r="Q140" i="4" s="1"/>
  <c r="K13" i="4"/>
  <c r="L13" i="4"/>
  <c r="U13" i="4"/>
  <c r="V13" i="4" s="1"/>
  <c r="W13" i="4" s="1"/>
  <c r="X13" i="4"/>
  <c r="Y13" i="4" s="1"/>
  <c r="N177" i="4"/>
  <c r="O177" i="4" s="1"/>
  <c r="Q177" i="4" s="1"/>
  <c r="R63" i="4"/>
  <c r="S63" i="4" s="1"/>
  <c r="T63" i="4" s="1"/>
  <c r="AD95" i="4"/>
  <c r="AE95" i="4" s="1"/>
  <c r="N206" i="4"/>
  <c r="O206" i="4" s="1"/>
  <c r="Q206" i="4" s="1"/>
  <c r="X38" i="4"/>
  <c r="Y38" i="4" s="1"/>
  <c r="R95" i="4"/>
  <c r="S95" i="4" s="1"/>
  <c r="T95" i="4" s="1"/>
  <c r="U38" i="4"/>
  <c r="V38" i="4" s="1"/>
  <c r="W38" i="4" s="1"/>
  <c r="AD177" i="4"/>
  <c r="AE177" i="4" s="1"/>
  <c r="L55" i="4"/>
  <c r="U189" i="4"/>
  <c r="V189" i="4" s="1"/>
  <c r="W189" i="4" s="1"/>
  <c r="U133" i="4"/>
  <c r="V133" i="4" s="1"/>
  <c r="W133" i="4" s="1"/>
  <c r="U160" i="4"/>
  <c r="V160" i="4" s="1"/>
  <c r="W160" i="4" s="1"/>
  <c r="N160" i="4"/>
  <c r="O160" i="4" s="1"/>
  <c r="Q160" i="4" s="1"/>
  <c r="R101" i="4"/>
  <c r="S101" i="4" s="1"/>
  <c r="T101" i="4" s="1"/>
  <c r="R151" i="4"/>
  <c r="S151" i="4" s="1"/>
  <c r="T151" i="4" s="1"/>
  <c r="X10" i="4"/>
  <c r="Y10" i="4" s="1"/>
  <c r="U141" i="4"/>
  <c r="V141" i="4" s="1"/>
  <c r="W141" i="4" s="1"/>
  <c r="R22" i="4"/>
  <c r="S22" i="4" s="1"/>
  <c r="T22" i="4" s="1"/>
  <c r="N22" i="4"/>
  <c r="O22" i="4" s="1"/>
  <c r="Q22" i="4" s="1"/>
  <c r="K17" i="4"/>
  <c r="U17" i="4"/>
  <c r="V17" i="4" s="1"/>
  <c r="W17" i="4" s="1"/>
  <c r="L17" i="4"/>
  <c r="N17" i="4"/>
  <c r="O17" i="4" s="1"/>
  <c r="Q17" i="4" s="1"/>
  <c r="R17" i="4"/>
  <c r="S17" i="4" s="1"/>
  <c r="T17" i="4" s="1"/>
  <c r="X17" i="4"/>
  <c r="Y17" i="4" s="1"/>
  <c r="AD17" i="4"/>
  <c r="AE17" i="4" s="1"/>
  <c r="K85" i="4"/>
  <c r="L85" i="4"/>
  <c r="R85" i="4"/>
  <c r="S85" i="4" s="1"/>
  <c r="T85" i="4" s="1"/>
  <c r="X85" i="4"/>
  <c r="Y85" i="4" s="1"/>
  <c r="N85" i="4"/>
  <c r="O85" i="4" s="1"/>
  <c r="Q85" i="4" s="1"/>
  <c r="AD85" i="4"/>
  <c r="AE85" i="4" s="1"/>
  <c r="K98" i="4"/>
  <c r="R98" i="4"/>
  <c r="S98" i="4" s="1"/>
  <c r="T98" i="4" s="1"/>
  <c r="L98" i="4"/>
  <c r="AD98" i="4"/>
  <c r="AE98" i="4" s="1"/>
  <c r="U98" i="4"/>
  <c r="V98" i="4" s="1"/>
  <c r="W98" i="4" s="1"/>
  <c r="X98" i="4"/>
  <c r="Y98" i="4" s="1"/>
  <c r="N98" i="4"/>
  <c r="O98" i="4" s="1"/>
  <c r="Q98" i="4" s="1"/>
  <c r="K28" i="4"/>
  <c r="AD28" i="4"/>
  <c r="AE28" i="4" s="1"/>
  <c r="L97" i="4"/>
  <c r="AD97" i="4"/>
  <c r="AE97" i="4" s="1"/>
  <c r="K89" i="4"/>
  <c r="AF89" i="4" s="1"/>
  <c r="U89" i="4"/>
  <c r="V89" i="4" s="1"/>
  <c r="W89" i="4" s="1"/>
  <c r="X89" i="4"/>
  <c r="Y89" i="4" s="1"/>
  <c r="N89" i="4"/>
  <c r="O89" i="4" s="1"/>
  <c r="Q89" i="4" s="1"/>
  <c r="R89" i="4"/>
  <c r="S89" i="4" s="1"/>
  <c r="T89" i="4" s="1"/>
  <c r="L112" i="4"/>
  <c r="M112" i="4" s="1"/>
  <c r="AA112" i="4" s="1"/>
  <c r="L177" i="4"/>
  <c r="M177" i="4" s="1"/>
  <c r="AA177" i="4" s="1"/>
  <c r="R79" i="4"/>
  <c r="S79" i="4" s="1"/>
  <c r="T79" i="4" s="1"/>
  <c r="AD202" i="4"/>
  <c r="AE202" i="4" s="1"/>
  <c r="N38" i="4"/>
  <c r="O38" i="4" s="1"/>
  <c r="Q38" i="4" s="1"/>
  <c r="U179" i="4"/>
  <c r="V179" i="4" s="1"/>
  <c r="W179" i="4" s="1"/>
  <c r="AD133" i="4"/>
  <c r="AE133" i="4" s="1"/>
  <c r="U96" i="4"/>
  <c r="V96" i="4" s="1"/>
  <c r="W96" i="4" s="1"/>
  <c r="N151" i="4"/>
  <c r="O151" i="4" s="1"/>
  <c r="Q151" i="4" s="1"/>
  <c r="L10" i="4"/>
  <c r="M10" i="4" s="1"/>
  <c r="AA10" i="4" s="1"/>
  <c r="L141" i="4"/>
  <c r="X80" i="4"/>
  <c r="Y80" i="4" s="1"/>
  <c r="K83" i="4"/>
  <c r="U83" i="4"/>
  <c r="V83" i="4" s="1"/>
  <c r="W83" i="4" s="1"/>
  <c r="L83" i="4"/>
  <c r="N83" i="4"/>
  <c r="O83" i="4" s="1"/>
  <c r="Q83" i="4" s="1"/>
  <c r="R83" i="4"/>
  <c r="S83" i="4" s="1"/>
  <c r="T83" i="4" s="1"/>
  <c r="AD83" i="4"/>
  <c r="AE83" i="4" s="1"/>
  <c r="X83" i="4"/>
  <c r="Y83" i="4" s="1"/>
  <c r="K60" i="4"/>
  <c r="L60" i="4"/>
  <c r="X60" i="4"/>
  <c r="Y60" i="4" s="1"/>
  <c r="AD60" i="4"/>
  <c r="AE60" i="4" s="1"/>
  <c r="R60" i="4"/>
  <c r="S60" i="4" s="1"/>
  <c r="T60" i="4" s="1"/>
  <c r="U60" i="4"/>
  <c r="V60" i="4" s="1"/>
  <c r="W60" i="4" s="1"/>
  <c r="N60" i="4"/>
  <c r="O60" i="4" s="1"/>
  <c r="Q60" i="4" s="1"/>
  <c r="K77" i="4"/>
  <c r="R77" i="4"/>
  <c r="S77" i="4" s="1"/>
  <c r="T77" i="4" s="1"/>
  <c r="L77" i="4"/>
  <c r="N77" i="4"/>
  <c r="O77" i="4" s="1"/>
  <c r="Q77" i="4" s="1"/>
  <c r="AD77" i="4"/>
  <c r="AE77" i="4" s="1"/>
  <c r="X77" i="4"/>
  <c r="Y77" i="4" s="1"/>
  <c r="U77" i="4"/>
  <c r="V77" i="4" s="1"/>
  <c r="W77" i="4" s="1"/>
  <c r="X182" i="4"/>
  <c r="Y182" i="4" s="1"/>
  <c r="N182" i="4"/>
  <c r="O182" i="4" s="1"/>
  <c r="Q182" i="4" s="1"/>
  <c r="R182" i="4"/>
  <c r="S182" i="4" s="1"/>
  <c r="T182" i="4" s="1"/>
  <c r="L182" i="4"/>
  <c r="N128" i="4"/>
  <c r="O128" i="4" s="1"/>
  <c r="Q128" i="4" s="1"/>
  <c r="L128" i="4"/>
  <c r="K67" i="4"/>
  <c r="AF67" i="4" s="1"/>
  <c r="R67" i="4"/>
  <c r="S67" i="4" s="1"/>
  <c r="T67" i="4" s="1"/>
  <c r="X67" i="4"/>
  <c r="Y67" i="4" s="1"/>
  <c r="L80" i="4"/>
  <c r="AB80" i="4" s="1"/>
  <c r="N67" i="4"/>
  <c r="O67" i="4" s="1"/>
  <c r="Q67" i="4" s="1"/>
  <c r="X202" i="4"/>
  <c r="Y202" i="4" s="1"/>
  <c r="X179" i="4"/>
  <c r="Y179" i="4" s="1"/>
  <c r="AD79" i="4"/>
  <c r="AE79" i="4" s="1"/>
  <c r="N101" i="4"/>
  <c r="O101" i="4" s="1"/>
  <c r="Q101" i="4" s="1"/>
  <c r="AD80" i="4"/>
  <c r="AE80" i="4" s="1"/>
  <c r="K12" i="4"/>
  <c r="L12" i="4"/>
  <c r="N12" i="4"/>
  <c r="O12" i="4" s="1"/>
  <c r="Q12" i="4" s="1"/>
  <c r="R12" i="4"/>
  <c r="S12" i="4" s="1"/>
  <c r="T12" i="4" s="1"/>
  <c r="X12" i="4"/>
  <c r="Y12" i="4" s="1"/>
  <c r="AD12" i="4"/>
  <c r="AE12" i="4" s="1"/>
  <c r="U12" i="4"/>
  <c r="V12" i="4" s="1"/>
  <c r="W12" i="4" s="1"/>
  <c r="K87" i="4"/>
  <c r="AD87" i="4"/>
  <c r="AE87" i="4" s="1"/>
  <c r="L87" i="4"/>
  <c r="X87" i="4"/>
  <c r="Y87" i="4" s="1"/>
  <c r="R87" i="4"/>
  <c r="S87" i="4" s="1"/>
  <c r="T87" i="4" s="1"/>
  <c r="U87" i="4"/>
  <c r="V87" i="4" s="1"/>
  <c r="W87" i="4" s="1"/>
  <c r="N87" i="4"/>
  <c r="O87" i="4" s="1"/>
  <c r="Q87" i="4" s="1"/>
  <c r="J24" i="4"/>
  <c r="AD24" i="4" s="1"/>
  <c r="AE24" i="4" s="1"/>
  <c r="J109" i="4"/>
  <c r="U109" i="4" s="1"/>
  <c r="V109" i="4" s="1"/>
  <c r="W109" i="4" s="1"/>
  <c r="B68" i="4"/>
  <c r="B69" i="4" s="1"/>
  <c r="L20" i="4"/>
  <c r="AB20" i="4" s="1"/>
  <c r="J106" i="4"/>
  <c r="X106" i="4" s="1"/>
  <c r="Y106" i="4" s="1"/>
  <c r="N20" i="4"/>
  <c r="O20" i="4" s="1"/>
  <c r="Q20" i="4" s="1"/>
  <c r="N184" i="4"/>
  <c r="O184" i="4" s="1"/>
  <c r="Q184" i="4" s="1"/>
  <c r="AD20" i="4"/>
  <c r="AE20" i="4" s="1"/>
  <c r="J45" i="4"/>
  <c r="X45" i="4" s="1"/>
  <c r="Y45" i="4" s="1"/>
  <c r="X20" i="4"/>
  <c r="Y20" i="4" s="1"/>
  <c r="K184" i="4"/>
  <c r="R20" i="4"/>
  <c r="S20" i="4" s="1"/>
  <c r="T20" i="4" s="1"/>
  <c r="J53" i="4"/>
  <c r="AD53" i="4" s="1"/>
  <c r="AE53" i="4" s="1"/>
  <c r="J46" i="4"/>
  <c r="X46" i="4" s="1"/>
  <c r="Y46" i="4" s="1"/>
  <c r="K20" i="4"/>
  <c r="J40" i="4"/>
  <c r="U40" i="4" s="1"/>
  <c r="V40" i="4" s="1"/>
  <c r="W40" i="4" s="1"/>
  <c r="U184" i="4"/>
  <c r="V184" i="4" s="1"/>
  <c r="W184" i="4" s="1"/>
  <c r="AD184" i="4"/>
  <c r="AE184" i="4" s="1"/>
  <c r="AD179" i="4"/>
  <c r="AE179" i="4" s="1"/>
  <c r="AD119" i="4"/>
  <c r="AE119" i="4" s="1"/>
  <c r="J111" i="4"/>
  <c r="AD111" i="4" s="1"/>
  <c r="AE111" i="4" s="1"/>
  <c r="J9" i="4"/>
  <c r="U9" i="4" s="1"/>
  <c r="V9" i="4" s="1"/>
  <c r="W9" i="4" s="1"/>
  <c r="N202" i="4"/>
  <c r="O202" i="4" s="1"/>
  <c r="Q202" i="4" s="1"/>
  <c r="X184" i="4"/>
  <c r="Y184" i="4" s="1"/>
  <c r="X119" i="4"/>
  <c r="Y119" i="4" s="1"/>
  <c r="J113" i="4"/>
  <c r="AD113" i="4" s="1"/>
  <c r="AE113" i="4" s="1"/>
  <c r="AD200" i="4"/>
  <c r="AE200" i="4" s="1"/>
  <c r="R184" i="4"/>
  <c r="S184" i="4" s="1"/>
  <c r="T184" i="4" s="1"/>
  <c r="X95" i="4"/>
  <c r="Y95" i="4" s="1"/>
  <c r="AD99" i="4"/>
  <c r="AE99" i="4" s="1"/>
  <c r="U119" i="4"/>
  <c r="V119" i="4" s="1"/>
  <c r="W119" i="4" s="1"/>
  <c r="U112" i="4"/>
  <c r="V112" i="4" s="1"/>
  <c r="W112" i="4" s="1"/>
  <c r="X86" i="4"/>
  <c r="Y86" i="4" s="1"/>
  <c r="R119" i="4"/>
  <c r="S119" i="4" s="1"/>
  <c r="T119" i="4" s="1"/>
  <c r="AD112" i="4"/>
  <c r="AE112" i="4" s="1"/>
  <c r="J115" i="4"/>
  <c r="AD115" i="4" s="1"/>
  <c r="AE115" i="4" s="1"/>
  <c r="M42" i="4"/>
  <c r="AA42" i="4" s="1"/>
  <c r="AB42" i="4"/>
  <c r="J49" i="4"/>
  <c r="X49" i="4" s="1"/>
  <c r="Y49" i="4" s="1"/>
  <c r="J41" i="4"/>
  <c r="AD41" i="4" s="1"/>
  <c r="AE41" i="4" s="1"/>
  <c r="M70" i="4"/>
  <c r="AA70" i="4" s="1"/>
  <c r="AB70" i="4"/>
  <c r="U203" i="4"/>
  <c r="V203" i="4" s="1"/>
  <c r="W203" i="4" s="1"/>
  <c r="X36" i="4"/>
  <c r="Y36" i="4" s="1"/>
  <c r="M151" i="4"/>
  <c r="AA151" i="4" s="1"/>
  <c r="AB151" i="4"/>
  <c r="R99" i="4"/>
  <c r="S99" i="4" s="1"/>
  <c r="T99" i="4" s="1"/>
  <c r="U95" i="4"/>
  <c r="V95" i="4" s="1"/>
  <c r="W95" i="4" s="1"/>
  <c r="R36" i="4"/>
  <c r="S36" i="4" s="1"/>
  <c r="T36" i="4" s="1"/>
  <c r="U202" i="4"/>
  <c r="V202" i="4" s="1"/>
  <c r="W202" i="4" s="1"/>
  <c r="U36" i="4"/>
  <c r="V36" i="4" s="1"/>
  <c r="W36" i="4" s="1"/>
  <c r="U99" i="4"/>
  <c r="V99" i="4" s="1"/>
  <c r="W99" i="4" s="1"/>
  <c r="AD190" i="4"/>
  <c r="AE190" i="4" s="1"/>
  <c r="AD90" i="4"/>
  <c r="AE90" i="4" s="1"/>
  <c r="U200" i="4"/>
  <c r="V200" i="4" s="1"/>
  <c r="W200" i="4" s="1"/>
  <c r="K90" i="4"/>
  <c r="N90" i="4"/>
  <c r="O90" i="4" s="1"/>
  <c r="Q90" i="4" s="1"/>
  <c r="L90" i="4"/>
  <c r="R90" i="4"/>
  <c r="S90" i="4" s="1"/>
  <c r="T90" i="4" s="1"/>
  <c r="X90" i="4"/>
  <c r="Y90" i="4" s="1"/>
  <c r="K36" i="4"/>
  <c r="N36" i="4"/>
  <c r="O36" i="4" s="1"/>
  <c r="Q36" i="4" s="1"/>
  <c r="L36" i="4"/>
  <c r="M32" i="4"/>
  <c r="AA32" i="4" s="1"/>
  <c r="AB32" i="4"/>
  <c r="AF199" i="4"/>
  <c r="AB199" i="4"/>
  <c r="M199" i="4"/>
  <c r="AA199" i="4" s="1"/>
  <c r="L202" i="4"/>
  <c r="R202" i="4"/>
  <c r="S202" i="4" s="1"/>
  <c r="T202" i="4" s="1"/>
  <c r="K54" i="4"/>
  <c r="N54" i="4"/>
  <c r="O54" i="4" s="1"/>
  <c r="Q54" i="4" s="1"/>
  <c r="L54" i="4"/>
  <c r="R54" i="4"/>
  <c r="S54" i="4" s="1"/>
  <c r="T54" i="4" s="1"/>
  <c r="AB119" i="4"/>
  <c r="M119" i="4"/>
  <c r="AA119" i="4" s="1"/>
  <c r="X54" i="4"/>
  <c r="Y54" i="4" s="1"/>
  <c r="K99" i="4"/>
  <c r="N99" i="4"/>
  <c r="O99" i="4" s="1"/>
  <c r="Q99" i="4" s="1"/>
  <c r="L99" i="4"/>
  <c r="K27" i="4"/>
  <c r="N27" i="4"/>
  <c r="O27" i="4" s="1"/>
  <c r="Q27" i="4" s="1"/>
  <c r="L27" i="4"/>
  <c r="K86" i="4"/>
  <c r="R86" i="4"/>
  <c r="S86" i="4" s="1"/>
  <c r="T86" i="4" s="1"/>
  <c r="L86" i="4"/>
  <c r="N203" i="4"/>
  <c r="O203" i="4" s="1"/>
  <c r="Q203" i="4" s="1"/>
  <c r="R203" i="4"/>
  <c r="S203" i="4" s="1"/>
  <c r="T203" i="4" s="1"/>
  <c r="L203" i="4"/>
  <c r="K203" i="4"/>
  <c r="N190" i="4"/>
  <c r="O190" i="4" s="1"/>
  <c r="Q190" i="4" s="1"/>
  <c r="L190" i="4"/>
  <c r="R190" i="4"/>
  <c r="S190" i="4" s="1"/>
  <c r="T190" i="4" s="1"/>
  <c r="K190" i="4"/>
  <c r="X203" i="4"/>
  <c r="Y203" i="4" s="1"/>
  <c r="AB138" i="4"/>
  <c r="M138" i="4"/>
  <c r="AA138" i="4" s="1"/>
  <c r="K200" i="4"/>
  <c r="N200" i="4"/>
  <c r="O200" i="4" s="1"/>
  <c r="Q200" i="4" s="1"/>
  <c r="R200" i="4"/>
  <c r="S200" i="4" s="1"/>
  <c r="T200" i="4" s="1"/>
  <c r="L200" i="4"/>
  <c r="X190" i="4"/>
  <c r="Y190" i="4" s="1"/>
  <c r="K52" i="4"/>
  <c r="R52" i="4"/>
  <c r="S52" i="4" s="1"/>
  <c r="T52" i="4" s="1"/>
  <c r="L52" i="4"/>
  <c r="M139" i="4"/>
  <c r="AA139" i="4" s="1"/>
  <c r="AB139" i="4"/>
  <c r="AB67" i="4"/>
  <c r="M67" i="4"/>
  <c r="AA67" i="4" s="1"/>
  <c r="AB193" i="4"/>
  <c r="M193" i="4"/>
  <c r="AA193" i="4" s="1"/>
  <c r="M201" i="4"/>
  <c r="AA201" i="4" s="1"/>
  <c r="AB201" i="4"/>
  <c r="M25" i="4"/>
  <c r="AA25" i="4" s="1"/>
  <c r="AB25" i="4"/>
  <c r="AB196" i="4"/>
  <c r="M196" i="4"/>
  <c r="AA196" i="4" s="1"/>
  <c r="A44" i="16"/>
  <c r="L44" i="16" s="1"/>
  <c r="L65" i="16" s="1"/>
  <c r="N65" i="16" s="1"/>
  <c r="AB184" i="4"/>
  <c r="M184" i="4"/>
  <c r="AA184" i="4" s="1"/>
  <c r="M183" i="4"/>
  <c r="AA183" i="4" s="1"/>
  <c r="AB183" i="4"/>
  <c r="AF183" i="4"/>
  <c r="M63" i="4"/>
  <c r="AA63" i="4" s="1"/>
  <c r="AB63" i="4"/>
  <c r="AB110" i="4"/>
  <c r="M110" i="4"/>
  <c r="AA110" i="4" s="1"/>
  <c r="M89" i="4"/>
  <c r="AA89" i="4" s="1"/>
  <c r="AB89" i="4"/>
  <c r="K64" i="4" l="1"/>
  <c r="AD13" i="4"/>
  <c r="AE13" i="4" s="1"/>
  <c r="N147" i="4"/>
  <c r="O147" i="4" s="1"/>
  <c r="Q147" i="4" s="1"/>
  <c r="X33" i="4"/>
  <c r="Y33" i="4" s="1"/>
  <c r="N33" i="4"/>
  <c r="O33" i="4" s="1"/>
  <c r="Q33" i="4" s="1"/>
  <c r="K121" i="4"/>
  <c r="R33" i="4"/>
  <c r="S33" i="4" s="1"/>
  <c r="T33" i="4" s="1"/>
  <c r="R121" i="4"/>
  <c r="S121" i="4" s="1"/>
  <c r="T121" i="4" s="1"/>
  <c r="U33" i="4"/>
  <c r="V33" i="4" s="1"/>
  <c r="W33" i="4" s="1"/>
  <c r="Z183" i="4"/>
  <c r="AC183" i="4" s="1"/>
  <c r="X147" i="4"/>
  <c r="Y147" i="4" s="1"/>
  <c r="AD33" i="4"/>
  <c r="AE33" i="4" s="1"/>
  <c r="U139" i="4"/>
  <c r="V139" i="4" s="1"/>
  <c r="W139" i="4" s="1"/>
  <c r="N84" i="4"/>
  <c r="O84" i="4" s="1"/>
  <c r="Q84" i="4" s="1"/>
  <c r="U75" i="4"/>
  <c r="V75" i="4" s="1"/>
  <c r="W75" i="4" s="1"/>
  <c r="AD170" i="4"/>
  <c r="AE170" i="4" s="1"/>
  <c r="R170" i="4"/>
  <c r="S170" i="4" s="1"/>
  <c r="T170" i="4" s="1"/>
  <c r="N47" i="4"/>
  <c r="O47" i="4" s="1"/>
  <c r="Q47" i="4" s="1"/>
  <c r="R123" i="4"/>
  <c r="S123" i="4" s="1"/>
  <c r="T123" i="4" s="1"/>
  <c r="X123" i="4"/>
  <c r="Y123" i="4" s="1"/>
  <c r="U47" i="4"/>
  <c r="V47" i="4" s="1"/>
  <c r="W47" i="4" s="1"/>
  <c r="AD69" i="4"/>
  <c r="AE69" i="4" s="1"/>
  <c r="L123" i="4"/>
  <c r="AB123" i="4" s="1"/>
  <c r="AD47" i="4"/>
  <c r="AE47" i="4" s="1"/>
  <c r="AD147" i="4"/>
  <c r="AE147" i="4" s="1"/>
  <c r="X55" i="4"/>
  <c r="Y55" i="4" s="1"/>
  <c r="U121" i="4"/>
  <c r="V121" i="4" s="1"/>
  <c r="W121" i="4" s="1"/>
  <c r="N55" i="4"/>
  <c r="O55" i="4" s="1"/>
  <c r="Q55" i="4" s="1"/>
  <c r="Z138" i="4"/>
  <c r="L121" i="4"/>
  <c r="M121" i="4" s="1"/>
  <c r="AA121" i="4" s="1"/>
  <c r="X207" i="4"/>
  <c r="Y207" i="4" s="1"/>
  <c r="X75" i="4"/>
  <c r="Y75" i="4" s="1"/>
  <c r="AD121" i="4"/>
  <c r="AE121" i="4" s="1"/>
  <c r="AD50" i="4"/>
  <c r="AE50" i="4" s="1"/>
  <c r="Z199" i="4"/>
  <c r="L135" i="4"/>
  <c r="AB135" i="4" s="1"/>
  <c r="L75" i="4"/>
  <c r="AF75" i="4" s="1"/>
  <c r="AG75" i="4" s="1"/>
  <c r="AS75" i="4" s="1"/>
  <c r="X121" i="4"/>
  <c r="Y121" i="4" s="1"/>
  <c r="U207" i="4"/>
  <c r="V207" i="4" s="1"/>
  <c r="W207" i="4" s="1"/>
  <c r="AD55" i="4"/>
  <c r="AE55" i="4" s="1"/>
  <c r="U135" i="4"/>
  <c r="V135" i="4" s="1"/>
  <c r="W135" i="4" s="1"/>
  <c r="L30" i="4"/>
  <c r="M30" i="4" s="1"/>
  <c r="AA30" i="4" s="1"/>
  <c r="X30" i="4"/>
  <c r="Y30" i="4" s="1"/>
  <c r="K82" i="4"/>
  <c r="AF123" i="4"/>
  <c r="AG123" i="4" s="1"/>
  <c r="AS123" i="4" s="1"/>
  <c r="M123" i="4"/>
  <c r="AA123" i="4" s="1"/>
  <c r="K30" i="4"/>
  <c r="AD82" i="4"/>
  <c r="AE82" i="4" s="1"/>
  <c r="Z150" i="4"/>
  <c r="Z156" i="4"/>
  <c r="Z147" i="4"/>
  <c r="Z144" i="4"/>
  <c r="Z56" i="4"/>
  <c r="Z171" i="4"/>
  <c r="Z35" i="4"/>
  <c r="Z184" i="4"/>
  <c r="AC184" i="4" s="1"/>
  <c r="AR184" i="4" s="1"/>
  <c r="Z130" i="4"/>
  <c r="AC130" i="4" s="1"/>
  <c r="AR130" i="4" s="1"/>
  <c r="Z57" i="4"/>
  <c r="Z196" i="4"/>
  <c r="AC196" i="4" s="1"/>
  <c r="Z202" i="4"/>
  <c r="N81" i="4"/>
  <c r="O81" i="4" s="1"/>
  <c r="Q81" i="4" s="1"/>
  <c r="M33" i="4"/>
  <c r="AA33" i="4" s="1"/>
  <c r="N30" i="4"/>
  <c r="O30" i="4" s="1"/>
  <c r="Q30" i="4" s="1"/>
  <c r="AB95" i="4"/>
  <c r="AG183" i="4"/>
  <c r="AS183" i="4" s="1"/>
  <c r="B72" i="2"/>
  <c r="E34" i="1" s="1"/>
  <c r="F98" i="2"/>
  <c r="E54" i="1" s="1"/>
  <c r="C61" i="16" s="1"/>
  <c r="D61" i="16" s="1"/>
  <c r="Z137" i="4"/>
  <c r="AF209" i="4"/>
  <c r="AG209" i="4" s="1"/>
  <c r="AS209" i="4" s="1"/>
  <c r="AD187" i="4"/>
  <c r="AE187" i="4" s="1"/>
  <c r="A683" i="3"/>
  <c r="B683" i="3" s="1"/>
  <c r="R167" i="4"/>
  <c r="S167" i="4" s="1"/>
  <c r="T167" i="4" s="1"/>
  <c r="N108" i="4"/>
  <c r="O108" i="4" s="1"/>
  <c r="Q108" i="4" s="1"/>
  <c r="M129" i="4"/>
  <c r="AA129" i="4" s="1"/>
  <c r="AD105" i="4"/>
  <c r="AE105" i="4" s="1"/>
  <c r="AB204" i="4"/>
  <c r="L187" i="4"/>
  <c r="M187" i="4" s="1"/>
  <c r="AA187" i="4" s="1"/>
  <c r="L82" i="4"/>
  <c r="Z82" i="4" s="1"/>
  <c r="X167" i="4"/>
  <c r="Y167" i="4" s="1"/>
  <c r="U104" i="4"/>
  <c r="V104" i="4" s="1"/>
  <c r="W104" i="4" s="1"/>
  <c r="AD167" i="4"/>
  <c r="AE167" i="4" s="1"/>
  <c r="AB155" i="4"/>
  <c r="K167" i="4"/>
  <c r="Z167" i="4" s="1"/>
  <c r="R207" i="4"/>
  <c r="S207" i="4" s="1"/>
  <c r="T207" i="4" s="1"/>
  <c r="R187" i="4"/>
  <c r="S187" i="4" s="1"/>
  <c r="T187" i="4" s="1"/>
  <c r="X187" i="4"/>
  <c r="Y187" i="4" s="1"/>
  <c r="X104" i="4"/>
  <c r="Y104" i="4" s="1"/>
  <c r="X168" i="4"/>
  <c r="Y168" i="4" s="1"/>
  <c r="X26" i="4"/>
  <c r="Y26" i="4" s="1"/>
  <c r="AG164" i="4"/>
  <c r="AS164" i="4" s="1"/>
  <c r="L168" i="4"/>
  <c r="M168" i="4" s="1"/>
  <c r="AA168" i="4" s="1"/>
  <c r="U39" i="4"/>
  <c r="V39" i="4" s="1"/>
  <c r="W39" i="4" s="1"/>
  <c r="R178" i="4"/>
  <c r="S178" i="4" s="1"/>
  <c r="T178" i="4" s="1"/>
  <c r="R162" i="4"/>
  <c r="S162" i="4" s="1"/>
  <c r="T162" i="4" s="1"/>
  <c r="M147" i="4"/>
  <c r="AA147" i="4" s="1"/>
  <c r="Z119" i="4"/>
  <c r="AC119" i="4" s="1"/>
  <c r="L50" i="4"/>
  <c r="AB50" i="4" s="1"/>
  <c r="AD26" i="4"/>
  <c r="AE26" i="4" s="1"/>
  <c r="L104" i="4"/>
  <c r="M104" i="4" s="1"/>
  <c r="AA104" i="4" s="1"/>
  <c r="R104" i="4"/>
  <c r="S104" i="4" s="1"/>
  <c r="T104" i="4" s="1"/>
  <c r="K104" i="4"/>
  <c r="C683" i="3"/>
  <c r="L207" i="4"/>
  <c r="M207" i="4" s="1"/>
  <c r="AA207" i="4" s="1"/>
  <c r="U162" i="4"/>
  <c r="V162" i="4" s="1"/>
  <c r="W162" i="4" s="1"/>
  <c r="R39" i="4"/>
  <c r="S39" i="4" s="1"/>
  <c r="T39" i="4" s="1"/>
  <c r="B69" i="2"/>
  <c r="E37" i="1" s="1"/>
  <c r="X105" i="4"/>
  <c r="Y105" i="4" s="1"/>
  <c r="U50" i="4"/>
  <c r="V50" i="4" s="1"/>
  <c r="W50" i="4" s="1"/>
  <c r="L178" i="4"/>
  <c r="AB178" i="4" s="1"/>
  <c r="X178" i="4"/>
  <c r="Y178" i="4" s="1"/>
  <c r="K105" i="4"/>
  <c r="M165" i="4"/>
  <c r="AA165" i="4" s="1"/>
  <c r="L105" i="4"/>
  <c r="N50" i="4"/>
  <c r="O50" i="4" s="1"/>
  <c r="Q50" i="4" s="1"/>
  <c r="E20" i="1"/>
  <c r="K198" i="4"/>
  <c r="X198" i="4"/>
  <c r="Y198" i="4" s="1"/>
  <c r="AB150" i="4"/>
  <c r="L180" i="4"/>
  <c r="M180" i="4" s="1"/>
  <c r="AA180" i="4" s="1"/>
  <c r="Z51" i="4"/>
  <c r="U105" i="4"/>
  <c r="V105" i="4" s="1"/>
  <c r="W105" i="4" s="1"/>
  <c r="M171" i="4"/>
  <c r="AA171" i="4" s="1"/>
  <c r="R26" i="4"/>
  <c r="S26" i="4" s="1"/>
  <c r="T26" i="4" s="1"/>
  <c r="L74" i="4"/>
  <c r="M74" i="4" s="1"/>
  <c r="AA74" i="4" s="1"/>
  <c r="K187" i="4"/>
  <c r="N26" i="4"/>
  <c r="O26" i="4" s="1"/>
  <c r="Q26" i="4" s="1"/>
  <c r="AD162" i="4"/>
  <c r="AE162" i="4" s="1"/>
  <c r="N167" i="4"/>
  <c r="O167" i="4" s="1"/>
  <c r="Q167" i="4" s="1"/>
  <c r="U167" i="4"/>
  <c r="V167" i="4" s="1"/>
  <c r="W167" i="4" s="1"/>
  <c r="AD39" i="4"/>
  <c r="AE39" i="4" s="1"/>
  <c r="L117" i="4"/>
  <c r="AB117" i="4" s="1"/>
  <c r="L162" i="4"/>
  <c r="AB162" i="4" s="1"/>
  <c r="K162" i="4"/>
  <c r="L39" i="4"/>
  <c r="M39" i="4" s="1"/>
  <c r="AA39" i="4" s="1"/>
  <c r="N162" i="4"/>
  <c r="O162" i="4" s="1"/>
  <c r="Q162" i="4" s="1"/>
  <c r="AF204" i="4"/>
  <c r="AG204" i="4" s="1"/>
  <c r="AS204" i="4" s="1"/>
  <c r="U178" i="4"/>
  <c r="V178" i="4" s="1"/>
  <c r="W178" i="4" s="1"/>
  <c r="K39" i="4"/>
  <c r="X69" i="4"/>
  <c r="Y69" i="4" s="1"/>
  <c r="R105" i="4"/>
  <c r="S105" i="4" s="1"/>
  <c r="T105" i="4" s="1"/>
  <c r="Z191" i="4"/>
  <c r="K50" i="4"/>
  <c r="Z50" i="4" s="1"/>
  <c r="AD198" i="4"/>
  <c r="AE198" i="4" s="1"/>
  <c r="X81" i="4"/>
  <c r="Y81" i="4" s="1"/>
  <c r="AF171" i="4"/>
  <c r="AG171" i="4" s="1"/>
  <c r="AS171" i="4" s="1"/>
  <c r="N39" i="4"/>
  <c r="O39" i="4" s="1"/>
  <c r="Q39" i="4" s="1"/>
  <c r="Z88" i="4"/>
  <c r="M19" i="4"/>
  <c r="AA19" i="4" s="1"/>
  <c r="X172" i="4"/>
  <c r="Y172" i="4" s="1"/>
  <c r="AD178" i="4"/>
  <c r="AE178" i="4" s="1"/>
  <c r="N178" i="4"/>
  <c r="O178" i="4" s="1"/>
  <c r="Q178" i="4" s="1"/>
  <c r="U108" i="4"/>
  <c r="V108" i="4" s="1"/>
  <c r="W108" i="4" s="1"/>
  <c r="B3" i="6"/>
  <c r="R108" i="4"/>
  <c r="S108" i="4" s="1"/>
  <c r="T108" i="4" s="1"/>
  <c r="AD161" i="4"/>
  <c r="AE161" i="4" s="1"/>
  <c r="B84" i="2"/>
  <c r="E45" i="1" s="1"/>
  <c r="L108" i="4"/>
  <c r="M108" i="4" s="1"/>
  <c r="AA108" i="4" s="1"/>
  <c r="M64" i="4"/>
  <c r="AA64" i="4" s="1"/>
  <c r="AD108" i="4"/>
  <c r="AE108" i="4" s="1"/>
  <c r="N31" i="4"/>
  <c r="O31" i="4" s="1"/>
  <c r="Q31" i="4" s="1"/>
  <c r="K108" i="4"/>
  <c r="M72" i="4"/>
  <c r="AA72" i="4" s="1"/>
  <c r="AD30" i="4"/>
  <c r="AE30" i="4" s="1"/>
  <c r="B70" i="2"/>
  <c r="E32" i="1" s="1"/>
  <c r="R30" i="4"/>
  <c r="S30" i="4" s="1"/>
  <c r="T30" i="4" s="1"/>
  <c r="U69" i="4"/>
  <c r="V69" i="4" s="1"/>
  <c r="W69" i="4" s="1"/>
  <c r="R161" i="4"/>
  <c r="S161" i="4" s="1"/>
  <c r="T161" i="4" s="1"/>
  <c r="K161" i="4"/>
  <c r="AD31" i="4"/>
  <c r="AE31" i="4" s="1"/>
  <c r="U161" i="4"/>
  <c r="V161" i="4" s="1"/>
  <c r="W161" i="4" s="1"/>
  <c r="X161" i="4"/>
  <c r="Y161" i="4" s="1"/>
  <c r="AB176" i="4"/>
  <c r="U31" i="4"/>
  <c r="V31" i="4" s="1"/>
  <c r="W31" i="4" s="1"/>
  <c r="AB186" i="4"/>
  <c r="AB171" i="4"/>
  <c r="U187" i="4"/>
  <c r="V187" i="4" s="1"/>
  <c r="W187" i="4" s="1"/>
  <c r="Z83" i="4"/>
  <c r="B16" i="6"/>
  <c r="U117" i="4"/>
  <c r="V117" i="4" s="1"/>
  <c r="W117" i="4" s="1"/>
  <c r="AF191" i="4"/>
  <c r="AG191" i="4" s="1"/>
  <c r="AS191" i="4" s="1"/>
  <c r="Z116" i="4"/>
  <c r="L69" i="4"/>
  <c r="AB69" i="4" s="1"/>
  <c r="R50" i="4"/>
  <c r="S50" i="4" s="1"/>
  <c r="T50" i="4" s="1"/>
  <c r="N181" i="4"/>
  <c r="O181" i="4" s="1"/>
  <c r="Q181" i="4" s="1"/>
  <c r="X31" i="4"/>
  <c r="Y31" i="4" s="1"/>
  <c r="R31" i="4"/>
  <c r="S31" i="4" s="1"/>
  <c r="T31" i="4" s="1"/>
  <c r="N69" i="4"/>
  <c r="O69" i="4" s="1"/>
  <c r="Q69" i="4" s="1"/>
  <c r="M191" i="4"/>
  <c r="AA191" i="4" s="1"/>
  <c r="Z19" i="4"/>
  <c r="B66" i="2"/>
  <c r="AD104" i="4"/>
  <c r="AE104" i="4" s="1"/>
  <c r="L172" i="4"/>
  <c r="AF172" i="4" s="1"/>
  <c r="Z154" i="4"/>
  <c r="Z204" i="4"/>
  <c r="AF28" i="4"/>
  <c r="AG28" i="4" s="1"/>
  <c r="AS28" i="4" s="1"/>
  <c r="N180" i="4"/>
  <c r="O180" i="4" s="1"/>
  <c r="Q180" i="4" s="1"/>
  <c r="K117" i="4"/>
  <c r="B160" i="2"/>
  <c r="B15" i="6"/>
  <c r="U26" i="4"/>
  <c r="V26" i="4" s="1"/>
  <c r="W26" i="4" s="1"/>
  <c r="N117" i="4"/>
  <c r="O117" i="4" s="1"/>
  <c r="Q117" i="4" s="1"/>
  <c r="U132" i="4"/>
  <c r="V132" i="4" s="1"/>
  <c r="W132" i="4" s="1"/>
  <c r="AD158" i="4"/>
  <c r="AE158" i="4" s="1"/>
  <c r="AF19" i="4"/>
  <c r="AG19" i="4" s="1"/>
  <c r="AS19" i="4" s="1"/>
  <c r="AB116" i="4"/>
  <c r="U198" i="4"/>
  <c r="V198" i="4" s="1"/>
  <c r="W198" i="4" s="1"/>
  <c r="L198" i="4"/>
  <c r="N198" i="4"/>
  <c r="O198" i="4" s="1"/>
  <c r="Q198" i="4" s="1"/>
  <c r="AF150" i="4"/>
  <c r="AG150" i="4" s="1"/>
  <c r="AS150" i="4" s="1"/>
  <c r="AD117" i="4"/>
  <c r="AE117" i="4" s="1"/>
  <c r="E19" i="1"/>
  <c r="M206" i="4"/>
  <c r="AA206" i="4" s="1"/>
  <c r="B74" i="2"/>
  <c r="E36" i="1" s="1"/>
  <c r="U172" i="4"/>
  <c r="V172" i="4" s="1"/>
  <c r="W172" i="4" s="1"/>
  <c r="B51" i="2"/>
  <c r="E27" i="1" s="1"/>
  <c r="AF148" i="4"/>
  <c r="AG148" i="4" s="1"/>
  <c r="AS148" i="4" s="1"/>
  <c r="Z193" i="4"/>
  <c r="AC193" i="4" s="1"/>
  <c r="AB28" i="4"/>
  <c r="M56" i="4"/>
  <c r="AA56" i="4" s="1"/>
  <c r="AD172" i="4"/>
  <c r="AE172" i="4" s="1"/>
  <c r="K26" i="4"/>
  <c r="AF26" i="4" s="1"/>
  <c r="AG110" i="4"/>
  <c r="AS110" i="4" s="1"/>
  <c r="M185" i="4"/>
  <c r="AA185" i="4" s="1"/>
  <c r="AB167" i="4"/>
  <c r="AF56" i="4"/>
  <c r="AG56" i="4" s="1"/>
  <c r="AS56" i="4" s="1"/>
  <c r="L161" i="4"/>
  <c r="AF159" i="4"/>
  <c r="AG159" i="4" s="1"/>
  <c r="AS159" i="4" s="1"/>
  <c r="U82" i="4"/>
  <c r="V82" i="4" s="1"/>
  <c r="W82" i="4" s="1"/>
  <c r="U166" i="4"/>
  <c r="V166" i="4" s="1"/>
  <c r="W166" i="4" s="1"/>
  <c r="AD166" i="4"/>
  <c r="AE166" i="4" s="1"/>
  <c r="N172" i="4"/>
  <c r="O172" i="4" s="1"/>
  <c r="Q172" i="4" s="1"/>
  <c r="R69" i="4"/>
  <c r="S69" i="4" s="1"/>
  <c r="T69" i="4" s="1"/>
  <c r="AG199" i="4"/>
  <c r="AS199" i="4" s="1"/>
  <c r="Z107" i="4"/>
  <c r="N207" i="4"/>
  <c r="O207" i="4" s="1"/>
  <c r="Q207" i="4" s="1"/>
  <c r="N168" i="4"/>
  <c r="O168" i="4" s="1"/>
  <c r="Q168" i="4" s="1"/>
  <c r="K207" i="4"/>
  <c r="N82" i="4"/>
  <c r="O82" i="4" s="1"/>
  <c r="Q82" i="4" s="1"/>
  <c r="X117" i="4"/>
  <c r="Y117" i="4" s="1"/>
  <c r="X82" i="4"/>
  <c r="Y82" i="4" s="1"/>
  <c r="L31" i="4"/>
  <c r="AF31" i="4" s="1"/>
  <c r="Z176" i="4"/>
  <c r="Z28" i="4"/>
  <c r="R180" i="4"/>
  <c r="S180" i="4" s="1"/>
  <c r="T180" i="4" s="1"/>
  <c r="M107" i="4"/>
  <c r="AA107" i="4" s="1"/>
  <c r="K74" i="4"/>
  <c r="Z175" i="4"/>
  <c r="AF140" i="4"/>
  <c r="AG140" i="4" s="1"/>
  <c r="AS140" i="4" s="1"/>
  <c r="AF116" i="4"/>
  <c r="AG116" i="4" s="1"/>
  <c r="AS116" i="4" s="1"/>
  <c r="M68" i="4"/>
  <c r="AA68" i="4" s="1"/>
  <c r="AG193" i="4"/>
  <c r="AS193" i="4" s="1"/>
  <c r="Z95" i="4"/>
  <c r="L131" i="4"/>
  <c r="M131" i="4" s="1"/>
  <c r="AA131" i="4" s="1"/>
  <c r="AF107" i="4"/>
  <c r="AG107" i="4" s="1"/>
  <c r="AS107" i="4" s="1"/>
  <c r="M145" i="4"/>
  <c r="AA145" i="4" s="1"/>
  <c r="R131" i="4"/>
  <c r="S131" i="4" s="1"/>
  <c r="T131" i="4" s="1"/>
  <c r="K81" i="4"/>
  <c r="L81" i="4"/>
  <c r="U81" i="4"/>
  <c r="V81" i="4" s="1"/>
  <c r="W81" i="4" s="1"/>
  <c r="AB153" i="4"/>
  <c r="AB26" i="4"/>
  <c r="Z142" i="4"/>
  <c r="AF192" i="4"/>
  <c r="AG192" i="4" s="1"/>
  <c r="AS192" i="4" s="1"/>
  <c r="AG89" i="4"/>
  <c r="AS89" i="4" s="1"/>
  <c r="B82" i="2"/>
  <c r="E43" i="1" s="1"/>
  <c r="AB188" i="4"/>
  <c r="G156" i="2"/>
  <c r="U131" i="4"/>
  <c r="V131" i="4" s="1"/>
  <c r="W131" i="4" s="1"/>
  <c r="AF147" i="4"/>
  <c r="AG147" i="4" s="1"/>
  <c r="AS147" i="4" s="1"/>
  <c r="AB169" i="4"/>
  <c r="Z192" i="4"/>
  <c r="AF154" i="4"/>
  <c r="AG154" i="4" s="1"/>
  <c r="AS154" i="4" s="1"/>
  <c r="M192" i="4"/>
  <c r="AA192" i="4" s="1"/>
  <c r="K168" i="4"/>
  <c r="B158" i="2"/>
  <c r="AF188" i="4"/>
  <c r="AG188" i="4" s="1"/>
  <c r="AS188" i="4" s="1"/>
  <c r="AF64" i="4"/>
  <c r="AG64" i="4" s="1"/>
  <c r="AS64" i="4" s="1"/>
  <c r="R81" i="4"/>
  <c r="S81" i="4" s="1"/>
  <c r="T81" i="4" s="1"/>
  <c r="AB179" i="4"/>
  <c r="AD168" i="4"/>
  <c r="AE168" i="4" s="1"/>
  <c r="AB118" i="4"/>
  <c r="AF129" i="4"/>
  <c r="AG129" i="4" s="1"/>
  <c r="AS129" i="4" s="1"/>
  <c r="M167" i="4"/>
  <c r="AA167" i="4" s="1"/>
  <c r="M150" i="4"/>
  <c r="AA150" i="4" s="1"/>
  <c r="Z186" i="4"/>
  <c r="AF182" i="4"/>
  <c r="AG182" i="4" s="1"/>
  <c r="AS182" i="4" s="1"/>
  <c r="Z97" i="4"/>
  <c r="AG152" i="4"/>
  <c r="AS152" i="4" s="1"/>
  <c r="AD131" i="4"/>
  <c r="AE131" i="4" s="1"/>
  <c r="AF155" i="4"/>
  <c r="AG155" i="4" s="1"/>
  <c r="AS155" i="4" s="1"/>
  <c r="AG138" i="4"/>
  <c r="AS138" i="4" s="1"/>
  <c r="N131" i="4"/>
  <c r="O131" i="4" s="1"/>
  <c r="Q131" i="4" s="1"/>
  <c r="U168" i="4"/>
  <c r="V168" i="4" s="1"/>
  <c r="W168" i="4" s="1"/>
  <c r="M163" i="4"/>
  <c r="AA163" i="4" s="1"/>
  <c r="AG32" i="4"/>
  <c r="AS32" i="4" s="1"/>
  <c r="X74" i="4"/>
  <c r="Y74" i="4" s="1"/>
  <c r="K125" i="4"/>
  <c r="N125" i="4"/>
  <c r="O125" i="4" s="1"/>
  <c r="Q125" i="4" s="1"/>
  <c r="U125" i="4"/>
  <c r="V125" i="4" s="1"/>
  <c r="W125" i="4" s="1"/>
  <c r="R125" i="4"/>
  <c r="S125" i="4" s="1"/>
  <c r="T125" i="4" s="1"/>
  <c r="AD125" i="4"/>
  <c r="AE125" i="4" s="1"/>
  <c r="AB140" i="4"/>
  <c r="M35" i="4"/>
  <c r="AA35" i="4" s="1"/>
  <c r="AB112" i="4"/>
  <c r="L125" i="4"/>
  <c r="Z153" i="4"/>
  <c r="M140" i="4"/>
  <c r="AA140" i="4" s="1"/>
  <c r="AF38" i="4"/>
  <c r="AG38" i="4" s="1"/>
  <c r="AS38" i="4" s="1"/>
  <c r="B147" i="2"/>
  <c r="F38" i="3" s="1"/>
  <c r="R158" i="4"/>
  <c r="S158" i="4" s="1"/>
  <c r="T158" i="4" s="1"/>
  <c r="N158" i="4"/>
  <c r="O158" i="4" s="1"/>
  <c r="Q158" i="4" s="1"/>
  <c r="L158" i="4"/>
  <c r="K158" i="4"/>
  <c r="X158" i="4"/>
  <c r="Y158" i="4" s="1"/>
  <c r="M209" i="4"/>
  <c r="AA209" i="4" s="1"/>
  <c r="Z155" i="4"/>
  <c r="AF176" i="4"/>
  <c r="AG176" i="4" s="1"/>
  <c r="AS176" i="4" s="1"/>
  <c r="B125" i="2"/>
  <c r="X181" i="4"/>
  <c r="Y181" i="4" s="1"/>
  <c r="E59" i="1"/>
  <c r="K181" i="4"/>
  <c r="AF35" i="4"/>
  <c r="AG35" i="4" s="1"/>
  <c r="AS35" i="4" s="1"/>
  <c r="AF33" i="4"/>
  <c r="AG33" i="4" s="1"/>
  <c r="AS33" i="4" s="1"/>
  <c r="Z64" i="4"/>
  <c r="Z188" i="4"/>
  <c r="AB189" i="4"/>
  <c r="X143" i="4"/>
  <c r="Y143" i="4" s="1"/>
  <c r="M175" i="4"/>
  <c r="AA175" i="4" s="1"/>
  <c r="Z136" i="4"/>
  <c r="AF196" i="4"/>
  <c r="AG196" i="4" s="1"/>
  <c r="AS196" i="4" s="1"/>
  <c r="AB197" i="4"/>
  <c r="M96" i="4"/>
  <c r="AA96" i="4" s="1"/>
  <c r="Z32" i="4"/>
  <c r="AC32" i="4" s="1"/>
  <c r="U74" i="4"/>
  <c r="V74" i="4" s="1"/>
  <c r="W74" i="4" s="1"/>
  <c r="L181" i="4"/>
  <c r="Z140" i="4"/>
  <c r="AF96" i="4"/>
  <c r="AG96" i="4" s="1"/>
  <c r="AS96" i="4" s="1"/>
  <c r="AB175" i="4"/>
  <c r="Z209" i="4"/>
  <c r="AB35" i="4"/>
  <c r="Z110" i="4"/>
  <c r="AC110" i="4" s="1"/>
  <c r="AF136" i="4"/>
  <c r="AG136" i="4" s="1"/>
  <c r="AS136" i="4" s="1"/>
  <c r="AB165" i="4"/>
  <c r="AD74" i="4"/>
  <c r="AE74" i="4" s="1"/>
  <c r="AF137" i="4"/>
  <c r="AG137" i="4" s="1"/>
  <c r="AS137" i="4" s="1"/>
  <c r="L195" i="4"/>
  <c r="AB195" i="4" s="1"/>
  <c r="R195" i="4"/>
  <c r="S195" i="4" s="1"/>
  <c r="T195" i="4" s="1"/>
  <c r="M136" i="4"/>
  <c r="AA136" i="4" s="1"/>
  <c r="Z91" i="4"/>
  <c r="Z165" i="4"/>
  <c r="N74" i="4"/>
  <c r="O74" i="4" s="1"/>
  <c r="Q74" i="4" s="1"/>
  <c r="U181" i="4"/>
  <c r="V181" i="4" s="1"/>
  <c r="W181" i="4" s="1"/>
  <c r="AD181" i="4"/>
  <c r="AE181" i="4" s="1"/>
  <c r="L58" i="4"/>
  <c r="U58" i="4"/>
  <c r="V58" i="4" s="1"/>
  <c r="W58" i="4" s="1"/>
  <c r="X58" i="4"/>
  <c r="Y58" i="4" s="1"/>
  <c r="AB91" i="4"/>
  <c r="M26" i="4"/>
  <c r="AA26" i="4" s="1"/>
  <c r="Z129" i="4"/>
  <c r="M154" i="4"/>
  <c r="AA154" i="4" s="1"/>
  <c r="AF73" i="4"/>
  <c r="AG73" i="4" s="1"/>
  <c r="AS73" i="4" s="1"/>
  <c r="Z33" i="4"/>
  <c r="AF91" i="4"/>
  <c r="AG91" i="4" s="1"/>
  <c r="AS91" i="4" s="1"/>
  <c r="AD143" i="4"/>
  <c r="AE143" i="4" s="1"/>
  <c r="Z141" i="4"/>
  <c r="AB73" i="4"/>
  <c r="Z163" i="4"/>
  <c r="AB100" i="4"/>
  <c r="AF153" i="4"/>
  <c r="AG153" i="4" s="1"/>
  <c r="AS153" i="4" s="1"/>
  <c r="Z67" i="4"/>
  <c r="AC67" i="4" s="1"/>
  <c r="M134" i="4"/>
  <c r="AA134" i="4" s="1"/>
  <c r="AF95" i="4"/>
  <c r="AG95" i="4" s="1"/>
  <c r="AS95" i="4" s="1"/>
  <c r="Z101" i="4"/>
  <c r="Z44" i="4"/>
  <c r="L143" i="4"/>
  <c r="AB143" i="4" s="1"/>
  <c r="R58" i="4"/>
  <c r="S58" i="4" s="1"/>
  <c r="T58" i="4" s="1"/>
  <c r="X132" i="4"/>
  <c r="Y132" i="4" s="1"/>
  <c r="N103" i="4"/>
  <c r="O103" i="4" s="1"/>
  <c r="Q103" i="4" s="1"/>
  <c r="R103" i="4"/>
  <c r="S103" i="4" s="1"/>
  <c r="T103" i="4" s="1"/>
  <c r="L103" i="4"/>
  <c r="U103" i="4"/>
  <c r="V103" i="4" s="1"/>
  <c r="W103" i="4" s="1"/>
  <c r="K103" i="4"/>
  <c r="X103" i="4"/>
  <c r="Y103" i="4" s="1"/>
  <c r="AF101" i="4"/>
  <c r="AG101" i="4" s="1"/>
  <c r="AS101" i="4" s="1"/>
  <c r="M101" i="4"/>
  <c r="AA101" i="4" s="1"/>
  <c r="M126" i="4"/>
  <c r="AA126" i="4" s="1"/>
  <c r="AB120" i="4"/>
  <c r="AB44" i="4"/>
  <c r="AF126" i="4"/>
  <c r="AG126" i="4" s="1"/>
  <c r="AS126" i="4" s="1"/>
  <c r="AF65" i="4"/>
  <c r="AG65" i="4" s="1"/>
  <c r="AS65" i="4" s="1"/>
  <c r="AG201" i="4"/>
  <c r="AS201" i="4" s="1"/>
  <c r="K58" i="4"/>
  <c r="AF72" i="4"/>
  <c r="AG72" i="4" s="1"/>
  <c r="AS72" i="4" s="1"/>
  <c r="AF44" i="4"/>
  <c r="AG44" i="4" s="1"/>
  <c r="AS44" i="4" s="1"/>
  <c r="AG160" i="4"/>
  <c r="AS160" i="4" s="1"/>
  <c r="R143" i="4"/>
  <c r="S143" i="4" s="1"/>
  <c r="T143" i="4" s="1"/>
  <c r="N58" i="4"/>
  <c r="O58" i="4" s="1"/>
  <c r="Q58" i="4" s="1"/>
  <c r="U180" i="4"/>
  <c r="V180" i="4" s="1"/>
  <c r="W180" i="4" s="1"/>
  <c r="AD180" i="4"/>
  <c r="AE180" i="4" s="1"/>
  <c r="K180" i="4"/>
  <c r="AD103" i="4"/>
  <c r="AE103" i="4" s="1"/>
  <c r="N48" i="4"/>
  <c r="O48" i="4" s="1"/>
  <c r="Q48" i="4" s="1"/>
  <c r="X48" i="4"/>
  <c r="Y48" i="4" s="1"/>
  <c r="K48" i="4"/>
  <c r="R48" i="4"/>
  <c r="S48" i="4" s="1"/>
  <c r="T48" i="4" s="1"/>
  <c r="AD48" i="4"/>
  <c r="AE48" i="4" s="1"/>
  <c r="L48" i="4"/>
  <c r="AD58" i="4"/>
  <c r="AE58" i="4" s="1"/>
  <c r="M159" i="4"/>
  <c r="AA159" i="4" s="1"/>
  <c r="AB159" i="4"/>
  <c r="AB149" i="4"/>
  <c r="AB144" i="4"/>
  <c r="Z179" i="4"/>
  <c r="U48" i="4"/>
  <c r="V48" i="4" s="1"/>
  <c r="W48" i="4" s="1"/>
  <c r="AB88" i="4"/>
  <c r="AB104" i="4"/>
  <c r="AF186" i="4"/>
  <c r="AG186" i="4" s="1"/>
  <c r="AS186" i="4" s="1"/>
  <c r="AF144" i="4"/>
  <c r="AG144" i="4" s="1"/>
  <c r="AS144" i="4" s="1"/>
  <c r="M146" i="4"/>
  <c r="AA146" i="4" s="1"/>
  <c r="Z182" i="4"/>
  <c r="AF88" i="4"/>
  <c r="AG88" i="4" s="1"/>
  <c r="AS88" i="4" s="1"/>
  <c r="Z98" i="4"/>
  <c r="AF68" i="4"/>
  <c r="AG68" i="4" s="1"/>
  <c r="AS68" i="4" s="1"/>
  <c r="K143" i="4"/>
  <c r="AB55" i="4"/>
  <c r="M55" i="4"/>
  <c r="AA55" i="4" s="1"/>
  <c r="A94" i="8"/>
  <c r="Z170" i="4"/>
  <c r="AF170" i="4"/>
  <c r="AG170" i="4" s="1"/>
  <c r="AS170" i="4" s="1"/>
  <c r="M170" i="4"/>
  <c r="AA170" i="4" s="1"/>
  <c r="K34" i="4"/>
  <c r="AD34" i="4"/>
  <c r="AE34" i="4" s="1"/>
  <c r="N34" i="4"/>
  <c r="O34" i="4" s="1"/>
  <c r="Q34" i="4" s="1"/>
  <c r="L34" i="4"/>
  <c r="U34" i="4"/>
  <c r="V34" i="4" s="1"/>
  <c r="W34" i="4" s="1"/>
  <c r="X34" i="4"/>
  <c r="Y34" i="4" s="1"/>
  <c r="R34" i="4"/>
  <c r="S34" i="4" s="1"/>
  <c r="T34" i="4" s="1"/>
  <c r="Z72" i="4"/>
  <c r="U143" i="4"/>
  <c r="V143" i="4" s="1"/>
  <c r="W143" i="4" s="1"/>
  <c r="AG70" i="4"/>
  <c r="AS70" i="4" s="1"/>
  <c r="A102" i="8"/>
  <c r="A100" i="8"/>
  <c r="K195" i="4"/>
  <c r="A116" i="8"/>
  <c r="A75" i="8"/>
  <c r="AF118" i="4"/>
  <c r="AG118" i="4" s="1"/>
  <c r="AS118" i="4" s="1"/>
  <c r="AQ38" i="3"/>
  <c r="A39" i="3"/>
  <c r="B38" i="3"/>
  <c r="AR38" i="3"/>
  <c r="C38" i="3"/>
  <c r="D38" i="3"/>
  <c r="AG165" i="4"/>
  <c r="AS165" i="4" s="1"/>
  <c r="A84" i="8"/>
  <c r="A93" i="8"/>
  <c r="M65" i="4"/>
  <c r="AA65" i="4" s="1"/>
  <c r="Z65" i="4"/>
  <c r="AF37" i="4"/>
  <c r="AG37" i="4" s="1"/>
  <c r="AS37" i="4" s="1"/>
  <c r="M51" i="4"/>
  <c r="AA51" i="4" s="1"/>
  <c r="AF51" i="4"/>
  <c r="AG51" i="4" s="1"/>
  <c r="AS51" i="4" s="1"/>
  <c r="AB51" i="4"/>
  <c r="A115" i="8"/>
  <c r="A85" i="8"/>
  <c r="A83" i="8"/>
  <c r="M144" i="4"/>
  <c r="AA144" i="4" s="1"/>
  <c r="K166" i="4"/>
  <c r="N166" i="4"/>
  <c r="O166" i="4" s="1"/>
  <c r="Q166" i="4" s="1"/>
  <c r="L166" i="4"/>
  <c r="R166" i="4"/>
  <c r="S166" i="4" s="1"/>
  <c r="T166" i="4" s="1"/>
  <c r="A77" i="8"/>
  <c r="A74" i="8"/>
  <c r="R9" i="8"/>
  <c r="S9" i="8" s="1"/>
  <c r="S30" i="8" s="1"/>
  <c r="C77" i="1" s="1"/>
  <c r="B77" i="1"/>
  <c r="Z55" i="4"/>
  <c r="AF55" i="4"/>
  <c r="R127" i="4"/>
  <c r="S127" i="4" s="1"/>
  <c r="T127" i="4" s="1"/>
  <c r="L127" i="4"/>
  <c r="N127" i="4"/>
  <c r="O127" i="4" s="1"/>
  <c r="Q127" i="4" s="1"/>
  <c r="K127" i="4"/>
  <c r="AF174" i="4"/>
  <c r="AG174" i="4" s="1"/>
  <c r="AS174" i="4" s="1"/>
  <c r="AD127" i="4"/>
  <c r="AE127" i="4" s="1"/>
  <c r="AB174" i="4"/>
  <c r="Z201" i="4"/>
  <c r="AC201" i="4" s="1"/>
  <c r="AR201" i="4" s="1"/>
  <c r="Z174" i="4"/>
  <c r="U127" i="4"/>
  <c r="V127" i="4" s="1"/>
  <c r="W127" i="4" s="1"/>
  <c r="AB164" i="4"/>
  <c r="Z133" i="4"/>
  <c r="X127" i="4"/>
  <c r="Y127" i="4" s="1"/>
  <c r="M208" i="4"/>
  <c r="AA208" i="4" s="1"/>
  <c r="AF130" i="4"/>
  <c r="AG130" i="4" s="1"/>
  <c r="Z208" i="4"/>
  <c r="AF179" i="4"/>
  <c r="AG179" i="4" s="1"/>
  <c r="AS179" i="4" s="1"/>
  <c r="R132" i="4"/>
  <c r="S132" i="4" s="1"/>
  <c r="T132" i="4" s="1"/>
  <c r="L132" i="4"/>
  <c r="K132" i="4"/>
  <c r="N132" i="4"/>
  <c r="O132" i="4" s="1"/>
  <c r="Q132" i="4" s="1"/>
  <c r="AF208" i="4"/>
  <c r="AG208" i="4" s="1"/>
  <c r="AS208" i="4" s="1"/>
  <c r="AF194" i="4"/>
  <c r="AG194" i="4" s="1"/>
  <c r="AS194" i="4" s="1"/>
  <c r="AF169" i="4"/>
  <c r="AG169" i="4" s="1"/>
  <c r="AS169" i="4" s="1"/>
  <c r="X61" i="4"/>
  <c r="Y61" i="4" s="1"/>
  <c r="Z194" i="4"/>
  <c r="AF185" i="4"/>
  <c r="AG185" i="4" s="1"/>
  <c r="AS185" i="4" s="1"/>
  <c r="AF120" i="4"/>
  <c r="AG120" i="4" s="1"/>
  <c r="AS120" i="4" s="1"/>
  <c r="AB194" i="4"/>
  <c r="R14" i="8"/>
  <c r="E28" i="1"/>
  <c r="AF189" i="4"/>
  <c r="AG189" i="4" s="1"/>
  <c r="AS189" i="4" s="1"/>
  <c r="AF82" i="4"/>
  <c r="AF197" i="4"/>
  <c r="AG197" i="4" s="1"/>
  <c r="AS197" i="4" s="1"/>
  <c r="M57" i="4"/>
  <c r="AA57" i="4" s="1"/>
  <c r="AB57" i="4"/>
  <c r="AF57" i="4"/>
  <c r="AG57" i="4" s="1"/>
  <c r="AS57" i="4" s="1"/>
  <c r="AG139" i="4"/>
  <c r="AS139" i="4" s="1"/>
  <c r="AF163" i="4"/>
  <c r="AG163" i="4" s="1"/>
  <c r="AS163" i="4" s="1"/>
  <c r="N195" i="4"/>
  <c r="O195" i="4" s="1"/>
  <c r="Q195" i="4" s="1"/>
  <c r="X195" i="4"/>
  <c r="Y195" i="4" s="1"/>
  <c r="AD195" i="4"/>
  <c r="AE195" i="4" s="1"/>
  <c r="Z87" i="4"/>
  <c r="Z185" i="4"/>
  <c r="AF156" i="4"/>
  <c r="AG156" i="4" s="1"/>
  <c r="AS156" i="4" s="1"/>
  <c r="M156" i="4"/>
  <c r="AA156" i="4" s="1"/>
  <c r="AB156" i="4"/>
  <c r="AG67" i="4"/>
  <c r="AS67" i="4" s="1"/>
  <c r="Z118" i="4"/>
  <c r="AB37" i="4"/>
  <c r="Z38" i="4"/>
  <c r="Z120" i="4"/>
  <c r="Z159" i="4"/>
  <c r="Z122" i="4"/>
  <c r="M37" i="4"/>
  <c r="AA37" i="4" s="1"/>
  <c r="M142" i="4"/>
  <c r="AA142" i="4" s="1"/>
  <c r="AF202" i="4"/>
  <c r="AG202" i="4" s="1"/>
  <c r="AS202" i="4" s="1"/>
  <c r="AB122" i="4"/>
  <c r="AB142" i="4"/>
  <c r="Z73" i="4"/>
  <c r="AF122" i="4"/>
  <c r="AG122" i="4" s="1"/>
  <c r="AS122" i="4" s="1"/>
  <c r="Z189" i="4"/>
  <c r="AF142" i="4"/>
  <c r="AG142" i="4" s="1"/>
  <c r="AS142" i="4" s="1"/>
  <c r="AF112" i="4"/>
  <c r="AG112" i="4" s="1"/>
  <c r="AS112" i="4" s="1"/>
  <c r="AF133" i="4"/>
  <c r="AG133" i="4" s="1"/>
  <c r="AS133" i="4" s="1"/>
  <c r="AG79" i="4"/>
  <c r="AS79" i="4" s="1"/>
  <c r="AG42" i="4"/>
  <c r="AS42" i="4" s="1"/>
  <c r="AG63" i="4"/>
  <c r="AS63" i="4" s="1"/>
  <c r="AF175" i="4"/>
  <c r="AG175" i="4" s="1"/>
  <c r="AS175" i="4" s="1"/>
  <c r="Z169" i="4"/>
  <c r="M133" i="4"/>
  <c r="AA133" i="4" s="1"/>
  <c r="R61" i="4"/>
  <c r="S61" i="4" s="1"/>
  <c r="T61" i="4" s="1"/>
  <c r="AF145" i="4"/>
  <c r="AG145" i="4" s="1"/>
  <c r="AS145" i="4" s="1"/>
  <c r="Z134" i="4"/>
  <c r="AF205" i="4"/>
  <c r="AG205" i="4" s="1"/>
  <c r="AS205" i="4" s="1"/>
  <c r="AG151" i="4"/>
  <c r="AS151" i="4" s="1"/>
  <c r="M79" i="4"/>
  <c r="AA79" i="4" s="1"/>
  <c r="M50" i="4"/>
  <c r="AA50" i="4" s="1"/>
  <c r="AF80" i="4"/>
  <c r="AG80" i="4" s="1"/>
  <c r="AS80" i="4" s="1"/>
  <c r="Z79" i="4"/>
  <c r="M82" i="4"/>
  <c r="AA82" i="4" s="1"/>
  <c r="Z76" i="4"/>
  <c r="Z80" i="4"/>
  <c r="Z139" i="4"/>
  <c r="AC139" i="4" s="1"/>
  <c r="AF76" i="4"/>
  <c r="AG76" i="4" s="1"/>
  <c r="AS76" i="4" s="1"/>
  <c r="Z85" i="4"/>
  <c r="AF146" i="4"/>
  <c r="AG146" i="4" s="1"/>
  <c r="AS146" i="4" s="1"/>
  <c r="AB133" i="4"/>
  <c r="AG119" i="4"/>
  <c r="AS119" i="4" s="1"/>
  <c r="AB66" i="4"/>
  <c r="AB76" i="4"/>
  <c r="Z112" i="4"/>
  <c r="Z42" i="4"/>
  <c r="AC42" i="4" s="1"/>
  <c r="Z66" i="4"/>
  <c r="AF20" i="4"/>
  <c r="AG20" i="4" s="1"/>
  <c r="AS20" i="4" s="1"/>
  <c r="Z114" i="4"/>
  <c r="AF66" i="4"/>
  <c r="AG66" i="4" s="1"/>
  <c r="AS66" i="4" s="1"/>
  <c r="AB141" i="4"/>
  <c r="Z37" i="4"/>
  <c r="M80" i="4"/>
  <c r="AA80" i="4" s="1"/>
  <c r="AB114" i="4"/>
  <c r="Z126" i="4"/>
  <c r="AF10" i="4"/>
  <c r="AG10" i="4" s="1"/>
  <c r="AS10" i="4" s="1"/>
  <c r="M141" i="4"/>
  <c r="AA141" i="4" s="1"/>
  <c r="Z100" i="4"/>
  <c r="AF114" i="4"/>
  <c r="AG114" i="4" s="1"/>
  <c r="AS114" i="4" s="1"/>
  <c r="AF30" i="4"/>
  <c r="AF100" i="4"/>
  <c r="AG100" i="4" s="1"/>
  <c r="AS100" i="4" s="1"/>
  <c r="AB79" i="4"/>
  <c r="Z63" i="4"/>
  <c r="AC63" i="4" s="1"/>
  <c r="M164" i="4"/>
  <c r="AA164" i="4" s="1"/>
  <c r="AB56" i="4"/>
  <c r="Z68" i="4"/>
  <c r="M135" i="4"/>
  <c r="AA135" i="4" s="1"/>
  <c r="Z152" i="4"/>
  <c r="Z96" i="4"/>
  <c r="N61" i="4"/>
  <c r="O61" i="4" s="1"/>
  <c r="Q61" i="4" s="1"/>
  <c r="U61" i="4"/>
  <c r="V61" i="4" s="1"/>
  <c r="W61" i="4" s="1"/>
  <c r="L61" i="4"/>
  <c r="AD61" i="4"/>
  <c r="AE61" i="4" s="1"/>
  <c r="M20" i="4"/>
  <c r="AA20" i="4" s="1"/>
  <c r="Z47" i="4"/>
  <c r="AB148" i="4"/>
  <c r="Z205" i="4"/>
  <c r="AF141" i="4"/>
  <c r="AG141" i="4" s="1"/>
  <c r="AS141" i="4" s="1"/>
  <c r="Z60" i="4"/>
  <c r="Z148" i="4"/>
  <c r="AB205" i="4"/>
  <c r="M205" i="4"/>
  <c r="AA205" i="4" s="1"/>
  <c r="Z20" i="4"/>
  <c r="Z89" i="4"/>
  <c r="AC89" i="4" s="1"/>
  <c r="AR89" i="4" s="1"/>
  <c r="Z146" i="4"/>
  <c r="Z151" i="4"/>
  <c r="AC151" i="4" s="1"/>
  <c r="AF134" i="4"/>
  <c r="AG134" i="4" s="1"/>
  <c r="AS134" i="4" s="1"/>
  <c r="Z145" i="4"/>
  <c r="AB78" i="4"/>
  <c r="Z78" i="4"/>
  <c r="AF25" i="4"/>
  <c r="AG25" i="4" s="1"/>
  <c r="AS25" i="4" s="1"/>
  <c r="AF78" i="4"/>
  <c r="AG78" i="4" s="1"/>
  <c r="AS78" i="4" s="1"/>
  <c r="M38" i="4"/>
  <c r="AA38" i="4" s="1"/>
  <c r="Z10" i="4"/>
  <c r="Z94" i="4"/>
  <c r="Z197" i="4"/>
  <c r="Z93" i="4"/>
  <c r="Z164" i="4"/>
  <c r="Z77" i="4"/>
  <c r="AB94" i="4"/>
  <c r="AF94" i="4"/>
  <c r="AG94" i="4" s="1"/>
  <c r="AS94" i="4" s="1"/>
  <c r="AF173" i="4"/>
  <c r="AG173" i="4" s="1"/>
  <c r="AS173" i="4" s="1"/>
  <c r="Z206" i="4"/>
  <c r="X109" i="4"/>
  <c r="Y109" i="4" s="1"/>
  <c r="AF157" i="4"/>
  <c r="AG157" i="4" s="1"/>
  <c r="AS157" i="4" s="1"/>
  <c r="AB157" i="4"/>
  <c r="Z157" i="4"/>
  <c r="AF149" i="4"/>
  <c r="AG149" i="4" s="1"/>
  <c r="AS149" i="4" s="1"/>
  <c r="AB177" i="4"/>
  <c r="Z177" i="4"/>
  <c r="AF22" i="4"/>
  <c r="AG22" i="4" s="1"/>
  <c r="AS22" i="4" s="1"/>
  <c r="AF177" i="4"/>
  <c r="AG177" i="4" s="1"/>
  <c r="AS177" i="4" s="1"/>
  <c r="AB22" i="4"/>
  <c r="Z22" i="4"/>
  <c r="AF135" i="4"/>
  <c r="AG135" i="4" s="1"/>
  <c r="AS135" i="4" s="1"/>
  <c r="AF206" i="4"/>
  <c r="AG206" i="4" s="1"/>
  <c r="AS206" i="4" s="1"/>
  <c r="AB10" i="4"/>
  <c r="X9" i="4"/>
  <c r="Y9" i="4" s="1"/>
  <c r="AD9" i="4"/>
  <c r="AE9" i="4" s="1"/>
  <c r="AB85" i="4"/>
  <c r="AF85" i="4"/>
  <c r="AG85" i="4" s="1"/>
  <c r="AS85" i="4" s="1"/>
  <c r="M85" i="4"/>
  <c r="AA85" i="4" s="1"/>
  <c r="M43" i="4"/>
  <c r="AA43" i="4" s="1"/>
  <c r="AF43" i="4"/>
  <c r="AG43" i="4" s="1"/>
  <c r="AS43" i="4" s="1"/>
  <c r="AB43" i="4"/>
  <c r="AB59" i="4"/>
  <c r="AF59" i="4"/>
  <c r="AG59" i="4" s="1"/>
  <c r="AS59" i="4" s="1"/>
  <c r="M59" i="4"/>
  <c r="AA59" i="4" s="1"/>
  <c r="M124" i="4"/>
  <c r="AA124" i="4" s="1"/>
  <c r="AB124" i="4"/>
  <c r="M23" i="4"/>
  <c r="AA23" i="4" s="1"/>
  <c r="AB23" i="4"/>
  <c r="AF23" i="4"/>
  <c r="AG23" i="4" s="1"/>
  <c r="AS23" i="4" s="1"/>
  <c r="Z23" i="4"/>
  <c r="M12" i="4"/>
  <c r="AA12" i="4" s="1"/>
  <c r="Z12" i="4"/>
  <c r="AF12" i="4"/>
  <c r="AG12" i="4" s="1"/>
  <c r="AS12" i="4" s="1"/>
  <c r="AB12" i="4"/>
  <c r="M182" i="4"/>
  <c r="AA182" i="4" s="1"/>
  <c r="AB182" i="4"/>
  <c r="M60" i="4"/>
  <c r="AA60" i="4" s="1"/>
  <c r="AB60" i="4"/>
  <c r="AF60" i="4"/>
  <c r="AG60" i="4" s="1"/>
  <c r="AS60" i="4" s="1"/>
  <c r="M102" i="4"/>
  <c r="AA102" i="4" s="1"/>
  <c r="Z102" i="4"/>
  <c r="AB102" i="4"/>
  <c r="AF102" i="4"/>
  <c r="AG102" i="4" s="1"/>
  <c r="AS102" i="4" s="1"/>
  <c r="AD46" i="4"/>
  <c r="AE46" i="4" s="1"/>
  <c r="M97" i="4"/>
  <c r="AA97" i="4" s="1"/>
  <c r="AB97" i="4"/>
  <c r="M15" i="4"/>
  <c r="AA15" i="4" s="1"/>
  <c r="AB15" i="4"/>
  <c r="AF15" i="4"/>
  <c r="AG15" i="4" s="1"/>
  <c r="AS15" i="4" s="1"/>
  <c r="Z15" i="4"/>
  <c r="M71" i="4"/>
  <c r="AA71" i="4" s="1"/>
  <c r="AB71" i="4"/>
  <c r="AF71" i="4"/>
  <c r="AG71" i="4" s="1"/>
  <c r="AS71" i="4" s="1"/>
  <c r="Z18" i="4"/>
  <c r="AB18" i="4"/>
  <c r="M18" i="4"/>
  <c r="AA18" i="4" s="1"/>
  <c r="AF18" i="4"/>
  <c r="AG18" i="4" s="1"/>
  <c r="AS18" i="4" s="1"/>
  <c r="Z70" i="4"/>
  <c r="AC70" i="4" s="1"/>
  <c r="M92" i="4"/>
  <c r="AA92" i="4" s="1"/>
  <c r="AB92" i="4"/>
  <c r="AF92" i="4"/>
  <c r="AG92" i="4" s="1"/>
  <c r="AS92" i="4" s="1"/>
  <c r="X113" i="4"/>
  <c r="Y113" i="4" s="1"/>
  <c r="M17" i="4"/>
  <c r="AA17" i="4" s="1"/>
  <c r="AB17" i="4"/>
  <c r="AF17" i="4"/>
  <c r="AG17" i="4" s="1"/>
  <c r="AS17" i="4" s="1"/>
  <c r="Z17" i="4"/>
  <c r="AF11" i="4"/>
  <c r="AG11" i="4" s="1"/>
  <c r="AS11" i="4" s="1"/>
  <c r="AB11" i="4"/>
  <c r="M11" i="4"/>
  <c r="AA11" i="4" s="1"/>
  <c r="Z11" i="4"/>
  <c r="M14" i="4"/>
  <c r="AA14" i="4" s="1"/>
  <c r="AF14" i="4"/>
  <c r="AG14" i="4" s="1"/>
  <c r="AS14" i="4" s="1"/>
  <c r="AB14" i="4"/>
  <c r="Z14" i="4"/>
  <c r="M16" i="4"/>
  <c r="AA16" i="4" s="1"/>
  <c r="AF16" i="4"/>
  <c r="AG16" i="4" s="1"/>
  <c r="AS16" i="4" s="1"/>
  <c r="AB16" i="4"/>
  <c r="Z16" i="4"/>
  <c r="AF124" i="4"/>
  <c r="AG124" i="4" s="1"/>
  <c r="AS124" i="4" s="1"/>
  <c r="M173" i="4"/>
  <c r="AA173" i="4" s="1"/>
  <c r="AF83" i="4"/>
  <c r="AG83" i="4" s="1"/>
  <c r="AS83" i="4" s="1"/>
  <c r="M83" i="4"/>
  <c r="AA83" i="4" s="1"/>
  <c r="AB83" i="4"/>
  <c r="M93" i="4"/>
  <c r="AA93" i="4" s="1"/>
  <c r="AB93" i="4"/>
  <c r="AF93" i="4"/>
  <c r="AG93" i="4" s="1"/>
  <c r="AS93" i="4" s="1"/>
  <c r="Z124" i="4"/>
  <c r="AB173" i="4"/>
  <c r="M137" i="4"/>
  <c r="AA137" i="4" s="1"/>
  <c r="AB137" i="4"/>
  <c r="Z62" i="4"/>
  <c r="AB62" i="4"/>
  <c r="M62" i="4"/>
  <c r="AA62" i="4" s="1"/>
  <c r="AF62" i="4"/>
  <c r="AG62" i="4" s="1"/>
  <c r="AS62" i="4" s="1"/>
  <c r="Z149" i="4"/>
  <c r="Z173" i="4"/>
  <c r="M87" i="4"/>
  <c r="AA87" i="4" s="1"/>
  <c r="AB87" i="4"/>
  <c r="AF87" i="4"/>
  <c r="AG87" i="4" s="1"/>
  <c r="AS87" i="4" s="1"/>
  <c r="M77" i="4"/>
  <c r="AA77" i="4" s="1"/>
  <c r="AF77" i="4"/>
  <c r="AG77" i="4" s="1"/>
  <c r="AS77" i="4" s="1"/>
  <c r="AB77" i="4"/>
  <c r="M98" i="4"/>
  <c r="AA98" i="4" s="1"/>
  <c r="AF98" i="4"/>
  <c r="AG98" i="4" s="1"/>
  <c r="AS98" i="4" s="1"/>
  <c r="AB98" i="4"/>
  <c r="AB21" i="4"/>
  <c r="Z21" i="4"/>
  <c r="AF21" i="4"/>
  <c r="AG21" i="4" s="1"/>
  <c r="AS21" i="4" s="1"/>
  <c r="M21" i="4"/>
  <c r="AA21" i="4" s="1"/>
  <c r="M84" i="4"/>
  <c r="AA84" i="4" s="1"/>
  <c r="Z84" i="4"/>
  <c r="AF84" i="4"/>
  <c r="AG84" i="4" s="1"/>
  <c r="AS84" i="4" s="1"/>
  <c r="AB84" i="4"/>
  <c r="Z43" i="4"/>
  <c r="AF97" i="4"/>
  <c r="AG97" i="4" s="1"/>
  <c r="AS97" i="4" s="1"/>
  <c r="B59" i="2"/>
  <c r="R22" i="8" s="1"/>
  <c r="S22" i="8" s="1"/>
  <c r="B55" i="2"/>
  <c r="M128" i="4"/>
  <c r="AA128" i="4" s="1"/>
  <c r="AB128" i="4"/>
  <c r="Z128" i="4"/>
  <c r="AC199" i="4"/>
  <c r="AR199" i="4" s="1"/>
  <c r="Z160" i="4"/>
  <c r="AC160" i="4" s="1"/>
  <c r="Z92" i="4"/>
  <c r="U24" i="4"/>
  <c r="V24" i="4" s="1"/>
  <c r="W24" i="4" s="1"/>
  <c r="M47" i="4"/>
  <c r="AA47" i="4" s="1"/>
  <c r="AB47" i="4"/>
  <c r="AF47" i="4"/>
  <c r="AG47" i="4" s="1"/>
  <c r="AS47" i="4" s="1"/>
  <c r="AB29" i="4"/>
  <c r="AF29" i="4"/>
  <c r="AG29" i="4" s="1"/>
  <c r="AS29" i="4" s="1"/>
  <c r="M29" i="4"/>
  <c r="AA29" i="4" s="1"/>
  <c r="Z29" i="4"/>
  <c r="Z75" i="4"/>
  <c r="M152" i="4"/>
  <c r="AA152" i="4" s="1"/>
  <c r="AB152" i="4"/>
  <c r="Z135" i="4"/>
  <c r="Z71" i="4"/>
  <c r="M13" i="4"/>
  <c r="AA13" i="4" s="1"/>
  <c r="AB13" i="4"/>
  <c r="AF13" i="4"/>
  <c r="AG13" i="4" s="1"/>
  <c r="AS13" i="4" s="1"/>
  <c r="Z13" i="4"/>
  <c r="AF128" i="4"/>
  <c r="AG128" i="4" s="1"/>
  <c r="AS128" i="4" s="1"/>
  <c r="Z59" i="4"/>
  <c r="AD109" i="4"/>
  <c r="AE109" i="4" s="1"/>
  <c r="K115" i="4"/>
  <c r="X115" i="4"/>
  <c r="Y115" i="4" s="1"/>
  <c r="N115" i="4"/>
  <c r="O115" i="4" s="1"/>
  <c r="Q115" i="4" s="1"/>
  <c r="L115" i="4"/>
  <c r="R115" i="4"/>
  <c r="S115" i="4" s="1"/>
  <c r="T115" i="4" s="1"/>
  <c r="U115" i="4"/>
  <c r="V115" i="4" s="1"/>
  <c r="W115" i="4" s="1"/>
  <c r="K45" i="4"/>
  <c r="AD45" i="4"/>
  <c r="AE45" i="4" s="1"/>
  <c r="U45" i="4"/>
  <c r="V45" i="4" s="1"/>
  <c r="W45" i="4" s="1"/>
  <c r="N45" i="4"/>
  <c r="O45" i="4" s="1"/>
  <c r="Q45" i="4" s="1"/>
  <c r="L45" i="4"/>
  <c r="R45" i="4"/>
  <c r="S45" i="4" s="1"/>
  <c r="T45" i="4" s="1"/>
  <c r="K9" i="4"/>
  <c r="R9" i="4"/>
  <c r="S9" i="4" s="1"/>
  <c r="T9" i="4" s="1"/>
  <c r="L9" i="4"/>
  <c r="N9" i="4"/>
  <c r="O9" i="4" s="1"/>
  <c r="Q9" i="4" s="1"/>
  <c r="L111" i="4"/>
  <c r="K111" i="4"/>
  <c r="X111" i="4"/>
  <c r="Y111" i="4" s="1"/>
  <c r="N111" i="4"/>
  <c r="O111" i="4" s="1"/>
  <c r="Q111" i="4" s="1"/>
  <c r="U111" i="4"/>
  <c r="V111" i="4" s="1"/>
  <c r="W111" i="4" s="1"/>
  <c r="R111" i="4"/>
  <c r="S111" i="4" s="1"/>
  <c r="T111" i="4" s="1"/>
  <c r="K41" i="4"/>
  <c r="U41" i="4"/>
  <c r="V41" i="4" s="1"/>
  <c r="W41" i="4" s="1"/>
  <c r="R41" i="4"/>
  <c r="S41" i="4" s="1"/>
  <c r="T41" i="4" s="1"/>
  <c r="N41" i="4"/>
  <c r="O41" i="4" s="1"/>
  <c r="Q41" i="4" s="1"/>
  <c r="X41" i="4"/>
  <c r="Y41" i="4" s="1"/>
  <c r="L41" i="4"/>
  <c r="AF184" i="4"/>
  <c r="AG184" i="4" s="1"/>
  <c r="AS184" i="4" s="1"/>
  <c r="AD49" i="4"/>
  <c r="AE49" i="4" s="1"/>
  <c r="R113" i="4"/>
  <c r="S113" i="4" s="1"/>
  <c r="T113" i="4" s="1"/>
  <c r="L113" i="4"/>
  <c r="K113" i="4"/>
  <c r="N113" i="4"/>
  <c r="O113" i="4" s="1"/>
  <c r="Q113" i="4" s="1"/>
  <c r="U46" i="4"/>
  <c r="V46" i="4" s="1"/>
  <c r="W46" i="4" s="1"/>
  <c r="C225" i="2"/>
  <c r="B225" i="2" s="1"/>
  <c r="B226" i="2" s="1"/>
  <c r="C79" i="4"/>
  <c r="B79" i="4" s="1"/>
  <c r="B80" i="4" s="1"/>
  <c r="B70" i="4"/>
  <c r="X24" i="4"/>
  <c r="Y24" i="4" s="1"/>
  <c r="U113" i="4"/>
  <c r="V113" i="4" s="1"/>
  <c r="W113" i="4" s="1"/>
  <c r="K49" i="4"/>
  <c r="R49" i="4"/>
  <c r="S49" i="4" s="1"/>
  <c r="T49" i="4" s="1"/>
  <c r="L49" i="4"/>
  <c r="N49" i="4"/>
  <c r="O49" i="4" s="1"/>
  <c r="Q49" i="4" s="1"/>
  <c r="U49" i="4"/>
  <c r="V49" i="4" s="1"/>
  <c r="W49" i="4" s="1"/>
  <c r="K46" i="4"/>
  <c r="R46" i="4"/>
  <c r="S46" i="4" s="1"/>
  <c r="T46" i="4" s="1"/>
  <c r="N46" i="4"/>
  <c r="O46" i="4" s="1"/>
  <c r="Q46" i="4" s="1"/>
  <c r="L46" i="4"/>
  <c r="K24" i="4"/>
  <c r="R24" i="4"/>
  <c r="S24" i="4" s="1"/>
  <c r="T24" i="4" s="1"/>
  <c r="L24" i="4"/>
  <c r="N24" i="4"/>
  <c r="O24" i="4" s="1"/>
  <c r="Q24" i="4" s="1"/>
  <c r="K109" i="4"/>
  <c r="R109" i="4"/>
  <c r="S109" i="4" s="1"/>
  <c r="T109" i="4" s="1"/>
  <c r="L109" i="4"/>
  <c r="N109" i="4"/>
  <c r="O109" i="4" s="1"/>
  <c r="Q109" i="4" s="1"/>
  <c r="K40" i="4"/>
  <c r="R40" i="4"/>
  <c r="S40" i="4" s="1"/>
  <c r="T40" i="4" s="1"/>
  <c r="L40" i="4"/>
  <c r="N40" i="4"/>
  <c r="O40" i="4" s="1"/>
  <c r="Q40" i="4" s="1"/>
  <c r="K106" i="4"/>
  <c r="R106" i="4"/>
  <c r="S106" i="4" s="1"/>
  <c r="T106" i="4" s="1"/>
  <c r="L106" i="4"/>
  <c r="N106" i="4"/>
  <c r="O106" i="4" s="1"/>
  <c r="Q106" i="4" s="1"/>
  <c r="AD40" i="4"/>
  <c r="AE40" i="4" s="1"/>
  <c r="K53" i="4"/>
  <c r="L53" i="4"/>
  <c r="R53" i="4"/>
  <c r="S53" i="4" s="1"/>
  <c r="T53" i="4" s="1"/>
  <c r="X53" i="4"/>
  <c r="Y53" i="4" s="1"/>
  <c r="U53" i="4"/>
  <c r="V53" i="4" s="1"/>
  <c r="W53" i="4" s="1"/>
  <c r="N53" i="4"/>
  <c r="O53" i="4" s="1"/>
  <c r="Q53" i="4" s="1"/>
  <c r="U106" i="4"/>
  <c r="V106" i="4" s="1"/>
  <c r="W106" i="4" s="1"/>
  <c r="X40" i="4"/>
  <c r="Y40" i="4" s="1"/>
  <c r="AD106" i="4"/>
  <c r="AE106" i="4" s="1"/>
  <c r="M190" i="4"/>
  <c r="AA190" i="4" s="1"/>
  <c r="AB190" i="4"/>
  <c r="Z190" i="4"/>
  <c r="AF190" i="4"/>
  <c r="AG190" i="4" s="1"/>
  <c r="AS190" i="4" s="1"/>
  <c r="M27" i="4"/>
  <c r="AA27" i="4" s="1"/>
  <c r="AF27" i="4"/>
  <c r="AG27" i="4" s="1"/>
  <c r="AS27" i="4" s="1"/>
  <c r="AB27" i="4"/>
  <c r="Z27" i="4"/>
  <c r="M52" i="4"/>
  <c r="AA52" i="4" s="1"/>
  <c r="AB52" i="4"/>
  <c r="AF52" i="4"/>
  <c r="AG52" i="4" s="1"/>
  <c r="AS52" i="4" s="1"/>
  <c r="Z52" i="4"/>
  <c r="M36" i="4"/>
  <c r="AA36" i="4" s="1"/>
  <c r="AB36" i="4"/>
  <c r="Z36" i="4"/>
  <c r="AF36" i="4"/>
  <c r="AG36" i="4" s="1"/>
  <c r="AS36" i="4" s="1"/>
  <c r="M99" i="4"/>
  <c r="AA99" i="4" s="1"/>
  <c r="Z99" i="4"/>
  <c r="AF99" i="4"/>
  <c r="AG99" i="4" s="1"/>
  <c r="AS99" i="4" s="1"/>
  <c r="AB99" i="4"/>
  <c r="Z200" i="4"/>
  <c r="AF200" i="4"/>
  <c r="AG200" i="4" s="1"/>
  <c r="AS200" i="4" s="1"/>
  <c r="AB200" i="4"/>
  <c r="M200" i="4"/>
  <c r="AA200" i="4" s="1"/>
  <c r="M203" i="4"/>
  <c r="AA203" i="4" s="1"/>
  <c r="AF203" i="4"/>
  <c r="AG203" i="4" s="1"/>
  <c r="AS203" i="4" s="1"/>
  <c r="AB203" i="4"/>
  <c r="Z203" i="4"/>
  <c r="M202" i="4"/>
  <c r="AA202" i="4" s="1"/>
  <c r="AB202" i="4"/>
  <c r="AF90" i="4"/>
  <c r="AG90" i="4" s="1"/>
  <c r="AS90" i="4" s="1"/>
  <c r="AB90" i="4"/>
  <c r="M90" i="4"/>
  <c r="AA90" i="4" s="1"/>
  <c r="Z90" i="4"/>
  <c r="M54" i="4"/>
  <c r="AA54" i="4" s="1"/>
  <c r="Z54" i="4"/>
  <c r="AF54" i="4"/>
  <c r="AG54" i="4" s="1"/>
  <c r="AS54" i="4" s="1"/>
  <c r="AB54" i="4"/>
  <c r="AF86" i="4"/>
  <c r="AG86" i="4" s="1"/>
  <c r="AS86" i="4" s="1"/>
  <c r="AB86" i="4"/>
  <c r="M86" i="4"/>
  <c r="AA86" i="4" s="1"/>
  <c r="Z86" i="4"/>
  <c r="AC138" i="4"/>
  <c r="B78" i="1"/>
  <c r="E3" i="8"/>
  <c r="AC25" i="4"/>
  <c r="AB121" i="4" l="1"/>
  <c r="AC121" i="4" s="1"/>
  <c r="AR121" i="4" s="1"/>
  <c r="AB82" i="4"/>
  <c r="AC82" i="4" s="1"/>
  <c r="AO82" i="4" s="1"/>
  <c r="AQ82" i="4" s="1"/>
  <c r="AU82" i="4" s="1"/>
  <c r="AG82" i="4"/>
  <c r="AS82" i="4" s="1"/>
  <c r="Z168" i="4"/>
  <c r="Z123" i="4"/>
  <c r="AC123" i="4" s="1"/>
  <c r="AC95" i="4"/>
  <c r="AC129" i="4"/>
  <c r="AB30" i="4"/>
  <c r="Z30" i="4"/>
  <c r="AF105" i="4"/>
  <c r="M178" i="4"/>
  <c r="AA178" i="4" s="1"/>
  <c r="M75" i="4"/>
  <c r="AA75" i="4" s="1"/>
  <c r="AB75" i="4"/>
  <c r="AC75" i="4" s="1"/>
  <c r="AG55" i="4"/>
  <c r="AS55" i="4" s="1"/>
  <c r="Z121" i="4"/>
  <c r="AF121" i="4"/>
  <c r="AG121" i="4" s="1"/>
  <c r="AS121" i="4" s="1"/>
  <c r="AR683" i="3"/>
  <c r="Z104" i="4"/>
  <c r="AC104" i="4" s="1"/>
  <c r="AR104" i="4" s="1"/>
  <c r="AB39" i="4"/>
  <c r="AF39" i="4"/>
  <c r="AG39" i="4" s="1"/>
  <c r="AS39" i="4" s="1"/>
  <c r="AC56" i="4"/>
  <c r="AR56" i="4" s="1"/>
  <c r="AC147" i="4"/>
  <c r="AR147" i="4" s="1"/>
  <c r="AC33" i="4"/>
  <c r="AR33" i="4" s="1"/>
  <c r="AC191" i="4"/>
  <c r="AO191" i="4" s="1"/>
  <c r="AQ191" i="4" s="1"/>
  <c r="AU191" i="4" s="1"/>
  <c r="AC38" i="4"/>
  <c r="AR38" i="4" s="1"/>
  <c r="AC167" i="4"/>
  <c r="AR167" i="4" s="1"/>
  <c r="AG26" i="4"/>
  <c r="AS26" i="4" s="1"/>
  <c r="Z187" i="4"/>
  <c r="AB187" i="4"/>
  <c r="D683" i="3"/>
  <c r="BM38" i="3"/>
  <c r="AQ683" i="3"/>
  <c r="Z178" i="4"/>
  <c r="AC178" i="4" s="1"/>
  <c r="AR178" i="4" s="1"/>
  <c r="AC116" i="4"/>
  <c r="AR116" i="4" s="1"/>
  <c r="AC19" i="4"/>
  <c r="AR19" i="4" s="1"/>
  <c r="AF178" i="4"/>
  <c r="AG178" i="4" s="1"/>
  <c r="AS178" i="4" s="1"/>
  <c r="AC155" i="4"/>
  <c r="AR155" i="4" s="1"/>
  <c r="AC150" i="4"/>
  <c r="AO150" i="4" s="1"/>
  <c r="AQ150" i="4" s="1"/>
  <c r="AU150" i="4" s="1"/>
  <c r="Z108" i="4"/>
  <c r="AG172" i="4"/>
  <c r="AS172" i="4" s="1"/>
  <c r="AG105" i="4"/>
  <c r="AS105" i="4" s="1"/>
  <c r="AF167" i="4"/>
  <c r="AG167" i="4" s="1"/>
  <c r="AS167" i="4" s="1"/>
  <c r="AG31" i="4"/>
  <c r="AS31" i="4" s="1"/>
  <c r="AC204" i="4"/>
  <c r="AR204" i="4" s="1"/>
  <c r="AC171" i="4"/>
  <c r="AR171" i="4" s="1"/>
  <c r="AC176" i="4"/>
  <c r="AR176" i="4" s="1"/>
  <c r="Z26" i="4"/>
  <c r="AC26" i="4" s="1"/>
  <c r="AR26" i="4" s="1"/>
  <c r="Z161" i="4"/>
  <c r="AB168" i="4"/>
  <c r="AC168" i="4" s="1"/>
  <c r="AR168" i="4" s="1"/>
  <c r="AO160" i="4"/>
  <c r="AQ160" i="4" s="1"/>
  <c r="AU160" i="4" s="1"/>
  <c r="AB74" i="4"/>
  <c r="AF50" i="4"/>
  <c r="AG50" i="4" s="1"/>
  <c r="AS50" i="4" s="1"/>
  <c r="AB180" i="4"/>
  <c r="Z198" i="4"/>
  <c r="AF104" i="4"/>
  <c r="AG104" i="4" s="1"/>
  <c r="AS104" i="4" s="1"/>
  <c r="AF207" i="4"/>
  <c r="AG207" i="4" s="1"/>
  <c r="AS207" i="4" s="1"/>
  <c r="M105" i="4"/>
  <c r="AA105" i="4" s="1"/>
  <c r="AB207" i="4"/>
  <c r="AC35" i="4"/>
  <c r="AR35" i="4" s="1"/>
  <c r="Z39" i="4"/>
  <c r="AC154" i="4"/>
  <c r="AR154" i="4" s="1"/>
  <c r="M161" i="4"/>
  <c r="AA161" i="4" s="1"/>
  <c r="AB105" i="4"/>
  <c r="Z105" i="4"/>
  <c r="D48" i="16"/>
  <c r="AF168" i="4"/>
  <c r="AG168" i="4" s="1"/>
  <c r="AS168" i="4" s="1"/>
  <c r="AC142" i="4"/>
  <c r="AO142" i="4" s="1"/>
  <c r="AQ142" i="4" s="1"/>
  <c r="AU142" i="4" s="1"/>
  <c r="M162" i="4"/>
  <c r="AA162" i="4" s="1"/>
  <c r="M117" i="4"/>
  <c r="AA117" i="4" s="1"/>
  <c r="AB31" i="4"/>
  <c r="AC101" i="4"/>
  <c r="AR101" i="4" s="1"/>
  <c r="Z162" i="4"/>
  <c r="AC186" i="4"/>
  <c r="AR186" i="4" s="1"/>
  <c r="AC185" i="4"/>
  <c r="AO185" i="4" s="1"/>
  <c r="AQ185" i="4" s="1"/>
  <c r="AU185" i="4" s="1"/>
  <c r="AG30" i="4"/>
  <c r="AS30" i="4" s="1"/>
  <c r="AF198" i="4"/>
  <c r="AG198" i="4" s="1"/>
  <c r="AS198" i="4" s="1"/>
  <c r="AC153" i="4"/>
  <c r="AR153" i="4" s="1"/>
  <c r="AC88" i="4"/>
  <c r="AO88" i="4" s="1"/>
  <c r="AQ88" i="4" s="1"/>
  <c r="AU88" i="4" s="1"/>
  <c r="AF162" i="4"/>
  <c r="AG162" i="4" s="1"/>
  <c r="AS162" i="4" s="1"/>
  <c r="AC107" i="4"/>
  <c r="AR107" i="4" s="1"/>
  <c r="AF108" i="4"/>
  <c r="AG108" i="4" s="1"/>
  <c r="AS108" i="4" s="1"/>
  <c r="AB108" i="4"/>
  <c r="Z74" i="4"/>
  <c r="AC74" i="4" s="1"/>
  <c r="AR74" i="4" s="1"/>
  <c r="Z207" i="4"/>
  <c r="AC189" i="4"/>
  <c r="AO189" i="4" s="1"/>
  <c r="AQ189" i="4" s="1"/>
  <c r="AU189" i="4" s="1"/>
  <c r="Z31" i="4"/>
  <c r="Z117" i="4"/>
  <c r="AB131" i="4"/>
  <c r="AC64" i="4"/>
  <c r="AR64" i="4" s="1"/>
  <c r="AC96" i="4"/>
  <c r="AR96" i="4" s="1"/>
  <c r="AF187" i="4"/>
  <c r="AG187" i="4" s="1"/>
  <c r="AS187" i="4" s="1"/>
  <c r="AC28" i="4"/>
  <c r="AO28" i="4" s="1"/>
  <c r="AQ28" i="4" s="1"/>
  <c r="AU28" i="4" s="1"/>
  <c r="Z172" i="4"/>
  <c r="AC206" i="4"/>
  <c r="AR206" i="4" s="1"/>
  <c r="AC136" i="4"/>
  <c r="AR136" i="4" s="1"/>
  <c r="AC72" i="4"/>
  <c r="AR72" i="4" s="1"/>
  <c r="AC126" i="4"/>
  <c r="AR126" i="4" s="1"/>
  <c r="M69" i="4"/>
  <c r="AA69" i="4" s="1"/>
  <c r="Z69" i="4"/>
  <c r="Z58" i="4"/>
  <c r="AF69" i="4"/>
  <c r="AG69" i="4" s="1"/>
  <c r="AS69" i="4" s="1"/>
  <c r="AB172" i="4"/>
  <c r="AC169" i="4"/>
  <c r="AR169" i="4" s="1"/>
  <c r="M198" i="4"/>
  <c r="AA198" i="4" s="1"/>
  <c r="AB161" i="4"/>
  <c r="AC179" i="4"/>
  <c r="AO179" i="4" s="1"/>
  <c r="AQ179" i="4" s="1"/>
  <c r="AU179" i="4" s="1"/>
  <c r="AC175" i="4"/>
  <c r="AO175" i="4" s="1"/>
  <c r="AQ175" i="4" s="1"/>
  <c r="AU175" i="4" s="1"/>
  <c r="AC145" i="4"/>
  <c r="AR145" i="4" s="1"/>
  <c r="AC188" i="4"/>
  <c r="AO188" i="4" s="1"/>
  <c r="AQ188" i="4" s="1"/>
  <c r="AU188" i="4" s="1"/>
  <c r="AF117" i="4"/>
  <c r="AG117" i="4" s="1"/>
  <c r="AS117" i="4" s="1"/>
  <c r="M172" i="4"/>
  <c r="AA172" i="4" s="1"/>
  <c r="AF161" i="4"/>
  <c r="AG161" i="4" s="1"/>
  <c r="AS161" i="4" s="1"/>
  <c r="AC146" i="4"/>
  <c r="AO146" i="4" s="1"/>
  <c r="AQ146" i="4" s="1"/>
  <c r="AU146" i="4" s="1"/>
  <c r="AC91" i="4"/>
  <c r="AR91" i="4" s="1"/>
  <c r="AF74" i="4"/>
  <c r="AG74" i="4" s="1"/>
  <c r="AS74" i="4" s="1"/>
  <c r="AC118" i="4"/>
  <c r="AR118" i="4" s="1"/>
  <c r="AC170" i="4"/>
  <c r="AR170" i="4" s="1"/>
  <c r="AC44" i="4"/>
  <c r="AR44" i="4" s="1"/>
  <c r="Z131" i="4"/>
  <c r="AB198" i="4"/>
  <c r="AC192" i="4"/>
  <c r="AR192" i="4" s="1"/>
  <c r="M31" i="4"/>
  <c r="AA31" i="4" s="1"/>
  <c r="M195" i="4"/>
  <c r="AA195" i="4" s="1"/>
  <c r="AC112" i="4"/>
  <c r="AR112" i="4" s="1"/>
  <c r="AC156" i="4"/>
  <c r="AR156" i="4" s="1"/>
  <c r="AC174" i="4"/>
  <c r="AR174" i="4" s="1"/>
  <c r="AC68" i="4"/>
  <c r="AR68" i="4" s="1"/>
  <c r="AC165" i="4"/>
  <c r="AR165" i="4" s="1"/>
  <c r="AC159" i="4"/>
  <c r="AR159" i="4" s="1"/>
  <c r="AC163" i="4"/>
  <c r="AR163" i="4" s="1"/>
  <c r="AC209" i="4"/>
  <c r="AR209" i="4" s="1"/>
  <c r="AC144" i="4"/>
  <c r="AR144" i="4" s="1"/>
  <c r="AF131" i="4"/>
  <c r="AG131" i="4" s="1"/>
  <c r="AS131" i="4" s="1"/>
  <c r="AC55" i="4"/>
  <c r="AR55" i="4" s="1"/>
  <c r="AF181" i="4"/>
  <c r="AG181" i="4" s="1"/>
  <c r="AS181" i="4" s="1"/>
  <c r="Z81" i="4"/>
  <c r="M81" i="4"/>
  <c r="AA81" i="4" s="1"/>
  <c r="AF81" i="4"/>
  <c r="AG81" i="4" s="1"/>
  <c r="AS81" i="4" s="1"/>
  <c r="AB81" i="4"/>
  <c r="AC140" i="4"/>
  <c r="AR140" i="4" s="1"/>
  <c r="AC100" i="4"/>
  <c r="AR100" i="4" s="1"/>
  <c r="AC50" i="4"/>
  <c r="AR50" i="4" s="1"/>
  <c r="F22" i="3"/>
  <c r="BM22" i="3" s="1"/>
  <c r="G23" i="3"/>
  <c r="H23" i="3" s="1"/>
  <c r="BN23" i="3" s="1"/>
  <c r="F17" i="3"/>
  <c r="BM17" i="3" s="1"/>
  <c r="G38" i="3"/>
  <c r="H38" i="3" s="1"/>
  <c r="BN38" i="3" s="1"/>
  <c r="G31" i="3"/>
  <c r="H31" i="3" s="1"/>
  <c r="BN31" i="3" s="1"/>
  <c r="F16" i="3"/>
  <c r="BM16" i="3" s="1"/>
  <c r="AB125" i="4"/>
  <c r="Z125" i="4"/>
  <c r="M125" i="4"/>
  <c r="AA125" i="4" s="1"/>
  <c r="AF125" i="4"/>
  <c r="AG125" i="4" s="1"/>
  <c r="AS125" i="4" s="1"/>
  <c r="F9" i="3"/>
  <c r="BM9" i="3" s="1"/>
  <c r="B132" i="2"/>
  <c r="E62" i="1"/>
  <c r="G20" i="3"/>
  <c r="H20" i="3" s="1"/>
  <c r="BN20" i="3" s="1"/>
  <c r="G32" i="3"/>
  <c r="H32" i="3" s="1"/>
  <c r="BN32" i="3" s="1"/>
  <c r="G34" i="3"/>
  <c r="H34" i="3" s="1"/>
  <c r="BN34" i="3" s="1"/>
  <c r="AF143" i="4"/>
  <c r="AG143" i="4" s="1"/>
  <c r="AS143" i="4" s="1"/>
  <c r="G9" i="3"/>
  <c r="H9" i="3" s="1"/>
  <c r="BN9" i="3" s="1"/>
  <c r="F31" i="3"/>
  <c r="BM31" i="3" s="1"/>
  <c r="G10" i="3"/>
  <c r="H10" i="3" s="1"/>
  <c r="BN10" i="3" s="1"/>
  <c r="G25" i="3"/>
  <c r="H25" i="3" s="1"/>
  <c r="BN25" i="3" s="1"/>
  <c r="G16" i="3"/>
  <c r="H16" i="3" s="1"/>
  <c r="BN16" i="3" s="1"/>
  <c r="G36" i="3"/>
  <c r="H36" i="3" s="1"/>
  <c r="BN36" i="3" s="1"/>
  <c r="Z143" i="4"/>
  <c r="AC141" i="4"/>
  <c r="AR141" i="4" s="1"/>
  <c r="AC73" i="4"/>
  <c r="AO73" i="4" s="1"/>
  <c r="AQ73" i="4" s="1"/>
  <c r="AU73" i="4" s="1"/>
  <c r="F35" i="3"/>
  <c r="BM35" i="3" s="1"/>
  <c r="F10" i="3"/>
  <c r="BM10" i="3" s="1"/>
  <c r="AC120" i="4"/>
  <c r="AR120" i="4" s="1"/>
  <c r="F27" i="3"/>
  <c r="BM27" i="3" s="1"/>
  <c r="AC30" i="4"/>
  <c r="AR30" i="4" s="1"/>
  <c r="G26" i="3"/>
  <c r="H26" i="3" s="1"/>
  <c r="BN26" i="3" s="1"/>
  <c r="F23" i="3"/>
  <c r="BM23" i="3" s="1"/>
  <c r="F29" i="3"/>
  <c r="BM29" i="3" s="1"/>
  <c r="G683" i="3"/>
  <c r="H683" i="3" s="1"/>
  <c r="G29" i="3"/>
  <c r="H29" i="3" s="1"/>
  <c r="BN29" i="3" s="1"/>
  <c r="G28" i="3"/>
  <c r="H28" i="3" s="1"/>
  <c r="BN28" i="3" s="1"/>
  <c r="F26" i="3"/>
  <c r="BM26" i="3" s="1"/>
  <c r="F18" i="3"/>
  <c r="BM18" i="3" s="1"/>
  <c r="F683" i="3"/>
  <c r="G17" i="3"/>
  <c r="H17" i="3" s="1"/>
  <c r="BN17" i="3" s="1"/>
  <c r="F11" i="3"/>
  <c r="BM11" i="3" s="1"/>
  <c r="G13" i="3"/>
  <c r="H13" i="3" s="1"/>
  <c r="BN13" i="3" s="1"/>
  <c r="G15" i="3"/>
  <c r="H15" i="3" s="1"/>
  <c r="BN15" i="3" s="1"/>
  <c r="F37" i="3"/>
  <c r="BM37" i="3" s="1"/>
  <c r="G37" i="3"/>
  <c r="H37" i="3" s="1"/>
  <c r="BN37" i="3" s="1"/>
  <c r="G35" i="3"/>
  <c r="H35" i="3" s="1"/>
  <c r="BN35" i="3" s="1"/>
  <c r="G33" i="3"/>
  <c r="H33" i="3" s="1"/>
  <c r="BN33" i="3" s="1"/>
  <c r="G21" i="3"/>
  <c r="H21" i="3" s="1"/>
  <c r="BN21" i="3" s="1"/>
  <c r="G30" i="3"/>
  <c r="H30" i="3" s="1"/>
  <c r="BN30" i="3" s="1"/>
  <c r="F21" i="3"/>
  <c r="BM21" i="3" s="1"/>
  <c r="F12" i="3"/>
  <c r="BM12" i="3" s="1"/>
  <c r="G14" i="3"/>
  <c r="H14" i="3" s="1"/>
  <c r="BN14" i="3" s="1"/>
  <c r="F28" i="3"/>
  <c r="BM28" i="3" s="1"/>
  <c r="F30" i="3"/>
  <c r="BM30" i="3" s="1"/>
  <c r="F34" i="3"/>
  <c r="BM34" i="3" s="1"/>
  <c r="F33" i="3"/>
  <c r="BM33" i="3" s="1"/>
  <c r="F25" i="3"/>
  <c r="BM25" i="3" s="1"/>
  <c r="G27" i="3"/>
  <c r="H27" i="3" s="1"/>
  <c r="BN27" i="3" s="1"/>
  <c r="G24" i="3"/>
  <c r="H24" i="3" s="1"/>
  <c r="BN24" i="3" s="1"/>
  <c r="G22" i="3"/>
  <c r="H22" i="3" s="1"/>
  <c r="BN22" i="3" s="1"/>
  <c r="F14" i="3"/>
  <c r="BM14" i="3" s="1"/>
  <c r="AC79" i="4"/>
  <c r="AO79" i="4" s="1"/>
  <c r="AQ79" i="4" s="1"/>
  <c r="AU79" i="4" s="1"/>
  <c r="G19" i="3"/>
  <c r="H19" i="3" s="1"/>
  <c r="BN19" i="3" s="1"/>
  <c r="F20" i="3"/>
  <c r="BM20" i="3" s="1"/>
  <c r="G682" i="3"/>
  <c r="H682" i="3" s="1"/>
  <c r="Z158" i="4"/>
  <c r="M158" i="4"/>
  <c r="AA158" i="4" s="1"/>
  <c r="AB158" i="4"/>
  <c r="AF158" i="4"/>
  <c r="AG158" i="4" s="1"/>
  <c r="AS158" i="4" s="1"/>
  <c r="AC149" i="4"/>
  <c r="AR149" i="4" s="1"/>
  <c r="F682" i="3"/>
  <c r="F19" i="3"/>
  <c r="BM19" i="3" s="1"/>
  <c r="F13" i="3"/>
  <c r="BM13" i="3" s="1"/>
  <c r="F24" i="3"/>
  <c r="BM24" i="3" s="1"/>
  <c r="G18" i="3"/>
  <c r="H18" i="3" s="1"/>
  <c r="BN18" i="3" s="1"/>
  <c r="F15" i="3"/>
  <c r="BM15" i="3" s="1"/>
  <c r="F32" i="3"/>
  <c r="BM32" i="3" s="1"/>
  <c r="AC20" i="4"/>
  <c r="AO20" i="4" s="1"/>
  <c r="AQ20" i="4" s="1"/>
  <c r="AU20" i="4" s="1"/>
  <c r="G11" i="3"/>
  <c r="H11" i="3" s="1"/>
  <c r="BN11" i="3" s="1"/>
  <c r="AC177" i="4"/>
  <c r="AR177" i="4" s="1"/>
  <c r="AC197" i="4"/>
  <c r="AO197" i="4" s="1"/>
  <c r="AQ197" i="4" s="1"/>
  <c r="AU197" i="4" s="1"/>
  <c r="G12" i="3"/>
  <c r="H12" i="3" s="1"/>
  <c r="BN12" i="3" s="1"/>
  <c r="F36" i="3"/>
  <c r="BM36" i="3" s="1"/>
  <c r="AC51" i="4"/>
  <c r="AO51" i="4" s="1"/>
  <c r="AQ51" i="4" s="1"/>
  <c r="AU51" i="4" s="1"/>
  <c r="M181" i="4"/>
  <c r="AA181" i="4" s="1"/>
  <c r="Z181" i="4"/>
  <c r="AB181" i="4"/>
  <c r="AF180" i="4"/>
  <c r="AG180" i="4" s="1"/>
  <c r="AS180" i="4" s="1"/>
  <c r="Z180" i="4"/>
  <c r="AC76" i="4"/>
  <c r="AO76" i="4" s="1"/>
  <c r="AQ76" i="4" s="1"/>
  <c r="AU76" i="4" s="1"/>
  <c r="AC57" i="4"/>
  <c r="AR57" i="4" s="1"/>
  <c r="AC134" i="4"/>
  <c r="AO134" i="4" s="1"/>
  <c r="AQ134" i="4" s="1"/>
  <c r="AU134" i="4" s="1"/>
  <c r="M143" i="4"/>
  <c r="AA143" i="4" s="1"/>
  <c r="AC208" i="4"/>
  <c r="AR208" i="4" s="1"/>
  <c r="AF48" i="4"/>
  <c r="AG48" i="4" s="1"/>
  <c r="AS48" i="4" s="1"/>
  <c r="M48" i="4"/>
  <c r="AA48" i="4" s="1"/>
  <c r="Z48" i="4"/>
  <c r="AB48" i="4"/>
  <c r="AB103" i="4"/>
  <c r="AF103" i="4"/>
  <c r="AG103" i="4" s="1"/>
  <c r="AS103" i="4" s="1"/>
  <c r="Z103" i="4"/>
  <c r="M103" i="4"/>
  <c r="AA103" i="4" s="1"/>
  <c r="AC65" i="4"/>
  <c r="AR65" i="4" s="1"/>
  <c r="AB58" i="4"/>
  <c r="M58" i="4"/>
  <c r="AA58" i="4" s="1"/>
  <c r="AF58" i="4"/>
  <c r="AG58" i="4" s="1"/>
  <c r="AS58" i="4" s="1"/>
  <c r="AS130" i="4"/>
  <c r="AO130" i="4"/>
  <c r="AQ130" i="4" s="1"/>
  <c r="AU130" i="4" s="1"/>
  <c r="AC194" i="4"/>
  <c r="AR194" i="4" s="1"/>
  <c r="A86" i="8"/>
  <c r="Z195" i="4"/>
  <c r="AF195" i="4"/>
  <c r="AG195" i="4" s="1"/>
  <c r="AS195" i="4" s="1"/>
  <c r="A114" i="8"/>
  <c r="A89" i="8"/>
  <c r="A96" i="8"/>
  <c r="A128" i="8"/>
  <c r="M166" i="4"/>
  <c r="AA166" i="4" s="1"/>
  <c r="AF166" i="4"/>
  <c r="AG166" i="4" s="1"/>
  <c r="AS166" i="4" s="1"/>
  <c r="Z166" i="4"/>
  <c r="AB166" i="4"/>
  <c r="A127" i="8"/>
  <c r="A97" i="8"/>
  <c r="A87" i="8"/>
  <c r="A106" i="8"/>
  <c r="B39" i="3"/>
  <c r="A40" i="3"/>
  <c r="AQ39" i="3"/>
  <c r="AR39" i="3"/>
  <c r="C39" i="3"/>
  <c r="D39" i="3"/>
  <c r="F39" i="3"/>
  <c r="G39" i="3"/>
  <c r="H39" i="3" s="1"/>
  <c r="A112" i="8"/>
  <c r="M34" i="4"/>
  <c r="AA34" i="4" s="1"/>
  <c r="AF34" i="4"/>
  <c r="AG34" i="4" s="1"/>
  <c r="AS34" i="4" s="1"/>
  <c r="AB34" i="4"/>
  <c r="Z34" i="4"/>
  <c r="A105" i="8"/>
  <c r="A95" i="8"/>
  <c r="R30" i="8"/>
  <c r="AC66" i="4"/>
  <c r="AO66" i="4" s="1"/>
  <c r="AQ66" i="4" s="1"/>
  <c r="AU66" i="4" s="1"/>
  <c r="AC122" i="4"/>
  <c r="AR122" i="4" s="1"/>
  <c r="Z132" i="4"/>
  <c r="AB132" i="4"/>
  <c r="M132" i="4"/>
  <c r="AA132" i="4" s="1"/>
  <c r="AF132" i="4"/>
  <c r="AG132" i="4" s="1"/>
  <c r="AS132" i="4" s="1"/>
  <c r="AC135" i="4"/>
  <c r="AO135" i="4" s="1"/>
  <c r="AQ135" i="4" s="1"/>
  <c r="AU135" i="4" s="1"/>
  <c r="AC78" i="4"/>
  <c r="AR78" i="4" s="1"/>
  <c r="AC164" i="4"/>
  <c r="AR164" i="4" s="1"/>
  <c r="AC114" i="4"/>
  <c r="AO114" i="4" s="1"/>
  <c r="AQ114" i="4" s="1"/>
  <c r="AU114" i="4" s="1"/>
  <c r="AC133" i="4"/>
  <c r="AR133" i="4" s="1"/>
  <c r="AC148" i="4"/>
  <c r="AR148" i="4" s="1"/>
  <c r="AC80" i="4"/>
  <c r="AR80" i="4" s="1"/>
  <c r="M127" i="4"/>
  <c r="AA127" i="4" s="1"/>
  <c r="AF127" i="4"/>
  <c r="AG127" i="4" s="1"/>
  <c r="AS127" i="4" s="1"/>
  <c r="AB127" i="4"/>
  <c r="Z127" i="4"/>
  <c r="AC94" i="4"/>
  <c r="AR94" i="4" s="1"/>
  <c r="Z111" i="4"/>
  <c r="AC60" i="4"/>
  <c r="AC37" i="4"/>
  <c r="AR37" i="4" s="1"/>
  <c r="AC157" i="4"/>
  <c r="AR157" i="4" s="1"/>
  <c r="AO199" i="4"/>
  <c r="AQ199" i="4" s="1"/>
  <c r="AU199" i="4" s="1"/>
  <c r="M61" i="4"/>
  <c r="AA61" i="4" s="1"/>
  <c r="AB61" i="4"/>
  <c r="Z61" i="4"/>
  <c r="AF61" i="4"/>
  <c r="AG61" i="4" s="1"/>
  <c r="AS61" i="4" s="1"/>
  <c r="AC152" i="4"/>
  <c r="AO152" i="4" s="1"/>
  <c r="AQ152" i="4" s="1"/>
  <c r="AU152" i="4" s="1"/>
  <c r="AC205" i="4"/>
  <c r="AR205" i="4" s="1"/>
  <c r="AC10" i="4"/>
  <c r="AR10" i="4" s="1"/>
  <c r="AC93" i="4"/>
  <c r="AO93" i="4" s="1"/>
  <c r="AQ93" i="4" s="1"/>
  <c r="AU93" i="4" s="1"/>
  <c r="AC22" i="4"/>
  <c r="AR22" i="4" s="1"/>
  <c r="AC83" i="4"/>
  <c r="AO83" i="4" s="1"/>
  <c r="AQ83" i="4" s="1"/>
  <c r="AU83" i="4" s="1"/>
  <c r="AC173" i="4"/>
  <c r="AO173" i="4" s="1"/>
  <c r="AQ173" i="4" s="1"/>
  <c r="AU173" i="4" s="1"/>
  <c r="AC98" i="4"/>
  <c r="AR98" i="4" s="1"/>
  <c r="AC71" i="4"/>
  <c r="AR71" i="4" s="1"/>
  <c r="AC77" i="4"/>
  <c r="AO77" i="4" s="1"/>
  <c r="AQ77" i="4" s="1"/>
  <c r="AU77" i="4" s="1"/>
  <c r="AC84" i="4"/>
  <c r="AO84" i="4" s="1"/>
  <c r="AQ84" i="4" s="1"/>
  <c r="AU84" i="4" s="1"/>
  <c r="AR160" i="4"/>
  <c r="AC124" i="4"/>
  <c r="AR124" i="4" s="1"/>
  <c r="AC87" i="4"/>
  <c r="AR87" i="4" s="1"/>
  <c r="AC182" i="4"/>
  <c r="AR182" i="4" s="1"/>
  <c r="AC137" i="4"/>
  <c r="AO137" i="4" s="1"/>
  <c r="AQ137" i="4" s="1"/>
  <c r="AU137" i="4" s="1"/>
  <c r="AC97" i="4"/>
  <c r="AR97" i="4" s="1"/>
  <c r="AC85" i="4"/>
  <c r="AO85" i="4" s="1"/>
  <c r="AQ85" i="4" s="1"/>
  <c r="AU85" i="4" s="1"/>
  <c r="AC47" i="4"/>
  <c r="AO47" i="4" s="1"/>
  <c r="AQ47" i="4" s="1"/>
  <c r="AU47" i="4" s="1"/>
  <c r="AC59" i="4"/>
  <c r="AO59" i="4" s="1"/>
  <c r="AQ59" i="4" s="1"/>
  <c r="AU59" i="4" s="1"/>
  <c r="AC11" i="4"/>
  <c r="AO11" i="4" s="1"/>
  <c r="AQ11" i="4" s="1"/>
  <c r="AU11" i="4" s="1"/>
  <c r="AC17" i="4"/>
  <c r="AR17" i="4" s="1"/>
  <c r="AC128" i="4"/>
  <c r="AR128" i="4" s="1"/>
  <c r="AC12" i="4"/>
  <c r="AC21" i="4"/>
  <c r="AC13" i="4"/>
  <c r="AC18" i="4"/>
  <c r="B64" i="2"/>
  <c r="R6" i="8"/>
  <c r="S6" i="8" s="1"/>
  <c r="B56" i="2" s="1"/>
  <c r="R5" i="8"/>
  <c r="S5" i="8" s="1"/>
  <c r="AC23" i="4"/>
  <c r="B265" i="2"/>
  <c r="C265" i="2"/>
  <c r="B60" i="2"/>
  <c r="A265" i="2" s="1"/>
  <c r="AO201" i="4"/>
  <c r="AQ201" i="4" s="1"/>
  <c r="AU201" i="4" s="1"/>
  <c r="AC62" i="4"/>
  <c r="AC102" i="4"/>
  <c r="AO89" i="4"/>
  <c r="AQ89" i="4" s="1"/>
  <c r="AU89" i="4" s="1"/>
  <c r="AC43" i="4"/>
  <c r="AC29" i="4"/>
  <c r="AC16" i="4"/>
  <c r="AC92" i="4"/>
  <c r="AC15" i="4"/>
  <c r="AC14" i="4"/>
  <c r="M46" i="4"/>
  <c r="AA46" i="4" s="1"/>
  <c r="AF46" i="4"/>
  <c r="AG46" i="4" s="1"/>
  <c r="AS46" i="4" s="1"/>
  <c r="AB46" i="4"/>
  <c r="Z46" i="4"/>
  <c r="AB45" i="4"/>
  <c r="AF45" i="4"/>
  <c r="AG45" i="4" s="1"/>
  <c r="AS45" i="4" s="1"/>
  <c r="Z45" i="4"/>
  <c r="M45" i="4"/>
  <c r="AA45" i="4" s="1"/>
  <c r="Z40" i="4"/>
  <c r="M40" i="4"/>
  <c r="AA40" i="4" s="1"/>
  <c r="AB40" i="4"/>
  <c r="AF40" i="4"/>
  <c r="AG40" i="4" s="1"/>
  <c r="AS40" i="4" s="1"/>
  <c r="M113" i="4"/>
  <c r="AA113" i="4" s="1"/>
  <c r="AB113" i="4"/>
  <c r="AF113" i="4"/>
  <c r="AG113" i="4" s="1"/>
  <c r="AS113" i="4" s="1"/>
  <c r="Z113" i="4"/>
  <c r="AF53" i="4"/>
  <c r="AG53" i="4" s="1"/>
  <c r="AS53" i="4" s="1"/>
  <c r="Z53" i="4"/>
  <c r="AB53" i="4"/>
  <c r="M53" i="4"/>
  <c r="AA53" i="4" s="1"/>
  <c r="AB109" i="4"/>
  <c r="M109" i="4"/>
  <c r="AA109" i="4" s="1"/>
  <c r="AF109" i="4"/>
  <c r="AG109" i="4" s="1"/>
  <c r="AS109" i="4" s="1"/>
  <c r="Z109" i="4"/>
  <c r="M49" i="4"/>
  <c r="AA49" i="4" s="1"/>
  <c r="AB49" i="4"/>
  <c r="AF49" i="4"/>
  <c r="AG49" i="4" s="1"/>
  <c r="AS49" i="4" s="1"/>
  <c r="Z49" i="4"/>
  <c r="AF111" i="4"/>
  <c r="AG111" i="4" s="1"/>
  <c r="AS111" i="4" s="1"/>
  <c r="M111" i="4"/>
  <c r="AA111" i="4" s="1"/>
  <c r="AB111" i="4"/>
  <c r="Z115" i="4"/>
  <c r="AF115" i="4"/>
  <c r="AG115" i="4" s="1"/>
  <c r="AS115" i="4" s="1"/>
  <c r="AB115" i="4"/>
  <c r="M115" i="4"/>
  <c r="AA115" i="4" s="1"/>
  <c r="AR42" i="4"/>
  <c r="AO42" i="4"/>
  <c r="AQ42" i="4" s="1"/>
  <c r="AU42" i="4" s="1"/>
  <c r="M41" i="4"/>
  <c r="AA41" i="4" s="1"/>
  <c r="AF41" i="4"/>
  <c r="AG41" i="4" s="1"/>
  <c r="AS41" i="4" s="1"/>
  <c r="Z41" i="4"/>
  <c r="AB41" i="4"/>
  <c r="M106" i="4"/>
  <c r="AA106" i="4" s="1"/>
  <c r="AF106" i="4"/>
  <c r="AG106" i="4" s="1"/>
  <c r="AS106" i="4" s="1"/>
  <c r="Z106" i="4"/>
  <c r="AB106" i="4"/>
  <c r="M24" i="4"/>
  <c r="AA24" i="4" s="1"/>
  <c r="AB24" i="4"/>
  <c r="AF24" i="4"/>
  <c r="AG24" i="4" s="1"/>
  <c r="AS24" i="4" s="1"/>
  <c r="Z24" i="4"/>
  <c r="AB9" i="4"/>
  <c r="Z9" i="4"/>
  <c r="M9" i="4"/>
  <c r="AA9" i="4" s="1"/>
  <c r="AF9" i="4"/>
  <c r="AG9" i="4" s="1"/>
  <c r="AS9" i="4" s="1"/>
  <c r="AR70" i="4"/>
  <c r="AO70" i="4"/>
  <c r="AQ70" i="4" s="1"/>
  <c r="AU70" i="4" s="1"/>
  <c r="AC202" i="4"/>
  <c r="AO202" i="4" s="1"/>
  <c r="AQ202" i="4" s="1"/>
  <c r="AU202" i="4" s="1"/>
  <c r="AR151" i="4"/>
  <c r="AO151" i="4"/>
  <c r="AQ151" i="4" s="1"/>
  <c r="AU151" i="4" s="1"/>
  <c r="AC52" i="4"/>
  <c r="AO52" i="4" s="1"/>
  <c r="AQ52" i="4" s="1"/>
  <c r="AU52" i="4" s="1"/>
  <c r="AC54" i="4"/>
  <c r="AR32" i="4"/>
  <c r="AO32" i="4"/>
  <c r="AQ32" i="4" s="1"/>
  <c r="AU32" i="4" s="1"/>
  <c r="AR138" i="4"/>
  <c r="AO138" i="4"/>
  <c r="AQ138" i="4" s="1"/>
  <c r="AU138" i="4" s="1"/>
  <c r="AC27" i="4"/>
  <c r="AC203" i="4"/>
  <c r="AC36" i="4"/>
  <c r="AC190" i="4"/>
  <c r="AR119" i="4"/>
  <c r="AO119" i="4"/>
  <c r="AQ119" i="4" s="1"/>
  <c r="AU119" i="4" s="1"/>
  <c r="AC90" i="4"/>
  <c r="AC86" i="4"/>
  <c r="AO184" i="4"/>
  <c r="AQ184" i="4" s="1"/>
  <c r="AU184" i="4" s="1"/>
  <c r="AC99" i="4"/>
  <c r="AR95" i="4"/>
  <c r="AO95" i="4"/>
  <c r="AQ95" i="4" s="1"/>
  <c r="AU95" i="4" s="1"/>
  <c r="AC200" i="4"/>
  <c r="AR196" i="4"/>
  <c r="AO196" i="4"/>
  <c r="AQ196" i="4" s="1"/>
  <c r="AU196" i="4" s="1"/>
  <c r="B142" i="2"/>
  <c r="C53" i="16"/>
  <c r="D53" i="16" s="1"/>
  <c r="AR123" i="4"/>
  <c r="AO123" i="4"/>
  <c r="AQ123" i="4" s="1"/>
  <c r="AU123" i="4" s="1"/>
  <c r="AR183" i="4"/>
  <c r="AO183" i="4"/>
  <c r="AQ183" i="4" s="1"/>
  <c r="AU183" i="4" s="1"/>
  <c r="AR139" i="4"/>
  <c r="AO139" i="4"/>
  <c r="AQ139" i="4" s="1"/>
  <c r="AU139" i="4" s="1"/>
  <c r="AR110" i="4"/>
  <c r="AO110" i="4"/>
  <c r="AQ110" i="4" s="1"/>
  <c r="AU110" i="4" s="1"/>
  <c r="AR129" i="4"/>
  <c r="AO129" i="4"/>
  <c r="AQ129" i="4" s="1"/>
  <c r="AU129" i="4" s="1"/>
  <c r="AR63" i="4"/>
  <c r="AO63" i="4"/>
  <c r="AQ63" i="4" s="1"/>
  <c r="AU63" i="4" s="1"/>
  <c r="AR193" i="4"/>
  <c r="AO193" i="4"/>
  <c r="AQ193" i="4" s="1"/>
  <c r="AU193" i="4" s="1"/>
  <c r="AR67" i="4"/>
  <c r="AO67" i="4"/>
  <c r="AQ67" i="4" s="1"/>
  <c r="AU67" i="4" s="1"/>
  <c r="AR25" i="4"/>
  <c r="AO25" i="4"/>
  <c r="AQ25" i="4" s="1"/>
  <c r="AU25" i="4" s="1"/>
  <c r="AC187" i="4" l="1"/>
  <c r="AR187" i="4" s="1"/>
  <c r="BN39" i="3"/>
  <c r="AO121" i="4"/>
  <c r="AQ121" i="4" s="1"/>
  <c r="AU121" i="4" s="1"/>
  <c r="AC39" i="4"/>
  <c r="AR39" i="4" s="1"/>
  <c r="AR191" i="4"/>
  <c r="AO147" i="4"/>
  <c r="AQ147" i="4" s="1"/>
  <c r="AU147" i="4" s="1"/>
  <c r="AO33" i="4"/>
  <c r="AQ33" i="4" s="1"/>
  <c r="AU33" i="4" s="1"/>
  <c r="AO56" i="4"/>
  <c r="AQ56" i="4" s="1"/>
  <c r="AU56" i="4" s="1"/>
  <c r="AC131" i="4"/>
  <c r="AR131" i="4" s="1"/>
  <c r="AO38" i="4"/>
  <c r="AQ38" i="4" s="1"/>
  <c r="AU38" i="4" s="1"/>
  <c r="AO176" i="4"/>
  <c r="AQ176" i="4" s="1"/>
  <c r="AU176" i="4" s="1"/>
  <c r="AO169" i="4"/>
  <c r="AQ169" i="4" s="1"/>
  <c r="AU169" i="4" s="1"/>
  <c r="AO116" i="4"/>
  <c r="AQ116" i="4" s="1"/>
  <c r="AU116" i="4" s="1"/>
  <c r="AO171" i="4"/>
  <c r="AQ171" i="4" s="1"/>
  <c r="AU171" i="4" s="1"/>
  <c r="AO126" i="4"/>
  <c r="AQ126" i="4" s="1"/>
  <c r="AU126" i="4" s="1"/>
  <c r="AR150" i="4"/>
  <c r="AO19" i="4"/>
  <c r="AQ19" i="4" s="1"/>
  <c r="AU19" i="4" s="1"/>
  <c r="AR88" i="4"/>
  <c r="AC207" i="4"/>
  <c r="AR207" i="4" s="1"/>
  <c r="AC180" i="4"/>
  <c r="AO180" i="4" s="1"/>
  <c r="AQ180" i="4" s="1"/>
  <c r="AU180" i="4" s="1"/>
  <c r="AR142" i="4"/>
  <c r="AO167" i="4"/>
  <c r="AQ167" i="4" s="1"/>
  <c r="AU167" i="4" s="1"/>
  <c r="AR175" i="4"/>
  <c r="AO96" i="4"/>
  <c r="AQ96" i="4" s="1"/>
  <c r="AU96" i="4" s="1"/>
  <c r="AC117" i="4"/>
  <c r="AO117" i="4" s="1"/>
  <c r="AQ117" i="4" s="1"/>
  <c r="AU117" i="4" s="1"/>
  <c r="AC162" i="4"/>
  <c r="AO162" i="4" s="1"/>
  <c r="AQ162" i="4" s="1"/>
  <c r="AU162" i="4" s="1"/>
  <c r="AC69" i="4"/>
  <c r="AR69" i="4" s="1"/>
  <c r="AO154" i="4"/>
  <c r="AQ154" i="4" s="1"/>
  <c r="AU154" i="4" s="1"/>
  <c r="AO204" i="4"/>
  <c r="AQ204" i="4" s="1"/>
  <c r="AU204" i="4" s="1"/>
  <c r="AR146" i="4"/>
  <c r="AO155" i="4"/>
  <c r="AQ155" i="4" s="1"/>
  <c r="AU155" i="4" s="1"/>
  <c r="AC161" i="4"/>
  <c r="AO161" i="4" s="1"/>
  <c r="AQ161" i="4" s="1"/>
  <c r="AU161" i="4" s="1"/>
  <c r="AR179" i="4"/>
  <c r="AO192" i="4"/>
  <c r="AQ192" i="4" s="1"/>
  <c r="AU192" i="4" s="1"/>
  <c r="AO186" i="4"/>
  <c r="AQ186" i="4" s="1"/>
  <c r="AU186" i="4" s="1"/>
  <c r="AC108" i="4"/>
  <c r="AR108" i="4" s="1"/>
  <c r="AC31" i="4"/>
  <c r="AR31" i="4" s="1"/>
  <c r="AC172" i="4"/>
  <c r="AO172" i="4" s="1"/>
  <c r="AQ172" i="4" s="1"/>
  <c r="AU172" i="4" s="1"/>
  <c r="AC105" i="4"/>
  <c r="AR105" i="4" s="1"/>
  <c r="AO206" i="4"/>
  <c r="AQ206" i="4" s="1"/>
  <c r="AU206" i="4" s="1"/>
  <c r="AR79" i="4"/>
  <c r="AO35" i="4"/>
  <c r="AQ35" i="4" s="1"/>
  <c r="AU35" i="4" s="1"/>
  <c r="AR189" i="4"/>
  <c r="AR28" i="4"/>
  <c r="AO101" i="4"/>
  <c r="AQ101" i="4" s="1"/>
  <c r="AU101" i="4" s="1"/>
  <c r="AR114" i="4"/>
  <c r="AR188" i="4"/>
  <c r="AO107" i="4"/>
  <c r="AQ107" i="4" s="1"/>
  <c r="AU107" i="4" s="1"/>
  <c r="AO149" i="4"/>
  <c r="AQ149" i="4" s="1"/>
  <c r="AU149" i="4" s="1"/>
  <c r="AO136" i="4"/>
  <c r="AQ136" i="4" s="1"/>
  <c r="AU136" i="4" s="1"/>
  <c r="AC195" i="4"/>
  <c r="AR195" i="4" s="1"/>
  <c r="AO153" i="4"/>
  <c r="AQ153" i="4" s="1"/>
  <c r="AU153" i="4" s="1"/>
  <c r="AR185" i="4"/>
  <c r="AO145" i="4"/>
  <c r="AQ145" i="4" s="1"/>
  <c r="AU145" i="4" s="1"/>
  <c r="AO72" i="4"/>
  <c r="AQ72" i="4" s="1"/>
  <c r="AU72" i="4" s="1"/>
  <c r="AO141" i="4"/>
  <c r="AQ141" i="4" s="1"/>
  <c r="AU141" i="4" s="1"/>
  <c r="AO168" i="4"/>
  <c r="AQ168" i="4" s="1"/>
  <c r="AU168" i="4" s="1"/>
  <c r="AO44" i="4"/>
  <c r="AQ44" i="4" s="1"/>
  <c r="AU44" i="4" s="1"/>
  <c r="AO64" i="4"/>
  <c r="AQ64" i="4" s="1"/>
  <c r="AU64" i="4" s="1"/>
  <c r="AO37" i="4"/>
  <c r="AQ37" i="4" s="1"/>
  <c r="AU37" i="4" s="1"/>
  <c r="AO30" i="4"/>
  <c r="AQ30" i="4" s="1"/>
  <c r="AU30" i="4" s="1"/>
  <c r="AO112" i="4"/>
  <c r="AQ112" i="4" s="1"/>
  <c r="AU112" i="4" s="1"/>
  <c r="AO91" i="4"/>
  <c r="AQ91" i="4" s="1"/>
  <c r="AU91" i="4" s="1"/>
  <c r="AO118" i="4"/>
  <c r="AQ118" i="4" s="1"/>
  <c r="AU118" i="4" s="1"/>
  <c r="AO156" i="4"/>
  <c r="AQ156" i="4" s="1"/>
  <c r="AU156" i="4" s="1"/>
  <c r="AO174" i="4"/>
  <c r="AQ174" i="4" s="1"/>
  <c r="AU174" i="4" s="1"/>
  <c r="AO68" i="4"/>
  <c r="AQ68" i="4" s="1"/>
  <c r="AU68" i="4" s="1"/>
  <c r="AO100" i="4"/>
  <c r="AQ100" i="4" s="1"/>
  <c r="AU100" i="4" s="1"/>
  <c r="AC198" i="4"/>
  <c r="AO104" i="4"/>
  <c r="AQ104" i="4" s="1"/>
  <c r="AU104" i="4" s="1"/>
  <c r="AO120" i="4"/>
  <c r="AQ120" i="4" s="1"/>
  <c r="AU120" i="4" s="1"/>
  <c r="AR20" i="4"/>
  <c r="AO170" i="4"/>
  <c r="AQ170" i="4" s="1"/>
  <c r="AU170" i="4" s="1"/>
  <c r="AO140" i="4"/>
  <c r="AQ140" i="4" s="1"/>
  <c r="AU140" i="4" s="1"/>
  <c r="AO50" i="4"/>
  <c r="AQ50" i="4" s="1"/>
  <c r="AU50" i="4" s="1"/>
  <c r="AC143" i="4"/>
  <c r="AO143" i="4" s="1"/>
  <c r="AQ143" i="4" s="1"/>
  <c r="AU143" i="4" s="1"/>
  <c r="AR73" i="4"/>
  <c r="AO208" i="4"/>
  <c r="AQ208" i="4" s="1"/>
  <c r="AU208" i="4" s="1"/>
  <c r="AO26" i="4"/>
  <c r="AQ26" i="4" s="1"/>
  <c r="AU26" i="4" s="1"/>
  <c r="AC181" i="4"/>
  <c r="AC158" i="4"/>
  <c r="AC48" i="4"/>
  <c r="AR48" i="4" s="1"/>
  <c r="AO159" i="4"/>
  <c r="AQ159" i="4" s="1"/>
  <c r="AU159" i="4" s="1"/>
  <c r="AO209" i="4"/>
  <c r="AQ209" i="4" s="1"/>
  <c r="AU209" i="4" s="1"/>
  <c r="B308" i="2" s="1"/>
  <c r="AO177" i="4"/>
  <c r="AQ177" i="4" s="1"/>
  <c r="AU177" i="4" s="1"/>
  <c r="AO55" i="4"/>
  <c r="AQ55" i="4" s="1"/>
  <c r="AU55" i="4" s="1"/>
  <c r="AO165" i="4"/>
  <c r="AQ165" i="4" s="1"/>
  <c r="AU165" i="4" s="1"/>
  <c r="AO144" i="4"/>
  <c r="AQ144" i="4" s="1"/>
  <c r="AU144" i="4" s="1"/>
  <c r="AC81" i="4"/>
  <c r="AO163" i="4"/>
  <c r="AQ163" i="4" s="1"/>
  <c r="AU163" i="4" s="1"/>
  <c r="B74" i="1"/>
  <c r="R8" i="8"/>
  <c r="S8" i="8" s="1"/>
  <c r="B133" i="2"/>
  <c r="B134" i="2" s="1"/>
  <c r="B76" i="1" s="1"/>
  <c r="AC125" i="4"/>
  <c r="AO65" i="4"/>
  <c r="AQ65" i="4" s="1"/>
  <c r="AU65" i="4" s="1"/>
  <c r="AO178" i="4"/>
  <c r="AQ178" i="4" s="1"/>
  <c r="AU178" i="4" s="1"/>
  <c r="AO122" i="4"/>
  <c r="AQ122" i="4" s="1"/>
  <c r="AU122" i="4" s="1"/>
  <c r="AO194" i="4"/>
  <c r="AQ194" i="4" s="1"/>
  <c r="AU194" i="4" s="1"/>
  <c r="AR51" i="4"/>
  <c r="AR197" i="4"/>
  <c r="AO94" i="4"/>
  <c r="AQ94" i="4" s="1"/>
  <c r="AU94" i="4" s="1"/>
  <c r="AR76" i="4"/>
  <c r="AR82" i="4"/>
  <c r="AO57" i="4"/>
  <c r="AQ57" i="4" s="1"/>
  <c r="AU57" i="4" s="1"/>
  <c r="AO148" i="4"/>
  <c r="AQ148" i="4" s="1"/>
  <c r="AU148" i="4" s="1"/>
  <c r="AC103" i="4"/>
  <c r="AC34" i="4"/>
  <c r="AR34" i="4" s="1"/>
  <c r="AC166" i="4"/>
  <c r="AO80" i="4"/>
  <c r="AQ80" i="4" s="1"/>
  <c r="AU80" i="4" s="1"/>
  <c r="AO78" i="4"/>
  <c r="AQ78" i="4" s="1"/>
  <c r="AU78" i="4" s="1"/>
  <c r="AC58" i="4"/>
  <c r="AR134" i="4"/>
  <c r="AR40" i="3"/>
  <c r="B40" i="3"/>
  <c r="AQ40" i="3"/>
  <c r="A41" i="3"/>
  <c r="D40" i="3"/>
  <c r="C40" i="3"/>
  <c r="F40" i="3"/>
  <c r="G40" i="3"/>
  <c r="H40" i="3" s="1"/>
  <c r="BN40" i="3" s="1"/>
  <c r="A98" i="8"/>
  <c r="AR85" i="4"/>
  <c r="A107" i="8"/>
  <c r="A139" i="8"/>
  <c r="A108" i="8"/>
  <c r="A101" i="8"/>
  <c r="A99" i="8"/>
  <c r="A124" i="8"/>
  <c r="A117" i="8"/>
  <c r="A118" i="8"/>
  <c r="A126" i="8"/>
  <c r="AR202" i="4"/>
  <c r="AR152" i="4"/>
  <c r="BM39" i="3"/>
  <c r="A109" i="8"/>
  <c r="AO133" i="4"/>
  <c r="AQ133" i="4" s="1"/>
  <c r="AU133" i="4" s="1"/>
  <c r="AR66" i="4"/>
  <c r="A140" i="8"/>
  <c r="AC132" i="4"/>
  <c r="AO164" i="4"/>
  <c r="AQ164" i="4" s="1"/>
  <c r="AU164" i="4" s="1"/>
  <c r="AR173" i="4"/>
  <c r="AR135" i="4"/>
  <c r="AC127" i="4"/>
  <c r="AO22" i="4"/>
  <c r="AQ22" i="4" s="1"/>
  <c r="AU22" i="4" s="1"/>
  <c r="AO157" i="4"/>
  <c r="AQ157" i="4" s="1"/>
  <c r="AU157" i="4" s="1"/>
  <c r="AR93" i="4"/>
  <c r="AO10" i="4"/>
  <c r="AQ10" i="4" s="1"/>
  <c r="AU10" i="4" s="1"/>
  <c r="AO71" i="4"/>
  <c r="AQ71" i="4" s="1"/>
  <c r="AU71" i="4" s="1"/>
  <c r="AC61" i="4"/>
  <c r="AR77" i="4"/>
  <c r="AR47" i="4"/>
  <c r="AO205" i="4"/>
  <c r="AQ205" i="4" s="1"/>
  <c r="AU205" i="4" s="1"/>
  <c r="AR60" i="4"/>
  <c r="AO60" i="4"/>
  <c r="AQ60" i="4" s="1"/>
  <c r="AU60" i="4" s="1"/>
  <c r="AO98" i="4"/>
  <c r="AQ98" i="4" s="1"/>
  <c r="AU98" i="4" s="1"/>
  <c r="AO182" i="4"/>
  <c r="AQ182" i="4" s="1"/>
  <c r="AU182" i="4" s="1"/>
  <c r="AO17" i="4"/>
  <c r="AQ17" i="4" s="1"/>
  <c r="AU17" i="4" s="1"/>
  <c r="AR11" i="4"/>
  <c r="AR83" i="4"/>
  <c r="AR59" i="4"/>
  <c r="AR84" i="4"/>
  <c r="AO74" i="4"/>
  <c r="AQ74" i="4" s="1"/>
  <c r="AU74" i="4" s="1"/>
  <c r="AO124" i="4"/>
  <c r="AQ124" i="4" s="1"/>
  <c r="AU124" i="4" s="1"/>
  <c r="AO97" i="4"/>
  <c r="AQ97" i="4" s="1"/>
  <c r="AU97" i="4" s="1"/>
  <c r="AR137" i="4"/>
  <c r="AO87" i="4"/>
  <c r="AQ87" i="4" s="1"/>
  <c r="AU87" i="4" s="1"/>
  <c r="AO128" i="4"/>
  <c r="AQ128" i="4" s="1"/>
  <c r="AU128" i="4" s="1"/>
  <c r="AC111" i="4"/>
  <c r="AR111" i="4" s="1"/>
  <c r="AR102" i="4"/>
  <c r="AO102" i="4"/>
  <c r="AQ102" i="4" s="1"/>
  <c r="AU102" i="4" s="1"/>
  <c r="AR18" i="4"/>
  <c r="AO18" i="4"/>
  <c r="AQ18" i="4" s="1"/>
  <c r="AU18" i="4" s="1"/>
  <c r="AR62" i="4"/>
  <c r="AO62" i="4"/>
  <c r="AQ62" i="4" s="1"/>
  <c r="AU62" i="4" s="1"/>
  <c r="AR13" i="4"/>
  <c r="AO13" i="4"/>
  <c r="AQ13" i="4" s="1"/>
  <c r="AU13" i="4" s="1"/>
  <c r="AR21" i="4"/>
  <c r="AO21" i="4"/>
  <c r="AQ21" i="4" s="1"/>
  <c r="AU21" i="4" s="1"/>
  <c r="AR15" i="4"/>
  <c r="AO15" i="4"/>
  <c r="AQ15" i="4" s="1"/>
  <c r="AU15" i="4" s="1"/>
  <c r="AR12" i="4"/>
  <c r="AO12" i="4"/>
  <c r="AQ12" i="4" s="1"/>
  <c r="AU12" i="4" s="1"/>
  <c r="AC106" i="4"/>
  <c r="AO92" i="4"/>
  <c r="AQ92" i="4" s="1"/>
  <c r="AU92" i="4" s="1"/>
  <c r="AR92" i="4"/>
  <c r="AR23" i="4"/>
  <c r="AO23" i="4"/>
  <c r="AQ23" i="4" s="1"/>
  <c r="AU23" i="4" s="1"/>
  <c r="AR16" i="4"/>
  <c r="AO16" i="4"/>
  <c r="AQ16" i="4" s="1"/>
  <c r="AU16" i="4" s="1"/>
  <c r="AR29" i="4"/>
  <c r="AO29" i="4"/>
  <c r="AQ29" i="4" s="1"/>
  <c r="AU29" i="4" s="1"/>
  <c r="A264" i="2"/>
  <c r="B264" i="2"/>
  <c r="B268" i="2" s="1"/>
  <c r="C264" i="2"/>
  <c r="C268" i="2" s="1"/>
  <c r="E26" i="1"/>
  <c r="C54" i="16" s="1"/>
  <c r="D54" i="16" s="1"/>
  <c r="AC109" i="4"/>
  <c r="R23" i="8"/>
  <c r="R13" i="8"/>
  <c r="H3" i="8"/>
  <c r="AO43" i="4"/>
  <c r="AQ43" i="4" s="1"/>
  <c r="AU43" i="4" s="1"/>
  <c r="AR43" i="4"/>
  <c r="AR75" i="4"/>
  <c r="AO75" i="4"/>
  <c r="AQ75" i="4" s="1"/>
  <c r="AU75" i="4" s="1"/>
  <c r="AR14" i="4"/>
  <c r="AO14" i="4"/>
  <c r="AQ14" i="4" s="1"/>
  <c r="AU14" i="4" s="1"/>
  <c r="AC53" i="4"/>
  <c r="AC45" i="4"/>
  <c r="AC113" i="4"/>
  <c r="AC24" i="4"/>
  <c r="AC49" i="4"/>
  <c r="AC46" i="4"/>
  <c r="AC9" i="4"/>
  <c r="AC41" i="4"/>
  <c r="AC115" i="4"/>
  <c r="AC40" i="4"/>
  <c r="AR52" i="4"/>
  <c r="AR36" i="4"/>
  <c r="AO36" i="4"/>
  <c r="AQ36" i="4" s="1"/>
  <c r="AU36" i="4" s="1"/>
  <c r="AR203" i="4"/>
  <c r="AO203" i="4"/>
  <c r="AQ203" i="4" s="1"/>
  <c r="AU203" i="4" s="1"/>
  <c r="AR27" i="4"/>
  <c r="AO27" i="4"/>
  <c r="AQ27" i="4" s="1"/>
  <c r="AU27" i="4" s="1"/>
  <c r="AR99" i="4"/>
  <c r="AO99" i="4"/>
  <c r="AQ99" i="4" s="1"/>
  <c r="AU99" i="4" s="1"/>
  <c r="AR86" i="4"/>
  <c r="AO86" i="4"/>
  <c r="AQ86" i="4" s="1"/>
  <c r="AU86" i="4" s="1"/>
  <c r="AR200" i="4"/>
  <c r="AO200" i="4"/>
  <c r="AQ200" i="4" s="1"/>
  <c r="AU200" i="4" s="1"/>
  <c r="AR90" i="4"/>
  <c r="AO90" i="4"/>
  <c r="AQ90" i="4" s="1"/>
  <c r="AU90" i="4" s="1"/>
  <c r="AO54" i="4"/>
  <c r="AQ54" i="4" s="1"/>
  <c r="AU54" i="4" s="1"/>
  <c r="AR54" i="4"/>
  <c r="AR190" i="4"/>
  <c r="AO190" i="4"/>
  <c r="AQ190" i="4" s="1"/>
  <c r="AU190" i="4" s="1"/>
  <c r="B256" i="2"/>
  <c r="A256" i="2"/>
  <c r="AO131" i="4" l="1"/>
  <c r="AQ131" i="4" s="1"/>
  <c r="AU131" i="4" s="1"/>
  <c r="AO39" i="4"/>
  <c r="AQ39" i="4" s="1"/>
  <c r="AU39" i="4" s="1"/>
  <c r="AO187" i="4"/>
  <c r="AQ187" i="4" s="1"/>
  <c r="AU187" i="4" s="1"/>
  <c r="AO207" i="4"/>
  <c r="AQ207" i="4" s="1"/>
  <c r="AU207" i="4" s="1"/>
  <c r="AR162" i="4"/>
  <c r="AR180" i="4"/>
  <c r="AO105" i="4"/>
  <c r="AQ105" i="4" s="1"/>
  <c r="AU105" i="4" s="1"/>
  <c r="AO69" i="4"/>
  <c r="AQ69" i="4" s="1"/>
  <c r="AU69" i="4" s="1"/>
  <c r="AR117" i="4"/>
  <c r="AR161" i="4"/>
  <c r="AO34" i="4"/>
  <c r="AQ34" i="4" s="1"/>
  <c r="AU34" i="4" s="1"/>
  <c r="AR172" i="4"/>
  <c r="AO108" i="4"/>
  <c r="AQ108" i="4" s="1"/>
  <c r="AU108" i="4" s="1"/>
  <c r="AO48" i="4"/>
  <c r="AQ48" i="4" s="1"/>
  <c r="AU48" i="4" s="1"/>
  <c r="AO31" i="4"/>
  <c r="AQ31" i="4" s="1"/>
  <c r="AU31" i="4" s="1"/>
  <c r="AO195" i="4"/>
  <c r="AQ195" i="4" s="1"/>
  <c r="AU195" i="4" s="1"/>
  <c r="AR198" i="4"/>
  <c r="AO198" i="4"/>
  <c r="AQ198" i="4" s="1"/>
  <c r="AU198" i="4" s="1"/>
  <c r="AR143" i="4"/>
  <c r="AR81" i="4"/>
  <c r="AO81" i="4"/>
  <c r="AQ81" i="4" s="1"/>
  <c r="AU81" i="4" s="1"/>
  <c r="AR158" i="4"/>
  <c r="AO158" i="4"/>
  <c r="AQ158" i="4" s="1"/>
  <c r="AU158" i="4" s="1"/>
  <c r="AR181" i="4"/>
  <c r="AO181" i="4"/>
  <c r="AQ181" i="4" s="1"/>
  <c r="AU181" i="4" s="1"/>
  <c r="B75" i="1"/>
  <c r="C3" i="8"/>
  <c r="D3" i="8"/>
  <c r="AO125" i="4"/>
  <c r="AQ125" i="4" s="1"/>
  <c r="AU125" i="4" s="1"/>
  <c r="AR125" i="4"/>
  <c r="R27" i="8"/>
  <c r="S27" i="8"/>
  <c r="C74" i="1" s="1"/>
  <c r="AR58" i="4"/>
  <c r="AO58" i="4"/>
  <c r="AQ58" i="4" s="1"/>
  <c r="AU58" i="4" s="1"/>
  <c r="AR166" i="4"/>
  <c r="AO166" i="4"/>
  <c r="AQ166" i="4" s="1"/>
  <c r="AU166" i="4" s="1"/>
  <c r="AR103" i="4"/>
  <c r="AO103" i="4"/>
  <c r="AQ103" i="4" s="1"/>
  <c r="AU103" i="4" s="1"/>
  <c r="A129" i="8"/>
  <c r="A151" i="8"/>
  <c r="BM40" i="3"/>
  <c r="A130" i="8"/>
  <c r="A110" i="8"/>
  <c r="A113" i="8"/>
  <c r="A138" i="8"/>
  <c r="A111" i="8"/>
  <c r="A42" i="3"/>
  <c r="AQ41" i="3"/>
  <c r="AR41" i="3"/>
  <c r="B41" i="3"/>
  <c r="C41" i="3"/>
  <c r="D41" i="3"/>
  <c r="G41" i="3"/>
  <c r="H41" i="3" s="1"/>
  <c r="BN41" i="3" s="1"/>
  <c r="F41" i="3"/>
  <c r="A120" i="8"/>
  <c r="A136" i="8"/>
  <c r="A119" i="8"/>
  <c r="A152" i="8"/>
  <c r="A121" i="8"/>
  <c r="AO127" i="4"/>
  <c r="AQ127" i="4" s="1"/>
  <c r="AU127" i="4" s="1"/>
  <c r="AR127" i="4"/>
  <c r="AR132" i="4"/>
  <c r="AO132" i="4"/>
  <c r="AQ132" i="4" s="1"/>
  <c r="AU132" i="4" s="1"/>
  <c r="AR61" i="4"/>
  <c r="AO61" i="4"/>
  <c r="AQ61" i="4" s="1"/>
  <c r="AU61" i="4" s="1"/>
  <c r="AO111" i="4"/>
  <c r="AQ111" i="4" s="1"/>
  <c r="AU111" i="4" s="1"/>
  <c r="AR106" i="4"/>
  <c r="AO106" i="4"/>
  <c r="AQ106" i="4" s="1"/>
  <c r="AU106" i="4" s="1"/>
  <c r="AR109" i="4"/>
  <c r="AO109" i="4"/>
  <c r="AQ109" i="4" s="1"/>
  <c r="AU109" i="4" s="1"/>
  <c r="B309" i="2" s="1"/>
  <c r="AR9" i="4"/>
  <c r="AO9" i="4"/>
  <c r="AQ9" i="4" s="1"/>
  <c r="AU9" i="4" s="1"/>
  <c r="AR113" i="4"/>
  <c r="AO113" i="4"/>
  <c r="AQ113" i="4" s="1"/>
  <c r="AU113" i="4" s="1"/>
  <c r="AO115" i="4"/>
  <c r="AQ115" i="4" s="1"/>
  <c r="AU115" i="4" s="1"/>
  <c r="AR115" i="4"/>
  <c r="AO45" i="4"/>
  <c r="AQ45" i="4" s="1"/>
  <c r="AU45" i="4" s="1"/>
  <c r="AR45" i="4"/>
  <c r="AR40" i="4"/>
  <c r="AO40" i="4"/>
  <c r="AQ40" i="4" s="1"/>
  <c r="AU40" i="4" s="1"/>
  <c r="AO41" i="4"/>
  <c r="AQ41" i="4" s="1"/>
  <c r="AU41" i="4" s="1"/>
  <c r="AR41" i="4"/>
  <c r="AR46" i="4"/>
  <c r="AO46" i="4"/>
  <c r="AQ46" i="4" s="1"/>
  <c r="AU46" i="4" s="1"/>
  <c r="AR49" i="4"/>
  <c r="AO49" i="4"/>
  <c r="AQ49" i="4" s="1"/>
  <c r="AU49" i="4" s="1"/>
  <c r="AR24" i="4"/>
  <c r="AO24" i="4"/>
  <c r="AQ24" i="4" s="1"/>
  <c r="AU24" i="4" s="1"/>
  <c r="AO53" i="4"/>
  <c r="AQ53" i="4" s="1"/>
  <c r="AU53" i="4" s="1"/>
  <c r="AR53" i="4"/>
  <c r="BM41" i="3" l="1"/>
  <c r="B237" i="2"/>
  <c r="A237" i="2"/>
  <c r="C52" i="16"/>
  <c r="D52" i="16" s="1"/>
  <c r="B139" i="2"/>
  <c r="A125" i="8"/>
  <c r="A150" i="8"/>
  <c r="A122" i="8"/>
  <c r="A132" i="8"/>
  <c r="A131" i="8"/>
  <c r="A123" i="8"/>
  <c r="A141" i="8"/>
  <c r="A142" i="8"/>
  <c r="A133" i="8"/>
  <c r="A148" i="8"/>
  <c r="AR42" i="3"/>
  <c r="AQ42" i="3"/>
  <c r="B42" i="3"/>
  <c r="A43" i="3"/>
  <c r="D42" i="3"/>
  <c r="C42" i="3"/>
  <c r="F42" i="3"/>
  <c r="G42" i="3"/>
  <c r="H42" i="3" s="1"/>
  <c r="BN42" i="3" s="1"/>
  <c r="BM42" i="3" l="1"/>
  <c r="B253" i="2"/>
  <c r="A253" i="2"/>
  <c r="A145" i="8"/>
  <c r="A143" i="8"/>
  <c r="A154" i="8"/>
  <c r="A134" i="8"/>
  <c r="A144" i="8"/>
  <c r="A137" i="8"/>
  <c r="AQ43" i="3"/>
  <c r="AR43" i="3"/>
  <c r="A44" i="3"/>
  <c r="B43" i="3"/>
  <c r="C43" i="3"/>
  <c r="D43" i="3"/>
  <c r="F43" i="3"/>
  <c r="G43" i="3"/>
  <c r="H43" i="3" s="1"/>
  <c r="A135" i="8"/>
  <c r="A153" i="8"/>
  <c r="BM43" i="3" l="1"/>
  <c r="BN43" i="3"/>
  <c r="AR44" i="3"/>
  <c r="B44" i="3"/>
  <c r="AQ44" i="3"/>
  <c r="A45" i="3"/>
  <c r="C44" i="3"/>
  <c r="D44" i="3"/>
  <c r="G44" i="3"/>
  <c r="H44" i="3" s="1"/>
  <c r="F44" i="3"/>
  <c r="BM44" i="3" s="1"/>
  <c r="A157" i="8"/>
  <c r="A156" i="8"/>
  <c r="A155" i="8"/>
  <c r="A147" i="8"/>
  <c r="A146" i="8"/>
  <c r="A149" i="8"/>
  <c r="BN44" i="3" l="1"/>
  <c r="A159" i="8"/>
  <c r="A158" i="8"/>
  <c r="A46" i="3"/>
  <c r="AQ45" i="3"/>
  <c r="AR45" i="3"/>
  <c r="B45" i="3"/>
  <c r="C45" i="3"/>
  <c r="D45" i="3"/>
  <c r="G45" i="3"/>
  <c r="H45" i="3" s="1"/>
  <c r="BN45" i="3" s="1"/>
  <c r="F45" i="3"/>
  <c r="BM45" i="3" s="1"/>
  <c r="N159" i="8" l="1"/>
  <c r="L159" i="8"/>
  <c r="M159" i="8"/>
  <c r="M158" i="8" s="1"/>
  <c r="J159" i="8"/>
  <c r="J158" i="8" s="1"/>
  <c r="N158" i="8"/>
  <c r="L158" i="8"/>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F159" i="8"/>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159" i="8"/>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K159" i="8"/>
  <c r="K158" i="8" s="1"/>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E159" i="8"/>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C159" i="8"/>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D159" i="8"/>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AR46" i="3"/>
  <c r="B46" i="3"/>
  <c r="A47" i="3"/>
  <c r="AQ46" i="3"/>
  <c r="C46" i="3"/>
  <c r="D46" i="3"/>
  <c r="G46" i="3"/>
  <c r="H46" i="3" s="1"/>
  <c r="F46" i="3"/>
  <c r="BM46" i="3" s="1"/>
  <c r="J157" i="8"/>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M157" i="8"/>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N157" i="8"/>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L157" i="8"/>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K157" i="8"/>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S29" i="8" l="1"/>
  <c r="C76" i="1" s="1"/>
  <c r="R29" i="8"/>
  <c r="B266" i="2"/>
  <c r="C270" i="2"/>
  <c r="B270" i="2"/>
  <c r="C266" i="2"/>
  <c r="R12" i="8"/>
  <c r="S28" i="8"/>
  <c r="C75" i="1" s="1"/>
  <c r="R28" i="8"/>
  <c r="S31" i="8"/>
  <c r="C78" i="1" s="1"/>
  <c r="R31" i="8"/>
  <c r="B91" i="2"/>
  <c r="E50" i="1" s="1"/>
  <c r="C45" i="16" s="1"/>
  <c r="D45" i="16" s="1"/>
  <c r="B276" i="2"/>
  <c r="BN46" i="3"/>
  <c r="AQ47" i="3"/>
  <c r="AR47" i="3"/>
  <c r="A48" i="3"/>
  <c r="B47" i="3"/>
  <c r="D47" i="3"/>
  <c r="C47" i="3"/>
  <c r="G47" i="3"/>
  <c r="H47" i="3" s="1"/>
  <c r="BN47" i="3" s="1"/>
  <c r="F47" i="3"/>
  <c r="B143" i="2" l="1"/>
  <c r="C41" i="16"/>
  <c r="D41" i="16" s="1"/>
  <c r="C39" i="16"/>
  <c r="D39" i="16" s="1"/>
  <c r="B140" i="2"/>
  <c r="BM47" i="3"/>
  <c r="C42" i="16"/>
  <c r="D42" i="16"/>
  <c r="AR48" i="3"/>
  <c r="B48" i="3"/>
  <c r="AQ48" i="3"/>
  <c r="A49" i="3"/>
  <c r="D48" i="3"/>
  <c r="C48" i="3"/>
  <c r="G48" i="3"/>
  <c r="H48" i="3" s="1"/>
  <c r="F48" i="3"/>
  <c r="BM48" i="3" s="1"/>
  <c r="B141" i="2"/>
  <c r="C40" i="16"/>
  <c r="D40" i="16" s="1"/>
  <c r="BN48" i="3" l="1"/>
  <c r="AR49" i="3"/>
  <c r="AQ49" i="3"/>
  <c r="A50" i="3"/>
  <c r="B49" i="3"/>
  <c r="C49" i="3"/>
  <c r="D49" i="3"/>
  <c r="F49" i="3"/>
  <c r="BM49" i="3" s="1"/>
  <c r="G49" i="3"/>
  <c r="H49" i="3" s="1"/>
  <c r="BN49" i="3" s="1"/>
  <c r="M11" i="3"/>
  <c r="AF25" i="3"/>
  <c r="A255" i="2"/>
  <c r="AF35" i="3"/>
  <c r="AF13" i="3"/>
  <c r="AF41" i="3"/>
  <c r="AF17" i="3"/>
  <c r="AF16" i="3"/>
  <c r="AF10" i="3"/>
  <c r="AF19" i="3"/>
  <c r="AF9" i="3"/>
  <c r="AF42" i="3"/>
  <c r="AF683" i="3"/>
  <c r="AF39" i="3"/>
  <c r="AF28" i="3"/>
  <c r="AF29" i="3"/>
  <c r="AF34" i="3"/>
  <c r="B255" i="2"/>
  <c r="AF46" i="3"/>
  <c r="AF20" i="3"/>
  <c r="AF45" i="3"/>
  <c r="AF12" i="3"/>
  <c r="AF32" i="3"/>
  <c r="AF47" i="3"/>
  <c r="AF18" i="3"/>
  <c r="AF38" i="3"/>
  <c r="AF26" i="3"/>
  <c r="AF27" i="3"/>
  <c r="AF23" i="3"/>
  <c r="AF31" i="3"/>
  <c r="AF24" i="3"/>
  <c r="AF37" i="3"/>
  <c r="AF21" i="3"/>
  <c r="AF15" i="3"/>
  <c r="AF11" i="3"/>
  <c r="AF49" i="3"/>
  <c r="AF14" i="3"/>
  <c r="AF22" i="3"/>
  <c r="AF33" i="3"/>
  <c r="AF44" i="3"/>
  <c r="AF48" i="3"/>
  <c r="AF40" i="3"/>
  <c r="AF43" i="3"/>
  <c r="AF50" i="3"/>
  <c r="AF36" i="3"/>
  <c r="AF30" i="3"/>
  <c r="AF682" i="3"/>
  <c r="AD13" i="3"/>
  <c r="AD682" i="3"/>
  <c r="AD14" i="3"/>
  <c r="AD35" i="3"/>
  <c r="AD41" i="3"/>
  <c r="AD20" i="3"/>
  <c r="AD29" i="3"/>
  <c r="AD16" i="3"/>
  <c r="AD39" i="3"/>
  <c r="AD50" i="3"/>
  <c r="AD44" i="3"/>
  <c r="AD34" i="3"/>
  <c r="AD30" i="3"/>
  <c r="AD23" i="3"/>
  <c r="AD12" i="3"/>
  <c r="AD31" i="3"/>
  <c r="AD10" i="3"/>
  <c r="AD24" i="3"/>
  <c r="AD21" i="3"/>
  <c r="AD26" i="3"/>
  <c r="AD46" i="3"/>
  <c r="AD37" i="3"/>
  <c r="AD36" i="3"/>
  <c r="AD38" i="3"/>
  <c r="AD18" i="3"/>
  <c r="A254" i="2"/>
  <c r="AD42" i="3"/>
  <c r="AD48" i="3"/>
  <c r="B254" i="2"/>
  <c r="AD17" i="3"/>
  <c r="AD32" i="3"/>
  <c r="AD40" i="3"/>
  <c r="AD45" i="3"/>
  <c r="AD15" i="3"/>
  <c r="AD22" i="3"/>
  <c r="AD9" i="3"/>
  <c r="AD11" i="3"/>
  <c r="AD43" i="3"/>
  <c r="AD27" i="3"/>
  <c r="AD49" i="3"/>
  <c r="AD25" i="3"/>
  <c r="AD33" i="3"/>
  <c r="AD28" i="3"/>
  <c r="AD19" i="3"/>
  <c r="AD683" i="3"/>
  <c r="B149" i="2"/>
  <c r="O49" i="3" s="1"/>
  <c r="AD47" i="3"/>
  <c r="AE35" i="3"/>
  <c r="M17" i="3"/>
  <c r="M33" i="3"/>
  <c r="AE18" i="3"/>
  <c r="M39" i="3"/>
  <c r="AE30" i="3"/>
  <c r="M16" i="3"/>
  <c r="AE23" i="3"/>
  <c r="M47" i="3"/>
  <c r="AE49" i="3"/>
  <c r="M13" i="3"/>
  <c r="M18" i="3"/>
  <c r="M683" i="3"/>
  <c r="AE48" i="3"/>
  <c r="AG48" i="3" s="1"/>
  <c r="M23" i="3"/>
  <c r="AE45" i="3"/>
  <c r="AE21" i="3"/>
  <c r="AE34" i="3"/>
  <c r="B152" i="2"/>
  <c r="U49" i="3" s="1"/>
  <c r="M34" i="3"/>
  <c r="M14" i="3"/>
  <c r="AE28" i="3"/>
  <c r="AE37" i="3"/>
  <c r="M43" i="3"/>
  <c r="AE47" i="3"/>
  <c r="M10" i="3"/>
  <c r="M22" i="3"/>
  <c r="AE15" i="3"/>
  <c r="M50" i="3"/>
  <c r="AE13" i="3"/>
  <c r="AE16" i="3"/>
  <c r="M682" i="3"/>
  <c r="AE36" i="3"/>
  <c r="AE44" i="3"/>
  <c r="AE26" i="3"/>
  <c r="M41" i="3"/>
  <c r="AE24" i="3"/>
  <c r="M29" i="3"/>
  <c r="AE19" i="3"/>
  <c r="AE38" i="3"/>
  <c r="AE22" i="3"/>
  <c r="AE9" i="3"/>
  <c r="AE683" i="3"/>
  <c r="AE11" i="3"/>
  <c r="M20" i="3"/>
  <c r="AE27" i="3"/>
  <c r="M37" i="3"/>
  <c r="M25" i="3"/>
  <c r="AE17" i="3"/>
  <c r="AE32" i="3"/>
  <c r="AE682" i="3"/>
  <c r="M44" i="3"/>
  <c r="AE42" i="3"/>
  <c r="AG42" i="3" s="1"/>
  <c r="M26" i="3"/>
  <c r="M12" i="3"/>
  <c r="M30" i="3"/>
  <c r="M19" i="3"/>
  <c r="AE31" i="3"/>
  <c r="AE10" i="3"/>
  <c r="AE29" i="3"/>
  <c r="AE50" i="3"/>
  <c r="AE12" i="3"/>
  <c r="M48" i="3"/>
  <c r="AE14" i="3"/>
  <c r="M28" i="3"/>
  <c r="M38" i="3"/>
  <c r="AE43" i="3"/>
  <c r="AE39" i="3"/>
  <c r="M40" i="3"/>
  <c r="M36" i="3"/>
  <c r="M42" i="3"/>
  <c r="M45" i="3"/>
  <c r="M24" i="3"/>
  <c r="AE33" i="3"/>
  <c r="M27" i="3"/>
  <c r="M46" i="3"/>
  <c r="M31" i="3"/>
  <c r="M9" i="3"/>
  <c r="M32" i="3"/>
  <c r="AE20" i="3"/>
  <c r="AE46" i="3"/>
  <c r="AE25" i="3"/>
  <c r="M49" i="3"/>
  <c r="M21" i="3"/>
  <c r="AE41" i="3"/>
  <c r="M35" i="3"/>
  <c r="AE40" i="3"/>
  <c r="AG40" i="3" s="1"/>
  <c r="M15" i="3"/>
  <c r="AK30" i="3"/>
  <c r="AM22" i="3"/>
  <c r="AK13" i="3"/>
  <c r="AM26" i="3"/>
  <c r="AK14" i="3"/>
  <c r="AM50" i="3"/>
  <c r="AM21" i="3"/>
  <c r="AN21" i="3" s="1"/>
  <c r="AK40" i="3"/>
  <c r="AK27" i="3"/>
  <c r="AM17" i="3"/>
  <c r="AM42" i="3"/>
  <c r="AM46" i="3"/>
  <c r="AN46" i="3" s="1"/>
  <c r="AM23" i="3"/>
  <c r="AM34" i="3"/>
  <c r="AK36" i="3"/>
  <c r="AM33" i="3"/>
  <c r="AM19" i="3"/>
  <c r="AM35" i="3"/>
  <c r="AM18" i="3"/>
  <c r="AM30" i="3"/>
  <c r="AK44" i="3"/>
  <c r="AM43" i="3"/>
  <c r="AM25" i="3"/>
  <c r="AM40" i="3"/>
  <c r="AM10" i="3"/>
  <c r="AK19" i="3"/>
  <c r="AK25" i="3"/>
  <c r="AO25" i="3" s="1"/>
  <c r="AM29" i="3"/>
  <c r="AK35" i="3"/>
  <c r="B151" i="2"/>
  <c r="S49" i="3" s="1"/>
  <c r="AM47" i="3"/>
  <c r="AK682" i="3"/>
  <c r="AO682" i="3" s="1"/>
  <c r="AM20" i="3"/>
  <c r="AM39" i="3"/>
  <c r="AK21" i="3"/>
  <c r="AM9" i="3"/>
  <c r="AM13" i="3"/>
  <c r="AN13" i="3" s="1"/>
  <c r="AK24" i="3"/>
  <c r="AM11" i="3"/>
  <c r="AK9" i="3"/>
  <c r="AK47" i="3"/>
  <c r="AK683" i="3"/>
  <c r="AO683" i="3" s="1"/>
  <c r="AM36" i="3"/>
  <c r="AM44" i="3"/>
  <c r="AN44" i="3" s="1"/>
  <c r="AM14" i="3"/>
  <c r="AN14" i="3" s="1"/>
  <c r="AK16" i="3"/>
  <c r="AK42" i="3"/>
  <c r="AM31" i="3"/>
  <c r="AK10" i="3"/>
  <c r="AO10" i="3" s="1"/>
  <c r="AK39" i="3"/>
  <c r="A257" i="2"/>
  <c r="AM38" i="3"/>
  <c r="AK49" i="3"/>
  <c r="AO49" i="3" s="1"/>
  <c r="AK34" i="3"/>
  <c r="AM683" i="3"/>
  <c r="B257" i="2"/>
  <c r="AM37" i="3"/>
  <c r="AK23" i="3"/>
  <c r="AK22" i="3"/>
  <c r="AO22" i="3" s="1"/>
  <c r="B150" i="2"/>
  <c r="AK15" i="3"/>
  <c r="AM15" i="3"/>
  <c r="AK41" i="3"/>
  <c r="AM32" i="3"/>
  <c r="AK32" i="3"/>
  <c r="AM41" i="3"/>
  <c r="AM682" i="3"/>
  <c r="AK17" i="3"/>
  <c r="AK46" i="3"/>
  <c r="AM24" i="3"/>
  <c r="AM12" i="3"/>
  <c r="AK29" i="3"/>
  <c r="AK18" i="3"/>
  <c r="AO18" i="3" s="1"/>
  <c r="AM48" i="3"/>
  <c r="AM28" i="3"/>
  <c r="AK50" i="3"/>
  <c r="AO50" i="3" s="1"/>
  <c r="AK26" i="3"/>
  <c r="AO26" i="3" s="1"/>
  <c r="AK28" i="3"/>
  <c r="AM45" i="3"/>
  <c r="AN45" i="3" s="1"/>
  <c r="AK11" i="3"/>
  <c r="AO11" i="3" s="1"/>
  <c r="AK20" i="3"/>
  <c r="AK38" i="3"/>
  <c r="AM49" i="3"/>
  <c r="AK45" i="3"/>
  <c r="AK12" i="3"/>
  <c r="AK43" i="3"/>
  <c r="AK33" i="3"/>
  <c r="AK37" i="3"/>
  <c r="AK31" i="3"/>
  <c r="AM27" i="3"/>
  <c r="AM16" i="3"/>
  <c r="AK48" i="3"/>
  <c r="AO43" i="3" l="1"/>
  <c r="AG23" i="3"/>
  <c r="AN27" i="3"/>
  <c r="AG22" i="3"/>
  <c r="AO20" i="3"/>
  <c r="AN15" i="3"/>
  <c r="AG682" i="3"/>
  <c r="AG47" i="3"/>
  <c r="AG18" i="3"/>
  <c r="AG39" i="3"/>
  <c r="AG44" i="3"/>
  <c r="AG37" i="3"/>
  <c r="AG28" i="3"/>
  <c r="AG30" i="3"/>
  <c r="AG24" i="3"/>
  <c r="AO48" i="3"/>
  <c r="AN38" i="3"/>
  <c r="AG50" i="3"/>
  <c r="AN40" i="3"/>
  <c r="AN24" i="3"/>
  <c r="AH35" i="3"/>
  <c r="AN42" i="3"/>
  <c r="AG46" i="3"/>
  <c r="AG45" i="3"/>
  <c r="AN16" i="3"/>
  <c r="AG26" i="3"/>
  <c r="AO23" i="3"/>
  <c r="AG32" i="3"/>
  <c r="AG21" i="3"/>
  <c r="AO12" i="3"/>
  <c r="AN28" i="3"/>
  <c r="AG43" i="3"/>
  <c r="AG14" i="3"/>
  <c r="AG16" i="3"/>
  <c r="AG13" i="3"/>
  <c r="AH19" i="3"/>
  <c r="AN9" i="3"/>
  <c r="AG29" i="3"/>
  <c r="AG11" i="3"/>
  <c r="AG15" i="3"/>
  <c r="AG41" i="3"/>
  <c r="AG25" i="3"/>
  <c r="AG17" i="3"/>
  <c r="AO37" i="3"/>
  <c r="AG27" i="3"/>
  <c r="AG10" i="3"/>
  <c r="AG683" i="3"/>
  <c r="AN32" i="3"/>
  <c r="AG38" i="3"/>
  <c r="AN36" i="3"/>
  <c r="AO19" i="3"/>
  <c r="AG34" i="3"/>
  <c r="AO31" i="3"/>
  <c r="AO47" i="3"/>
  <c r="AG36" i="3"/>
  <c r="AO29" i="3"/>
  <c r="AG20" i="3"/>
  <c r="AO33" i="3"/>
  <c r="AO34" i="3"/>
  <c r="AG12" i="3"/>
  <c r="AO17" i="3"/>
  <c r="AN30" i="3"/>
  <c r="AN41" i="3"/>
  <c r="AN39" i="3"/>
  <c r="AN35" i="3"/>
  <c r="AG33" i="3"/>
  <c r="AG31" i="3"/>
  <c r="AG9" i="3"/>
  <c r="AG49" i="3"/>
  <c r="AN12" i="3"/>
  <c r="AO41" i="3"/>
  <c r="AO39" i="3"/>
  <c r="AN50" i="3"/>
  <c r="AN48" i="3"/>
  <c r="AN43" i="3"/>
  <c r="AO27" i="3"/>
  <c r="AN683" i="3"/>
  <c r="AN20" i="3"/>
  <c r="AN47" i="3"/>
  <c r="AN49" i="3"/>
  <c r="AO28" i="3"/>
  <c r="R10" i="3"/>
  <c r="R27" i="3"/>
  <c r="R17" i="3"/>
  <c r="Q13" i="3"/>
  <c r="R43" i="3"/>
  <c r="Q15" i="3"/>
  <c r="R15" i="3"/>
  <c r="R11" i="3"/>
  <c r="Q682" i="3"/>
  <c r="R30" i="3"/>
  <c r="Q25" i="3"/>
  <c r="R12" i="3"/>
  <c r="R42" i="3"/>
  <c r="R45" i="3"/>
  <c r="R34" i="3"/>
  <c r="Q35" i="3"/>
  <c r="R20" i="3"/>
  <c r="R24" i="3"/>
  <c r="Q24" i="3"/>
  <c r="R40" i="3"/>
  <c r="Q31" i="3"/>
  <c r="Q19" i="3"/>
  <c r="R29" i="3"/>
  <c r="Q32" i="3"/>
  <c r="R35" i="3"/>
  <c r="R44" i="3"/>
  <c r="Q34" i="3"/>
  <c r="Q27" i="3"/>
  <c r="F75" i="1"/>
  <c r="R36" i="3"/>
  <c r="R41" i="3"/>
  <c r="R28" i="3"/>
  <c r="R22" i="3"/>
  <c r="Q37" i="3"/>
  <c r="R13" i="3"/>
  <c r="R21" i="3"/>
  <c r="Q42" i="3"/>
  <c r="R49" i="3"/>
  <c r="Q22" i="3"/>
  <c r="Q10" i="3"/>
  <c r="Q17" i="3"/>
  <c r="Q38" i="3"/>
  <c r="Q28" i="3"/>
  <c r="R33" i="3"/>
  <c r="Q36" i="3"/>
  <c r="R682" i="3"/>
  <c r="Q39" i="3"/>
  <c r="Q20" i="3"/>
  <c r="Q9" i="3"/>
  <c r="R26" i="3"/>
  <c r="R19" i="3"/>
  <c r="Q18" i="3"/>
  <c r="Q11" i="3"/>
  <c r="R25" i="3"/>
  <c r="Q16" i="3"/>
  <c r="Q29" i="3"/>
  <c r="R32" i="3"/>
  <c r="Q23" i="3"/>
  <c r="Q40" i="3"/>
  <c r="Q30" i="3"/>
  <c r="Q12" i="3"/>
  <c r="Q33" i="3"/>
  <c r="R14" i="3"/>
  <c r="R50" i="3"/>
  <c r="R38" i="3"/>
  <c r="Q43" i="3"/>
  <c r="R18" i="3"/>
  <c r="Q14" i="3"/>
  <c r="R39" i="3"/>
  <c r="Q683" i="3"/>
  <c r="R683" i="3"/>
  <c r="R48" i="3"/>
  <c r="R31" i="3"/>
  <c r="R16" i="3"/>
  <c r="Q41" i="3"/>
  <c r="A685" i="3"/>
  <c r="U685" i="3" s="1"/>
  <c r="Q26" i="3"/>
  <c r="R9" i="3"/>
  <c r="Q21" i="3"/>
  <c r="R46" i="3"/>
  <c r="R23" i="3"/>
  <c r="R37" i="3"/>
  <c r="R47" i="3"/>
  <c r="Q44" i="3"/>
  <c r="Q45" i="3"/>
  <c r="Q46" i="3"/>
  <c r="Q47" i="3"/>
  <c r="Q48" i="3"/>
  <c r="Q49" i="3"/>
  <c r="X49" i="3" s="1"/>
  <c r="AN18" i="3"/>
  <c r="AN33" i="3"/>
  <c r="AN17" i="3"/>
  <c r="AN22" i="3"/>
  <c r="AO16" i="3"/>
  <c r="AO14" i="3"/>
  <c r="AN37" i="3"/>
  <c r="AO13" i="3"/>
  <c r="AO24" i="3"/>
  <c r="AN25" i="3"/>
  <c r="AN19" i="3"/>
  <c r="AN34" i="3"/>
  <c r="AO40" i="3"/>
  <c r="AO15" i="3"/>
  <c r="AO36" i="3"/>
  <c r="AN26" i="3"/>
  <c r="AO45" i="3"/>
  <c r="AN29" i="3"/>
  <c r="AO30" i="3"/>
  <c r="AN682" i="3"/>
  <c r="AO32" i="3"/>
  <c r="AN10" i="3"/>
  <c r="AN11" i="3"/>
  <c r="AN23" i="3"/>
  <c r="AO38" i="3"/>
  <c r="AN31" i="3"/>
  <c r="AO44" i="3"/>
  <c r="AH27" i="3"/>
  <c r="AH41" i="3"/>
  <c r="AH9" i="3"/>
  <c r="AH46" i="3"/>
  <c r="AH15" i="3"/>
  <c r="AH42" i="3"/>
  <c r="AH10" i="3"/>
  <c r="AH34" i="3"/>
  <c r="AH43" i="3"/>
  <c r="AH11" i="3"/>
  <c r="AH47" i="3"/>
  <c r="AH683" i="3"/>
  <c r="AH12" i="3"/>
  <c r="AH45" i="3"/>
  <c r="AH44" i="3"/>
  <c r="AH39" i="3"/>
  <c r="P43" i="3"/>
  <c r="O25" i="3"/>
  <c r="P44" i="3"/>
  <c r="P27" i="3"/>
  <c r="O19" i="3"/>
  <c r="O21" i="3"/>
  <c r="O20" i="3"/>
  <c r="P682" i="3"/>
  <c r="O38" i="3"/>
  <c r="O39" i="3"/>
  <c r="O14" i="3"/>
  <c r="O26" i="3"/>
  <c r="P24" i="3"/>
  <c r="O35" i="3"/>
  <c r="P48" i="3"/>
  <c r="P33" i="3"/>
  <c r="O27" i="3"/>
  <c r="P18" i="3"/>
  <c r="P31" i="3"/>
  <c r="O34" i="3"/>
  <c r="P10" i="3"/>
  <c r="P15" i="3"/>
  <c r="O12" i="3"/>
  <c r="O41" i="3"/>
  <c r="P29" i="3"/>
  <c r="P45" i="3"/>
  <c r="O30" i="3"/>
  <c r="O42" i="3"/>
  <c r="O11" i="3"/>
  <c r="P13" i="3"/>
  <c r="P37" i="3"/>
  <c r="O45" i="3"/>
  <c r="P30" i="3"/>
  <c r="P17" i="3"/>
  <c r="P25" i="3"/>
  <c r="P46" i="3"/>
  <c r="P39" i="3"/>
  <c r="P40" i="3"/>
  <c r="O22" i="3"/>
  <c r="P23" i="3"/>
  <c r="P21" i="3"/>
  <c r="O44" i="3"/>
  <c r="P20" i="3"/>
  <c r="F74" i="1"/>
  <c r="O37" i="3"/>
  <c r="O29" i="3"/>
  <c r="P28" i="3"/>
  <c r="O682" i="3"/>
  <c r="O33" i="3"/>
  <c r="P47" i="3"/>
  <c r="O15" i="3"/>
  <c r="O17" i="3"/>
  <c r="P41" i="3"/>
  <c r="P38" i="3"/>
  <c r="P50" i="3"/>
  <c r="P49" i="3"/>
  <c r="O36" i="3"/>
  <c r="O9" i="3"/>
  <c r="P16" i="3"/>
  <c r="P14" i="3"/>
  <c r="P22" i="3"/>
  <c r="P19" i="3"/>
  <c r="O32" i="3"/>
  <c r="P42" i="3"/>
  <c r="O16" i="3"/>
  <c r="O10" i="3"/>
  <c r="P34" i="3"/>
  <c r="P32" i="3"/>
  <c r="A684" i="3"/>
  <c r="P12" i="3"/>
  <c r="P9" i="3"/>
  <c r="O31" i="3"/>
  <c r="P683" i="3"/>
  <c r="P35" i="3"/>
  <c r="O683" i="3"/>
  <c r="O24" i="3"/>
  <c r="P26" i="3"/>
  <c r="O28" i="3"/>
  <c r="O23" i="3"/>
  <c r="P36" i="3"/>
  <c r="O40" i="3"/>
  <c r="O18" i="3"/>
  <c r="P11" i="3"/>
  <c r="O43" i="3"/>
  <c r="O13" i="3"/>
  <c r="O46" i="3"/>
  <c r="O47" i="3"/>
  <c r="O48" i="3"/>
  <c r="AH29" i="3"/>
  <c r="AH22" i="3"/>
  <c r="AH31" i="3"/>
  <c r="AH49" i="3"/>
  <c r="AH33" i="3"/>
  <c r="AH40" i="3"/>
  <c r="AH38" i="3"/>
  <c r="AH16" i="3"/>
  <c r="AH26" i="3"/>
  <c r="AH20" i="3"/>
  <c r="AH682" i="3"/>
  <c r="AH13" i="3"/>
  <c r="AH28" i="3"/>
  <c r="AH50" i="3"/>
  <c r="AR50" i="3"/>
  <c r="AQ50" i="3"/>
  <c r="B50" i="3"/>
  <c r="A51" i="3"/>
  <c r="R51" i="3" s="1"/>
  <c r="D50" i="3"/>
  <c r="C50" i="3"/>
  <c r="F50" i="3"/>
  <c r="BM50" i="3" s="1"/>
  <c r="G50" i="3"/>
  <c r="H50" i="3" s="1"/>
  <c r="BN50" i="3" s="1"/>
  <c r="Q50" i="3"/>
  <c r="S50" i="3"/>
  <c r="O50" i="3"/>
  <c r="U50" i="3"/>
  <c r="V32" i="3"/>
  <c r="U18" i="3"/>
  <c r="V39" i="3"/>
  <c r="U44" i="3"/>
  <c r="U46" i="3"/>
  <c r="U14" i="3"/>
  <c r="V48" i="3"/>
  <c r="V35" i="3"/>
  <c r="U9" i="3"/>
  <c r="U27" i="3"/>
  <c r="U38" i="3"/>
  <c r="U32" i="3"/>
  <c r="V16" i="3"/>
  <c r="V44" i="3"/>
  <c r="U43" i="3"/>
  <c r="U37" i="3"/>
  <c r="U23" i="3"/>
  <c r="V46" i="3"/>
  <c r="V49" i="3"/>
  <c r="U25" i="3"/>
  <c r="V31" i="3"/>
  <c r="V682" i="3"/>
  <c r="V11" i="3"/>
  <c r="U12" i="3"/>
  <c r="V36" i="3"/>
  <c r="U20" i="3"/>
  <c r="V25" i="3"/>
  <c r="U10" i="3"/>
  <c r="V15" i="3"/>
  <c r="V41" i="3"/>
  <c r="A687" i="3"/>
  <c r="U30" i="3"/>
  <c r="U41" i="3"/>
  <c r="U15" i="3"/>
  <c r="U35" i="3"/>
  <c r="V23" i="3"/>
  <c r="V22" i="3"/>
  <c r="V38" i="3"/>
  <c r="V19" i="3"/>
  <c r="U39" i="3"/>
  <c r="V13" i="3"/>
  <c r="U16" i="3"/>
  <c r="U29" i="3"/>
  <c r="U24" i="3"/>
  <c r="V33" i="3"/>
  <c r="V43" i="3"/>
  <c r="V17" i="3"/>
  <c r="V40" i="3"/>
  <c r="U42" i="3"/>
  <c r="U26" i="3"/>
  <c r="V50" i="3"/>
  <c r="V47" i="3"/>
  <c r="V683" i="3"/>
  <c r="U33" i="3"/>
  <c r="U31" i="3"/>
  <c r="U21" i="3"/>
  <c r="V24" i="3"/>
  <c r="U13" i="3"/>
  <c r="U17" i="3"/>
  <c r="V27" i="3"/>
  <c r="V42" i="3"/>
  <c r="V9" i="3"/>
  <c r="V30" i="3"/>
  <c r="U45" i="3"/>
  <c r="U36" i="3"/>
  <c r="V51" i="3"/>
  <c r="V21" i="3"/>
  <c r="U682" i="3"/>
  <c r="U19" i="3"/>
  <c r="V37" i="3"/>
  <c r="U28" i="3"/>
  <c r="V45" i="3"/>
  <c r="U40" i="3"/>
  <c r="V26" i="3"/>
  <c r="V18" i="3"/>
  <c r="U11" i="3"/>
  <c r="V29" i="3"/>
  <c r="V14" i="3"/>
  <c r="V28" i="3"/>
  <c r="V12" i="3"/>
  <c r="V34" i="3"/>
  <c r="V10" i="3"/>
  <c r="U34" i="3"/>
  <c r="U22" i="3"/>
  <c r="U683" i="3"/>
  <c r="V20" i="3"/>
  <c r="F77" i="1"/>
  <c r="U47" i="3"/>
  <c r="U48" i="3"/>
  <c r="AH32" i="3"/>
  <c r="AH36" i="3"/>
  <c r="AH21" i="3"/>
  <c r="AH23" i="3"/>
  <c r="AH17" i="3"/>
  <c r="AH37" i="3"/>
  <c r="AH18" i="3"/>
  <c r="AO46" i="3"/>
  <c r="AO42" i="3"/>
  <c r="AO9" i="3"/>
  <c r="AO21" i="3"/>
  <c r="S11" i="3"/>
  <c r="T21" i="3"/>
  <c r="S37" i="3"/>
  <c r="T32" i="3"/>
  <c r="S10" i="3"/>
  <c r="T22" i="3"/>
  <c r="T13" i="3"/>
  <c r="T25" i="3"/>
  <c r="T11" i="3"/>
  <c r="T24" i="3"/>
  <c r="T42" i="3"/>
  <c r="S42" i="3"/>
  <c r="T15" i="3"/>
  <c r="S26" i="3"/>
  <c r="T46" i="3"/>
  <c r="F76" i="1"/>
  <c r="S36" i="3"/>
  <c r="T37" i="3"/>
  <c r="S31" i="3"/>
  <c r="T50" i="3"/>
  <c r="T30" i="3"/>
  <c r="T9" i="3"/>
  <c r="S19" i="3"/>
  <c r="T19" i="3"/>
  <c r="T26" i="3"/>
  <c r="S17" i="3"/>
  <c r="S21" i="3"/>
  <c r="S30" i="3"/>
  <c r="T44" i="3"/>
  <c r="S39" i="3"/>
  <c r="S40" i="3"/>
  <c r="A686" i="3"/>
  <c r="S33" i="3"/>
  <c r="T43" i="3"/>
  <c r="S12" i="3"/>
  <c r="T51" i="3"/>
  <c r="S27" i="3"/>
  <c r="T10" i="3"/>
  <c r="T39" i="3"/>
  <c r="T40" i="3"/>
  <c r="T35" i="3"/>
  <c r="S28" i="3"/>
  <c r="T47" i="3"/>
  <c r="T28" i="3"/>
  <c r="T27" i="3"/>
  <c r="S32" i="3"/>
  <c r="T682" i="3"/>
  <c r="T34" i="3"/>
  <c r="T23" i="3"/>
  <c r="S25" i="3"/>
  <c r="T14" i="3"/>
  <c r="S13" i="3"/>
  <c r="T17" i="3"/>
  <c r="T49" i="3"/>
  <c r="T16" i="3"/>
  <c r="S23" i="3"/>
  <c r="T45" i="3"/>
  <c r="S18" i="3"/>
  <c r="T36" i="3"/>
  <c r="T38" i="3"/>
  <c r="T48" i="3"/>
  <c r="T29" i="3"/>
  <c r="T12" i="3"/>
  <c r="S41" i="3"/>
  <c r="S44" i="3"/>
  <c r="T41" i="3"/>
  <c r="T18" i="3"/>
  <c r="S15" i="3"/>
  <c r="S20" i="3"/>
  <c r="S16" i="3"/>
  <c r="T31" i="3"/>
  <c r="S9" i="3"/>
  <c r="S22" i="3"/>
  <c r="S34" i="3"/>
  <c r="S35" i="3"/>
  <c r="T33" i="3"/>
  <c r="S683" i="3"/>
  <c r="T683" i="3"/>
  <c r="S682" i="3"/>
  <c r="S14" i="3"/>
  <c r="T20" i="3"/>
  <c r="S43" i="3"/>
  <c r="S38" i="3"/>
  <c r="S29" i="3"/>
  <c r="S24" i="3"/>
  <c r="S45" i="3"/>
  <c r="S46" i="3"/>
  <c r="S47" i="3"/>
  <c r="S48" i="3"/>
  <c r="AO35" i="3"/>
  <c r="AG19" i="3"/>
  <c r="AG35" i="3"/>
  <c r="AH25" i="3"/>
  <c r="AH24" i="3"/>
  <c r="AH14" i="3"/>
  <c r="AH30" i="3"/>
  <c r="AH48" i="3"/>
  <c r="AW44" i="3" l="1"/>
  <c r="AW47" i="3"/>
  <c r="AW40" i="3"/>
  <c r="AP9" i="3"/>
  <c r="AW32" i="3"/>
  <c r="AW22" i="3"/>
  <c r="AW29" i="3"/>
  <c r="AW15" i="3"/>
  <c r="AT27" i="3"/>
  <c r="AW27" i="3"/>
  <c r="AI9" i="3"/>
  <c r="AU49" i="3"/>
  <c r="AW31" i="3"/>
  <c r="AW49" i="3"/>
  <c r="AY49" i="3" s="1"/>
  <c r="AW683" i="3"/>
  <c r="Y10" i="3"/>
  <c r="Z10" i="3" s="1"/>
  <c r="AT49" i="3"/>
  <c r="AW13" i="3"/>
  <c r="AW28" i="3"/>
  <c r="Y30" i="3"/>
  <c r="Z30" i="3" s="1"/>
  <c r="X43" i="3"/>
  <c r="AW682" i="3"/>
  <c r="AW34" i="3"/>
  <c r="X17" i="3"/>
  <c r="Y49" i="3"/>
  <c r="Z49" i="3" s="1"/>
  <c r="AW9" i="3"/>
  <c r="X25" i="3"/>
  <c r="X40" i="3"/>
  <c r="AW42" i="3"/>
  <c r="AW16" i="3"/>
  <c r="AW33" i="3"/>
  <c r="AW45" i="3"/>
  <c r="AW46" i="3"/>
  <c r="AW12" i="3"/>
  <c r="X37" i="3"/>
  <c r="Y9" i="3"/>
  <c r="Z9" i="3" s="1"/>
  <c r="X683" i="3"/>
  <c r="AX49" i="3"/>
  <c r="AX50" i="3"/>
  <c r="AW50" i="3"/>
  <c r="AX48" i="3"/>
  <c r="AT48" i="3"/>
  <c r="AU48" i="3"/>
  <c r="AW48" i="3"/>
  <c r="AU24" i="3"/>
  <c r="AX24" i="3"/>
  <c r="AT24" i="3"/>
  <c r="AW24" i="3"/>
  <c r="Y27" i="3"/>
  <c r="Z27" i="3" s="1"/>
  <c r="AW35" i="3"/>
  <c r="AU35" i="3"/>
  <c r="AX35" i="3"/>
  <c r="AT35" i="3"/>
  <c r="AX14" i="3"/>
  <c r="AU14" i="3"/>
  <c r="AT14" i="3"/>
  <c r="AW14" i="3"/>
  <c r="AW19" i="3"/>
  <c r="AX19" i="3"/>
  <c r="AU19" i="3"/>
  <c r="AT19" i="3"/>
  <c r="AX25" i="3"/>
  <c r="AT25" i="3"/>
  <c r="AU25" i="3"/>
  <c r="AW25" i="3"/>
  <c r="AF684" i="3"/>
  <c r="C684" i="3"/>
  <c r="R684" i="3"/>
  <c r="D684" i="3"/>
  <c r="F684" i="3"/>
  <c r="S684" i="3"/>
  <c r="P684" i="3"/>
  <c r="G684" i="3"/>
  <c r="H684" i="3" s="1"/>
  <c r="B684" i="3"/>
  <c r="AR684" i="3"/>
  <c r="U684" i="3"/>
  <c r="V684" i="3"/>
  <c r="Q684" i="3"/>
  <c r="T684" i="3"/>
  <c r="O684" i="3"/>
  <c r="AQ684" i="3"/>
  <c r="AD684" i="3"/>
  <c r="AE684" i="3"/>
  <c r="AK684" i="3"/>
  <c r="M684" i="3"/>
  <c r="AM684" i="3"/>
  <c r="AX30" i="3"/>
  <c r="AU30" i="3"/>
  <c r="AT30" i="3"/>
  <c r="AW30" i="3"/>
  <c r="AX41" i="3"/>
  <c r="AU41" i="3"/>
  <c r="AT41" i="3"/>
  <c r="AW41" i="3"/>
  <c r="AT50" i="3"/>
  <c r="AU18" i="3"/>
  <c r="AX18" i="3"/>
  <c r="AT18" i="3"/>
  <c r="Y42" i="3"/>
  <c r="Z42" i="3" s="1"/>
  <c r="X13" i="3"/>
  <c r="Y40" i="3"/>
  <c r="Z40" i="3" s="1"/>
  <c r="Y38" i="3"/>
  <c r="Z38" i="3" s="1"/>
  <c r="X15" i="3"/>
  <c r="AX28" i="3"/>
  <c r="AU28" i="3"/>
  <c r="AT28" i="3"/>
  <c r="Y32" i="3"/>
  <c r="Z32" i="3" s="1"/>
  <c r="AU27" i="3"/>
  <c r="AX27" i="3"/>
  <c r="AX37" i="3"/>
  <c r="AU37" i="3"/>
  <c r="AT37" i="3"/>
  <c r="Y24" i="3"/>
  <c r="Z24" i="3" s="1"/>
  <c r="Y17" i="3"/>
  <c r="Z17" i="3" s="1"/>
  <c r="X29" i="3"/>
  <c r="Y22" i="3"/>
  <c r="Z22" i="3" s="1"/>
  <c r="X41" i="3"/>
  <c r="X10" i="3"/>
  <c r="AW37" i="3"/>
  <c r="Y34" i="3"/>
  <c r="Z34" i="3" s="1"/>
  <c r="X14" i="3"/>
  <c r="AU17" i="3"/>
  <c r="AT17" i="3"/>
  <c r="AX17" i="3"/>
  <c r="Y43" i="3"/>
  <c r="Z43" i="3" s="1"/>
  <c r="X16" i="3"/>
  <c r="Y23" i="3"/>
  <c r="Z23" i="3" s="1"/>
  <c r="X30" i="3"/>
  <c r="AX31" i="3"/>
  <c r="AT31" i="3"/>
  <c r="AU31" i="3"/>
  <c r="Y39" i="3"/>
  <c r="Z39" i="3" s="1"/>
  <c r="Y682" i="3"/>
  <c r="Z682" i="3" s="1"/>
  <c r="AW17" i="3"/>
  <c r="AX11" i="3"/>
  <c r="AT11" i="3"/>
  <c r="AU11" i="3"/>
  <c r="AX36" i="3"/>
  <c r="AU36" i="3"/>
  <c r="AT36" i="3"/>
  <c r="Y20" i="3"/>
  <c r="Z20" i="3" s="1"/>
  <c r="Y47" i="3"/>
  <c r="Z47" i="3" s="1"/>
  <c r="Y33" i="3"/>
  <c r="Z33" i="3" s="1"/>
  <c r="Y13" i="3"/>
  <c r="Z13" i="3" s="1"/>
  <c r="X35" i="3"/>
  <c r="U687" i="3"/>
  <c r="S687" i="3"/>
  <c r="Q687" i="3"/>
  <c r="D687" i="3"/>
  <c r="C687" i="3"/>
  <c r="V687" i="3"/>
  <c r="G687" i="3"/>
  <c r="H687" i="3" s="1"/>
  <c r="B687" i="3"/>
  <c r="P687" i="3"/>
  <c r="O687" i="3"/>
  <c r="R687" i="3"/>
  <c r="F687" i="3"/>
  <c r="T687" i="3"/>
  <c r="AQ687" i="3"/>
  <c r="AR687" i="3"/>
  <c r="AF687" i="3"/>
  <c r="M687" i="3"/>
  <c r="AD687" i="3"/>
  <c r="AE687" i="3"/>
  <c r="AM687" i="3"/>
  <c r="AK687" i="3"/>
  <c r="X20" i="3"/>
  <c r="X50" i="3"/>
  <c r="AU22" i="3"/>
  <c r="AX22" i="3"/>
  <c r="AY22" i="3" s="1"/>
  <c r="AT22" i="3"/>
  <c r="X18" i="3"/>
  <c r="AU43" i="3"/>
  <c r="AX43" i="3"/>
  <c r="AT43" i="3"/>
  <c r="AX32" i="3"/>
  <c r="AY32" i="3" s="1"/>
  <c r="AT32" i="3"/>
  <c r="AU32" i="3"/>
  <c r="X22" i="3"/>
  <c r="Y50" i="3"/>
  <c r="Z50" i="3" s="1"/>
  <c r="X24" i="3"/>
  <c r="X39" i="3"/>
  <c r="Y41" i="3"/>
  <c r="Z41" i="3" s="1"/>
  <c r="AU13" i="3"/>
  <c r="AX13" i="3"/>
  <c r="AT13" i="3"/>
  <c r="Y29" i="3"/>
  <c r="Z29" i="3" s="1"/>
  <c r="AW39" i="3"/>
  <c r="AT39" i="3"/>
  <c r="AU39" i="3"/>
  <c r="AX39" i="3"/>
  <c r="Y26" i="3"/>
  <c r="Z26" i="3" s="1"/>
  <c r="Y19" i="3"/>
  <c r="Z19" i="3" s="1"/>
  <c r="X12" i="3"/>
  <c r="AT682" i="3"/>
  <c r="AU682" i="3"/>
  <c r="AX682" i="3"/>
  <c r="AT29" i="3"/>
  <c r="AX29" i="3"/>
  <c r="AU29" i="3"/>
  <c r="Y25" i="3"/>
  <c r="Z25" i="3" s="1"/>
  <c r="AU44" i="3"/>
  <c r="AT44" i="3"/>
  <c r="AX44" i="3"/>
  <c r="AY44" i="3" s="1"/>
  <c r="AW11" i="3"/>
  <c r="X48" i="3"/>
  <c r="X26" i="3"/>
  <c r="AU20" i="3"/>
  <c r="AX20" i="3"/>
  <c r="AT20" i="3"/>
  <c r="Y28" i="3"/>
  <c r="Z28" i="3" s="1"/>
  <c r="AU45" i="3"/>
  <c r="AX45" i="3"/>
  <c r="AT45" i="3"/>
  <c r="AT34" i="3"/>
  <c r="AX34" i="3"/>
  <c r="AU34" i="3"/>
  <c r="AX23" i="3"/>
  <c r="AU23" i="3"/>
  <c r="AT23" i="3"/>
  <c r="X47" i="3"/>
  <c r="Y45" i="3"/>
  <c r="Z45" i="3" s="1"/>
  <c r="X42" i="3"/>
  <c r="Y16" i="3"/>
  <c r="Z16" i="3" s="1"/>
  <c r="AT26" i="3"/>
  <c r="AX26" i="3"/>
  <c r="AU26" i="3"/>
  <c r="Y15" i="3"/>
  <c r="Z15" i="3" s="1"/>
  <c r="Y48" i="3"/>
  <c r="Z48" i="3" s="1"/>
  <c r="AW26" i="3"/>
  <c r="AX10" i="3"/>
  <c r="AU10" i="3"/>
  <c r="AT10" i="3"/>
  <c r="AW20" i="3"/>
  <c r="AD685" i="3"/>
  <c r="Q685" i="3"/>
  <c r="G685" i="3"/>
  <c r="H685" i="3" s="1"/>
  <c r="R685" i="3"/>
  <c r="AQ685" i="3"/>
  <c r="B685" i="3"/>
  <c r="P685" i="3"/>
  <c r="S685" i="3"/>
  <c r="O685" i="3"/>
  <c r="AR685" i="3"/>
  <c r="D685" i="3"/>
  <c r="C685" i="3"/>
  <c r="T685" i="3"/>
  <c r="F685" i="3"/>
  <c r="V685" i="3"/>
  <c r="M685" i="3"/>
  <c r="AF685" i="3"/>
  <c r="AE685" i="3"/>
  <c r="AK685" i="3"/>
  <c r="AM685" i="3"/>
  <c r="AT21" i="3"/>
  <c r="AX21" i="3"/>
  <c r="AU21" i="3"/>
  <c r="Y14" i="3"/>
  <c r="Z14" i="3" s="1"/>
  <c r="X28" i="3"/>
  <c r="X32" i="3"/>
  <c r="X46" i="3"/>
  <c r="Y36" i="3"/>
  <c r="Z36" i="3" s="1"/>
  <c r="X34" i="3"/>
  <c r="AT12" i="3"/>
  <c r="AU12" i="3"/>
  <c r="AX12" i="3"/>
  <c r="AT42" i="3"/>
  <c r="AU42" i="3"/>
  <c r="AX42" i="3"/>
  <c r="Y37" i="3"/>
  <c r="Z37" i="3" s="1"/>
  <c r="Y21" i="3"/>
  <c r="Z21" i="3" s="1"/>
  <c r="X21" i="3"/>
  <c r="X38" i="3"/>
  <c r="Y31" i="3"/>
  <c r="Z31" i="3" s="1"/>
  <c r="AU683" i="3"/>
  <c r="AT683" i="3"/>
  <c r="AX683" i="3"/>
  <c r="AT15" i="3"/>
  <c r="AU15" i="3"/>
  <c r="AX15" i="3"/>
  <c r="AY15" i="3" s="1"/>
  <c r="AR686" i="3"/>
  <c r="R686" i="3"/>
  <c r="P686" i="3"/>
  <c r="O686" i="3"/>
  <c r="B686" i="3"/>
  <c r="Q686" i="3"/>
  <c r="D686" i="3"/>
  <c r="G686" i="3"/>
  <c r="H686" i="3" s="1"/>
  <c r="AQ686" i="3"/>
  <c r="T686" i="3"/>
  <c r="F686" i="3"/>
  <c r="C686" i="3"/>
  <c r="S686" i="3"/>
  <c r="V686" i="3"/>
  <c r="U686" i="3"/>
  <c r="AE686" i="3"/>
  <c r="M686" i="3"/>
  <c r="AF686" i="3"/>
  <c r="AD686" i="3"/>
  <c r="AK686" i="3"/>
  <c r="AM686" i="3"/>
  <c r="Y12" i="3"/>
  <c r="Z12" i="3" s="1"/>
  <c r="X19" i="3"/>
  <c r="X31" i="3"/>
  <c r="X27" i="3"/>
  <c r="AU16" i="3"/>
  <c r="AX16" i="3"/>
  <c r="AT16" i="3"/>
  <c r="P51" i="3"/>
  <c r="Y18" i="3"/>
  <c r="Z18" i="3" s="1"/>
  <c r="AX47" i="3"/>
  <c r="AY47" i="3" s="1"/>
  <c r="AU47" i="3"/>
  <c r="AT47" i="3"/>
  <c r="AW18" i="3"/>
  <c r="X11" i="3"/>
  <c r="X682" i="3"/>
  <c r="X36" i="3"/>
  <c r="X33" i="3"/>
  <c r="X9" i="3"/>
  <c r="AQ51" i="3"/>
  <c r="AR51" i="3"/>
  <c r="A52" i="3"/>
  <c r="B51" i="3"/>
  <c r="D51" i="3"/>
  <c r="C51" i="3"/>
  <c r="F51" i="3"/>
  <c r="BM51" i="3" s="1"/>
  <c r="G51" i="3"/>
  <c r="H51" i="3" s="1"/>
  <c r="BN51" i="3" s="1"/>
  <c r="Q51" i="3"/>
  <c r="S51" i="3"/>
  <c r="O51" i="3"/>
  <c r="U51" i="3"/>
  <c r="AD51" i="3"/>
  <c r="M51" i="3"/>
  <c r="AF51" i="3"/>
  <c r="AM51" i="3"/>
  <c r="AE51" i="3"/>
  <c r="AK51" i="3"/>
  <c r="AU38" i="3"/>
  <c r="AT38" i="3"/>
  <c r="AX38" i="3"/>
  <c r="Y11" i="3"/>
  <c r="Z11" i="3" s="1"/>
  <c r="X44" i="3"/>
  <c r="AW21" i="3"/>
  <c r="AW10" i="3"/>
  <c r="AW23" i="3"/>
  <c r="Y683" i="3"/>
  <c r="Z683" i="3" s="1"/>
  <c r="Y46" i="3"/>
  <c r="Z46" i="3" s="1"/>
  <c r="Y35" i="3"/>
  <c r="Z35" i="3" s="1"/>
  <c r="AX40" i="3"/>
  <c r="AY40" i="3" s="1"/>
  <c r="AU40" i="3"/>
  <c r="AT40" i="3"/>
  <c r="AW36" i="3"/>
  <c r="AU46" i="3"/>
  <c r="AT46" i="3"/>
  <c r="AX46" i="3"/>
  <c r="X45" i="3"/>
  <c r="X23" i="3"/>
  <c r="AU50" i="3"/>
  <c r="AT33" i="3"/>
  <c r="AU33" i="3"/>
  <c r="AX33" i="3"/>
  <c r="Y44" i="3"/>
  <c r="Z44" i="3" s="1"/>
  <c r="AW38" i="3"/>
  <c r="AX9" i="3"/>
  <c r="AT9" i="3"/>
  <c r="AU9" i="3"/>
  <c r="AU3" i="3" s="1"/>
  <c r="AU4" i="3" s="1"/>
  <c r="AW43" i="3"/>
  <c r="AY29" i="3" l="1"/>
  <c r="AN686" i="3"/>
  <c r="AY27" i="3"/>
  <c r="AV27" i="3"/>
  <c r="AY42" i="3"/>
  <c r="AO687" i="3"/>
  <c r="AO51" i="3"/>
  <c r="AY31" i="3"/>
  <c r="AY18" i="3"/>
  <c r="AY25" i="3"/>
  <c r="AV49" i="3"/>
  <c r="BC49" i="3" s="1"/>
  <c r="BG49" i="3" s="1"/>
  <c r="BH49" i="3" s="1"/>
  <c r="BI49" i="3" s="1"/>
  <c r="AY16" i="3"/>
  <c r="AY683" i="3"/>
  <c r="BC27" i="3"/>
  <c r="BD27" i="3" s="1"/>
  <c r="AY26" i="3"/>
  <c r="AY28" i="3"/>
  <c r="AY34" i="3"/>
  <c r="AY23" i="3"/>
  <c r="BA49" i="3"/>
  <c r="BF49" i="3" s="1"/>
  <c r="AY682" i="3"/>
  <c r="AY33" i="3"/>
  <c r="AY13" i="3"/>
  <c r="AN684" i="3"/>
  <c r="AY50" i="3"/>
  <c r="AO685" i="3"/>
  <c r="AH51" i="3"/>
  <c r="AY9" i="3"/>
  <c r="AY38" i="3"/>
  <c r="AY41" i="3"/>
  <c r="AY24" i="3"/>
  <c r="AG686" i="3"/>
  <c r="AY30" i="3"/>
  <c r="AH685" i="3"/>
  <c r="AY46" i="3"/>
  <c r="AY21" i="3"/>
  <c r="AY45" i="3"/>
  <c r="AH687" i="3"/>
  <c r="X684" i="3"/>
  <c r="AY35" i="3"/>
  <c r="AY12" i="3"/>
  <c r="AY37" i="3"/>
  <c r="BA9" i="3"/>
  <c r="AT3" i="3"/>
  <c r="AT4" i="3" s="1"/>
  <c r="AV9" i="3"/>
  <c r="AV26" i="3"/>
  <c r="BA26" i="3"/>
  <c r="AY20" i="3"/>
  <c r="BA682" i="3"/>
  <c r="AV682" i="3"/>
  <c r="AG687" i="3"/>
  <c r="BA30" i="3"/>
  <c r="AV30" i="3"/>
  <c r="X51" i="3"/>
  <c r="AV32" i="3"/>
  <c r="BC32" i="3" s="1"/>
  <c r="BA32" i="3"/>
  <c r="AV14" i="3"/>
  <c r="BA14" i="3"/>
  <c r="AO686" i="3"/>
  <c r="AN685" i="3"/>
  <c r="AV31" i="3"/>
  <c r="BC31" i="3" s="1"/>
  <c r="BA31" i="3"/>
  <c r="BA21" i="3"/>
  <c r="AV21" i="3"/>
  <c r="BA47" i="3"/>
  <c r="AV47" i="3"/>
  <c r="BC47" i="3" s="1"/>
  <c r="AY39" i="3"/>
  <c r="Y684" i="3"/>
  <c r="Z684" i="3" s="1"/>
  <c r="AY14" i="3"/>
  <c r="BA24" i="3"/>
  <c r="AV24" i="3"/>
  <c r="AH686" i="3"/>
  <c r="AY10" i="3"/>
  <c r="BA42" i="3"/>
  <c r="AV42" i="3"/>
  <c r="BC42" i="3" s="1"/>
  <c r="AG685" i="3"/>
  <c r="BA23" i="3"/>
  <c r="AV23" i="3"/>
  <c r="BA43" i="3"/>
  <c r="AV43" i="3"/>
  <c r="BA27" i="3"/>
  <c r="AO684" i="3"/>
  <c r="BA39" i="3"/>
  <c r="AV39" i="3"/>
  <c r="AV18" i="3"/>
  <c r="BA18" i="3"/>
  <c r="AG684" i="3"/>
  <c r="X686" i="3"/>
  <c r="BA12" i="3"/>
  <c r="AV12" i="3"/>
  <c r="Y685" i="3"/>
  <c r="Z685" i="3" s="1"/>
  <c r="AV10" i="3"/>
  <c r="BA10" i="3"/>
  <c r="BA44" i="3"/>
  <c r="AV44" i="3"/>
  <c r="BC44" i="3" s="1"/>
  <c r="BA36" i="3"/>
  <c r="AV36" i="3"/>
  <c r="AV48" i="3"/>
  <c r="BA48" i="3"/>
  <c r="AV37" i="3"/>
  <c r="BA37" i="3"/>
  <c r="AV16" i="3"/>
  <c r="BA16" i="3"/>
  <c r="Y686" i="3"/>
  <c r="Z686" i="3" s="1"/>
  <c r="AV15" i="3"/>
  <c r="BC15" i="3" s="1"/>
  <c r="BA15" i="3"/>
  <c r="BA13" i="3"/>
  <c r="AV13" i="3"/>
  <c r="BA22" i="3"/>
  <c r="AV22" i="3"/>
  <c r="BC22" i="3" s="1"/>
  <c r="BA35" i="3"/>
  <c r="AV35" i="3"/>
  <c r="AY48" i="3"/>
  <c r="AV33" i="3"/>
  <c r="BA33" i="3"/>
  <c r="AV50" i="3"/>
  <c r="BA50" i="3"/>
  <c r="BA25" i="3"/>
  <c r="AV25" i="3"/>
  <c r="X685" i="3"/>
  <c r="BA45" i="3"/>
  <c r="AV45" i="3"/>
  <c r="BA17" i="3"/>
  <c r="AV17" i="3"/>
  <c r="BA34" i="3"/>
  <c r="AV34" i="3"/>
  <c r="BA46" i="3"/>
  <c r="AV46" i="3"/>
  <c r="AY36" i="3"/>
  <c r="AG51" i="3"/>
  <c r="AV29" i="3"/>
  <c r="BC29" i="3" s="1"/>
  <c r="BA29" i="3"/>
  <c r="AV11" i="3"/>
  <c r="BA11" i="3"/>
  <c r="BA28" i="3"/>
  <c r="AV28" i="3"/>
  <c r="AV19" i="3"/>
  <c r="BA19" i="3"/>
  <c r="AV683" i="3"/>
  <c r="BA683" i="3"/>
  <c r="AV41" i="3"/>
  <c r="BA41" i="3"/>
  <c r="AY43" i="3"/>
  <c r="AV40" i="3"/>
  <c r="BC40" i="3" s="1"/>
  <c r="BA40" i="3"/>
  <c r="AN51" i="3"/>
  <c r="X687" i="3"/>
  <c r="AY11" i="3"/>
  <c r="AH684" i="3"/>
  <c r="BA38" i="3"/>
  <c r="AV38" i="3"/>
  <c r="AR52" i="3"/>
  <c r="B52" i="3"/>
  <c r="AQ52" i="3"/>
  <c r="A53" i="3"/>
  <c r="C52" i="3"/>
  <c r="D52" i="3"/>
  <c r="F52" i="3"/>
  <c r="BM52" i="3" s="1"/>
  <c r="G52" i="3"/>
  <c r="H52" i="3" s="1"/>
  <c r="BN52" i="3" s="1"/>
  <c r="Q52" i="3"/>
  <c r="S52" i="3"/>
  <c r="O52" i="3"/>
  <c r="U52" i="3"/>
  <c r="AF52" i="3"/>
  <c r="AE52" i="3"/>
  <c r="AD52" i="3"/>
  <c r="M52" i="3"/>
  <c r="AM52" i="3"/>
  <c r="AK52" i="3"/>
  <c r="R52" i="3"/>
  <c r="P52" i="3"/>
  <c r="V52" i="3"/>
  <c r="T52" i="3"/>
  <c r="Y51" i="3"/>
  <c r="Z51" i="3" s="1"/>
  <c r="AV20" i="3"/>
  <c r="BA20" i="3"/>
  <c r="AN687" i="3"/>
  <c r="Y687" i="3"/>
  <c r="Z687" i="3" s="1"/>
  <c r="AY17" i="3"/>
  <c r="AY19" i="3"/>
  <c r="AO52" i="3" l="1"/>
  <c r="BC18" i="3"/>
  <c r="BG18" i="3" s="1"/>
  <c r="BH18" i="3" s="1"/>
  <c r="BI18" i="3" s="1"/>
  <c r="BC683" i="3"/>
  <c r="BG683" i="3" s="1"/>
  <c r="BH683" i="3" s="1"/>
  <c r="BI683" i="3" s="1"/>
  <c r="AU51" i="3"/>
  <c r="BC28" i="3"/>
  <c r="BG28" i="3" s="1"/>
  <c r="BH28" i="3" s="1"/>
  <c r="BI28" i="3" s="1"/>
  <c r="BG27" i="3"/>
  <c r="BH27" i="3" s="1"/>
  <c r="BI27" i="3" s="1"/>
  <c r="BC19" i="3"/>
  <c r="BD19" i="3" s="1"/>
  <c r="BC25" i="3"/>
  <c r="BD25" i="3" s="1"/>
  <c r="BC16" i="3"/>
  <c r="BD16" i="3" s="1"/>
  <c r="BC26" i="3"/>
  <c r="BD26" i="3" s="1"/>
  <c r="BC33" i="3"/>
  <c r="BG33" i="3" s="1"/>
  <c r="BH33" i="3" s="1"/>
  <c r="BI33" i="3" s="1"/>
  <c r="BC34" i="3"/>
  <c r="BD34" i="3" s="1"/>
  <c r="BC9" i="3"/>
  <c r="BG9" i="3" s="1"/>
  <c r="BH9" i="3" s="1"/>
  <c r="BI9" i="3" s="1"/>
  <c r="BC38" i="3"/>
  <c r="BD38" i="3" s="1"/>
  <c r="BC50" i="3"/>
  <c r="BG50" i="3" s="1"/>
  <c r="BH50" i="3" s="1"/>
  <c r="BI50" i="3" s="1"/>
  <c r="BC682" i="3"/>
  <c r="BD682" i="3" s="1"/>
  <c r="BQ49" i="3"/>
  <c r="BB49" i="3"/>
  <c r="AX51" i="3"/>
  <c r="AT685" i="3"/>
  <c r="BC37" i="3"/>
  <c r="BG37" i="3" s="1"/>
  <c r="BH37" i="3" s="1"/>
  <c r="BI37" i="3" s="1"/>
  <c r="BC23" i="3"/>
  <c r="BD23" i="3" s="1"/>
  <c r="AU686" i="3"/>
  <c r="AT51" i="3"/>
  <c r="AV51" i="3" s="1"/>
  <c r="BD49" i="3"/>
  <c r="BC41" i="3"/>
  <c r="BD41" i="3" s="1"/>
  <c r="BC13" i="3"/>
  <c r="BG13" i="3" s="1"/>
  <c r="BH13" i="3" s="1"/>
  <c r="BI13" i="3" s="1"/>
  <c r="AX687" i="3"/>
  <c r="AT686" i="3"/>
  <c r="AX685" i="3"/>
  <c r="BC24" i="3"/>
  <c r="BD24" i="3" s="1"/>
  <c r="BC20" i="3"/>
  <c r="BD20" i="3" s="1"/>
  <c r="BC46" i="3"/>
  <c r="BD46" i="3" s="1"/>
  <c r="BC35" i="3"/>
  <c r="BD35" i="3" s="1"/>
  <c r="BC30" i="3"/>
  <c r="BD30" i="3" s="1"/>
  <c r="BC45" i="3"/>
  <c r="BD45" i="3" s="1"/>
  <c r="BC17" i="3"/>
  <c r="BG17" i="3" s="1"/>
  <c r="BH17" i="3" s="1"/>
  <c r="BI17" i="3" s="1"/>
  <c r="BC21" i="3"/>
  <c r="BG21" i="3" s="1"/>
  <c r="BH21" i="3" s="1"/>
  <c r="BI21" i="3" s="1"/>
  <c r="BC12" i="3"/>
  <c r="BG12" i="3" s="1"/>
  <c r="BH12" i="3" s="1"/>
  <c r="BI12" i="3" s="1"/>
  <c r="AG52" i="3"/>
  <c r="AW685" i="3"/>
  <c r="AX686" i="3"/>
  <c r="BC10" i="3"/>
  <c r="BD10" i="3" s="1"/>
  <c r="BD29" i="3"/>
  <c r="BG29" i="3"/>
  <c r="BH29" i="3" s="1"/>
  <c r="BI29" i="3" s="1"/>
  <c r="BF16" i="3"/>
  <c r="BB16" i="3"/>
  <c r="BQ16" i="3"/>
  <c r="BG40" i="3"/>
  <c r="BH40" i="3" s="1"/>
  <c r="BI40" i="3" s="1"/>
  <c r="BD40" i="3"/>
  <c r="BF47" i="3"/>
  <c r="BB47" i="3"/>
  <c r="BQ47" i="3"/>
  <c r="BB30" i="3"/>
  <c r="BQ30" i="3"/>
  <c r="BF30" i="3"/>
  <c r="BQ25" i="3"/>
  <c r="BB25" i="3"/>
  <c r="BF25" i="3"/>
  <c r="AT684" i="3"/>
  <c r="AW684" i="3"/>
  <c r="BD42" i="3"/>
  <c r="BG42" i="3"/>
  <c r="BH42" i="3" s="1"/>
  <c r="BI42" i="3" s="1"/>
  <c r="BF682" i="3"/>
  <c r="BB682" i="3"/>
  <c r="BQ50" i="3"/>
  <c r="BF50" i="3"/>
  <c r="BJ49" i="3" s="1"/>
  <c r="BK49" i="3" s="1"/>
  <c r="BB50" i="3"/>
  <c r="BQ41" i="3"/>
  <c r="BB41" i="3"/>
  <c r="BF41" i="3"/>
  <c r="BQ33" i="3"/>
  <c r="BB33" i="3"/>
  <c r="BF33" i="3"/>
  <c r="BF18" i="3"/>
  <c r="BQ18" i="3"/>
  <c r="BB18" i="3"/>
  <c r="BB42" i="3"/>
  <c r="BF42" i="3"/>
  <c r="BQ42" i="3"/>
  <c r="BB21" i="3"/>
  <c r="BF21" i="3"/>
  <c r="BQ21" i="3"/>
  <c r="BB45" i="3"/>
  <c r="BF45" i="3"/>
  <c r="BQ45" i="3"/>
  <c r="BQ40" i="3"/>
  <c r="BB40" i="3"/>
  <c r="BF40" i="3"/>
  <c r="AR53" i="3"/>
  <c r="AQ53" i="3"/>
  <c r="A54" i="3"/>
  <c r="B53" i="3"/>
  <c r="D53" i="3"/>
  <c r="C53" i="3"/>
  <c r="G53" i="3"/>
  <c r="H53" i="3" s="1"/>
  <c r="BN53" i="3" s="1"/>
  <c r="F53" i="3"/>
  <c r="Q53" i="3"/>
  <c r="S53" i="3"/>
  <c r="O53" i="3"/>
  <c r="U53" i="3"/>
  <c r="AE53" i="3"/>
  <c r="AF53" i="3"/>
  <c r="AD53" i="3"/>
  <c r="AH53" i="3" s="1"/>
  <c r="M53" i="3"/>
  <c r="AM53" i="3"/>
  <c r="AK53" i="3"/>
  <c r="T53" i="3"/>
  <c r="P53" i="3"/>
  <c r="R53" i="3"/>
  <c r="V53" i="3"/>
  <c r="BD18" i="3"/>
  <c r="BB31" i="3"/>
  <c r="BQ31" i="3"/>
  <c r="BF31" i="3"/>
  <c r="BF26" i="3"/>
  <c r="BQ26" i="3"/>
  <c r="BB26" i="3"/>
  <c r="BB12" i="3"/>
  <c r="BQ12" i="3"/>
  <c r="BF12" i="3"/>
  <c r="BC39" i="3"/>
  <c r="BD31" i="3"/>
  <c r="BG31" i="3"/>
  <c r="BH31" i="3" s="1"/>
  <c r="BI31" i="3" s="1"/>
  <c r="BG23" i="3"/>
  <c r="BH23" i="3" s="1"/>
  <c r="BI23" i="3" s="1"/>
  <c r="BC48" i="3"/>
  <c r="BB39" i="3"/>
  <c r="BQ39" i="3"/>
  <c r="BF39" i="3"/>
  <c r="BF20" i="3"/>
  <c r="BQ20" i="3"/>
  <c r="BB20" i="3"/>
  <c r="AW687" i="3"/>
  <c r="Y52" i="3"/>
  <c r="Z52" i="3" s="1"/>
  <c r="BF48" i="3"/>
  <c r="BQ48" i="3"/>
  <c r="BB48" i="3"/>
  <c r="BQ35" i="3"/>
  <c r="BF35" i="3"/>
  <c r="BB35" i="3"/>
  <c r="AU684" i="3"/>
  <c r="BQ24" i="3"/>
  <c r="BB24" i="3"/>
  <c r="BF24" i="3"/>
  <c r="BB29" i="3"/>
  <c r="BQ29" i="3"/>
  <c r="BF29" i="3"/>
  <c r="BD47" i="3"/>
  <c r="BG47" i="3"/>
  <c r="BH47" i="3" s="1"/>
  <c r="BI47" i="3" s="1"/>
  <c r="BB683" i="3"/>
  <c r="BF683" i="3"/>
  <c r="BD22" i="3"/>
  <c r="BG22" i="3"/>
  <c r="BH22" i="3" s="1"/>
  <c r="BI22" i="3" s="1"/>
  <c r="BC36" i="3"/>
  <c r="BF27" i="3"/>
  <c r="BB27" i="3"/>
  <c r="BQ27" i="3"/>
  <c r="BQ14" i="3"/>
  <c r="BB14" i="3"/>
  <c r="BF14" i="3"/>
  <c r="BB23" i="3"/>
  <c r="BQ23" i="3"/>
  <c r="BF23" i="3"/>
  <c r="BQ37" i="3"/>
  <c r="BB37" i="3"/>
  <c r="BF37" i="3"/>
  <c r="AN52" i="3"/>
  <c r="BQ22" i="3"/>
  <c r="BB22" i="3"/>
  <c r="BF22" i="3"/>
  <c r="BF36" i="3"/>
  <c r="BB36" i="3"/>
  <c r="BQ36" i="3"/>
  <c r="AU687" i="3"/>
  <c r="BC14" i="3"/>
  <c r="BB9" i="3"/>
  <c r="BF9" i="3"/>
  <c r="BQ9" i="3"/>
  <c r="BC43" i="3"/>
  <c r="BB32" i="3"/>
  <c r="BQ32" i="3"/>
  <c r="BF32" i="3"/>
  <c r="BQ19" i="3"/>
  <c r="BB19" i="3"/>
  <c r="BF19" i="3"/>
  <c r="BD32" i="3"/>
  <c r="BG32" i="3"/>
  <c r="BH32" i="3" s="1"/>
  <c r="BI32" i="3" s="1"/>
  <c r="BD15" i="3"/>
  <c r="BG15" i="3"/>
  <c r="BH15" i="3" s="1"/>
  <c r="BI15" i="3" s="1"/>
  <c r="AW51" i="3"/>
  <c r="BF46" i="3"/>
  <c r="BB46" i="3"/>
  <c r="BQ46" i="3"/>
  <c r="BQ34" i="3"/>
  <c r="BB34" i="3"/>
  <c r="BF34" i="3"/>
  <c r="AH52" i="3"/>
  <c r="BB38" i="3"/>
  <c r="BQ38" i="3"/>
  <c r="BF38" i="3"/>
  <c r="AW686" i="3"/>
  <c r="AX684" i="3"/>
  <c r="BQ28" i="3"/>
  <c r="BB28" i="3"/>
  <c r="BF28" i="3"/>
  <c r="BD44" i="3"/>
  <c r="BG44" i="3"/>
  <c r="BH44" i="3" s="1"/>
  <c r="BI44" i="3" s="1"/>
  <c r="BF11" i="3"/>
  <c r="BQ11" i="3"/>
  <c r="BB11" i="3"/>
  <c r="BB17" i="3"/>
  <c r="BF17" i="3"/>
  <c r="BQ17" i="3"/>
  <c r="BB13" i="3"/>
  <c r="BQ13" i="3"/>
  <c r="BF13" i="3"/>
  <c r="BQ44" i="3"/>
  <c r="BB44" i="3"/>
  <c r="BF44" i="3"/>
  <c r="BF43" i="3"/>
  <c r="BB43" i="3"/>
  <c r="BQ43" i="3"/>
  <c r="X52" i="3"/>
  <c r="BC11" i="3"/>
  <c r="BQ15" i="3"/>
  <c r="BF15" i="3"/>
  <c r="BB15" i="3"/>
  <c r="BQ10" i="3"/>
  <c r="BB10" i="3"/>
  <c r="BF10" i="3"/>
  <c r="AT687" i="3"/>
  <c r="AU685" i="3"/>
  <c r="BG19" i="3" l="1"/>
  <c r="BH19" i="3" s="1"/>
  <c r="BI19" i="3" s="1"/>
  <c r="BD683" i="3"/>
  <c r="BD28" i="3"/>
  <c r="AO53" i="3"/>
  <c r="BD9" i="3"/>
  <c r="BM53" i="3"/>
  <c r="BD50" i="3"/>
  <c r="BG682" i="3"/>
  <c r="BH682" i="3" s="1"/>
  <c r="BI682" i="3" s="1"/>
  <c r="BG26" i="3"/>
  <c r="BH26" i="3" s="1"/>
  <c r="BI26" i="3" s="1"/>
  <c r="BG25" i="3"/>
  <c r="BH25" i="3" s="1"/>
  <c r="BI25" i="3" s="1"/>
  <c r="BD33" i="3"/>
  <c r="BG16" i="3"/>
  <c r="BH16" i="3" s="1"/>
  <c r="BI16" i="3" s="1"/>
  <c r="BD13" i="3"/>
  <c r="BG41" i="3"/>
  <c r="BH41" i="3" s="1"/>
  <c r="BI41" i="3" s="1"/>
  <c r="BG34" i="3"/>
  <c r="BH34" i="3" s="1"/>
  <c r="BI34" i="3" s="1"/>
  <c r="BJ42" i="3"/>
  <c r="BK42" i="3" s="1"/>
  <c r="BA51" i="3"/>
  <c r="BQ51" i="3" s="1"/>
  <c r="AV686" i="3"/>
  <c r="BG38" i="3"/>
  <c r="BH38" i="3" s="1"/>
  <c r="BI38" i="3" s="1"/>
  <c r="BD37" i="3"/>
  <c r="AY686" i="3"/>
  <c r="BG35" i="3"/>
  <c r="BH35" i="3" s="1"/>
  <c r="BI35" i="3" s="1"/>
  <c r="AY687" i="3"/>
  <c r="BG46" i="3"/>
  <c r="BH46" i="3" s="1"/>
  <c r="BI46" i="3" s="1"/>
  <c r="BD21" i="3"/>
  <c r="BG24" i="3"/>
  <c r="BH24" i="3" s="1"/>
  <c r="BI24" i="3" s="1"/>
  <c r="BG10" i="3"/>
  <c r="BH10" i="3" s="1"/>
  <c r="BI10" i="3" s="1"/>
  <c r="AY685" i="3"/>
  <c r="BG45" i="3"/>
  <c r="BH45" i="3" s="1"/>
  <c r="BI45" i="3" s="1"/>
  <c r="AW52" i="3"/>
  <c r="BD12" i="3"/>
  <c r="BD17" i="3"/>
  <c r="BG30" i="3"/>
  <c r="BH30" i="3" s="1"/>
  <c r="BI30" i="3" s="1"/>
  <c r="BA685" i="3"/>
  <c r="BB685" i="3" s="1"/>
  <c r="BG20" i="3"/>
  <c r="BH20" i="3" s="1"/>
  <c r="BI20" i="3" s="1"/>
  <c r="X53" i="3"/>
  <c r="AV684" i="3"/>
  <c r="BJ18" i="3"/>
  <c r="BK18" i="3" s="1"/>
  <c r="BJ30" i="3"/>
  <c r="BK30" i="3" s="1"/>
  <c r="BJ22" i="3"/>
  <c r="BK22" i="3" s="1"/>
  <c r="BJ16" i="3"/>
  <c r="BK16" i="3" s="1"/>
  <c r="BJ35" i="3"/>
  <c r="BK35" i="3" s="1"/>
  <c r="BJ19" i="3"/>
  <c r="BK19" i="3" s="1"/>
  <c r="BJ9" i="3"/>
  <c r="BK9" i="3" s="1"/>
  <c r="BJ40" i="3"/>
  <c r="BK40" i="3" s="1"/>
  <c r="BJ47" i="3"/>
  <c r="BK47" i="3" s="1"/>
  <c r="BJ31" i="3"/>
  <c r="BK31" i="3" s="1"/>
  <c r="BJ27" i="3"/>
  <c r="BK27" i="3" s="1"/>
  <c r="BJ21" i="3"/>
  <c r="BK21" i="3" s="1"/>
  <c r="BJ37" i="3"/>
  <c r="BK37" i="3" s="1"/>
  <c r="BJ26" i="3"/>
  <c r="BK26" i="3" s="1"/>
  <c r="BJ25" i="3"/>
  <c r="BK25" i="3" s="1"/>
  <c r="BJ46" i="3"/>
  <c r="BK46" i="3" s="1"/>
  <c r="BJ32" i="3"/>
  <c r="BK32" i="3" s="1"/>
  <c r="AV687" i="3"/>
  <c r="BA687" i="3"/>
  <c r="BJ44" i="3"/>
  <c r="BK44" i="3" s="1"/>
  <c r="AY684" i="3"/>
  <c r="AG53" i="3"/>
  <c r="BD43" i="3"/>
  <c r="BG43" i="3"/>
  <c r="BH43" i="3" s="1"/>
  <c r="BI43" i="3" s="1"/>
  <c r="BJ20" i="3"/>
  <c r="BK20" i="3" s="1"/>
  <c r="BA684" i="3"/>
  <c r="BJ43" i="3"/>
  <c r="BK43" i="3" s="1"/>
  <c r="BJ24" i="3"/>
  <c r="BK24" i="3" s="1"/>
  <c r="BJ13" i="3"/>
  <c r="BK13" i="3" s="1"/>
  <c r="BJ12" i="3"/>
  <c r="BK12" i="3" s="1"/>
  <c r="BJ23" i="3"/>
  <c r="BK23" i="3" s="1"/>
  <c r="BJ15" i="3"/>
  <c r="BK15" i="3" s="1"/>
  <c r="AX52" i="3"/>
  <c r="BJ38" i="3"/>
  <c r="BK38" i="3" s="1"/>
  <c r="BD39" i="3"/>
  <c r="BG39" i="3"/>
  <c r="BH39" i="3" s="1"/>
  <c r="BI39" i="3" s="1"/>
  <c r="Y53" i="3"/>
  <c r="Z53" i="3" s="1"/>
  <c r="BJ41" i="3"/>
  <c r="BK41" i="3" s="1"/>
  <c r="BJ28" i="3"/>
  <c r="BK28" i="3" s="1"/>
  <c r="BJ11" i="3"/>
  <c r="BK11" i="3" s="1"/>
  <c r="BJ29" i="3"/>
  <c r="BK29" i="3" s="1"/>
  <c r="BJ14" i="3"/>
  <c r="BK14" i="3" s="1"/>
  <c r="BJ48" i="3"/>
  <c r="BK48" i="3" s="1"/>
  <c r="BD36" i="3"/>
  <c r="BG36" i="3"/>
  <c r="BH36" i="3" s="1"/>
  <c r="BI36" i="3" s="1"/>
  <c r="BJ45" i="3"/>
  <c r="BK45" i="3" s="1"/>
  <c r="BJ33" i="3"/>
  <c r="BK33" i="3" s="1"/>
  <c r="AU52" i="3"/>
  <c r="BD48" i="3"/>
  <c r="BG48" i="3"/>
  <c r="BH48" i="3" s="1"/>
  <c r="BI48" i="3" s="1"/>
  <c r="A55" i="3"/>
  <c r="AR54" i="3"/>
  <c r="AQ54" i="3"/>
  <c r="B54" i="3"/>
  <c r="C54" i="3"/>
  <c r="D54" i="3"/>
  <c r="F54" i="3"/>
  <c r="G54" i="3"/>
  <c r="H54" i="3" s="1"/>
  <c r="BN54" i="3" s="1"/>
  <c r="Q54" i="3"/>
  <c r="S54" i="3"/>
  <c r="O54" i="3"/>
  <c r="U54" i="3"/>
  <c r="M54" i="3"/>
  <c r="AF54" i="3"/>
  <c r="AD54" i="3"/>
  <c r="AE54" i="3"/>
  <c r="AG54" i="3" s="1"/>
  <c r="AK54" i="3"/>
  <c r="AM54" i="3"/>
  <c r="P54" i="3"/>
  <c r="V54" i="3"/>
  <c r="R54" i="3"/>
  <c r="T54" i="3"/>
  <c r="BJ17" i="3"/>
  <c r="BK17" i="3" s="1"/>
  <c r="AY51" i="3"/>
  <c r="BC51" i="3" s="1"/>
  <c r="BJ10" i="3"/>
  <c r="BK10" i="3" s="1"/>
  <c r="BA686" i="3"/>
  <c r="BD11" i="3"/>
  <c r="BG11" i="3"/>
  <c r="BH11" i="3" s="1"/>
  <c r="BI11" i="3" s="1"/>
  <c r="BJ36" i="3"/>
  <c r="BK36" i="3" s="1"/>
  <c r="BJ34" i="3"/>
  <c r="BK34" i="3" s="1"/>
  <c r="AV685" i="3"/>
  <c r="AN53" i="3"/>
  <c r="AT52" i="3"/>
  <c r="BD14" i="3"/>
  <c r="BG14" i="3"/>
  <c r="BH14" i="3" s="1"/>
  <c r="BI14" i="3" s="1"/>
  <c r="BJ39" i="3"/>
  <c r="BK39" i="3" s="1"/>
  <c r="BF51" i="3" l="1"/>
  <c r="BJ50" i="3" s="1"/>
  <c r="BK50" i="3" s="1"/>
  <c r="BB51" i="3"/>
  <c r="BC687" i="3"/>
  <c r="BD687" i="3" s="1"/>
  <c r="BC686" i="3"/>
  <c r="BD686" i="3" s="1"/>
  <c r="BM54" i="3"/>
  <c r="BF685" i="3"/>
  <c r="BC685" i="3"/>
  <c r="BG685" i="3" s="1"/>
  <c r="BH685" i="3" s="1"/>
  <c r="BI685" i="3" s="1"/>
  <c r="AY52" i="3"/>
  <c r="AW53" i="3"/>
  <c r="BC684" i="3"/>
  <c r="BD684" i="3" s="1"/>
  <c r="AO54" i="3"/>
  <c r="BD51" i="3"/>
  <c r="BG51" i="3"/>
  <c r="BH51" i="3" s="1"/>
  <c r="BI51" i="3" s="1"/>
  <c r="AQ55" i="3"/>
  <c r="AR55" i="3"/>
  <c r="A56" i="3"/>
  <c r="B55" i="3"/>
  <c r="D55" i="3"/>
  <c r="C55" i="3"/>
  <c r="G55" i="3"/>
  <c r="H55" i="3" s="1"/>
  <c r="F55" i="3"/>
  <c r="Q55" i="3"/>
  <c r="S55" i="3"/>
  <c r="O55" i="3"/>
  <c r="U55" i="3"/>
  <c r="AF55" i="3"/>
  <c r="AE55" i="3"/>
  <c r="AD55" i="3"/>
  <c r="M55" i="3"/>
  <c r="AK55" i="3"/>
  <c r="AM55" i="3"/>
  <c r="AN55" i="3" s="1"/>
  <c r="T55" i="3"/>
  <c r="P55" i="3"/>
  <c r="R55" i="3"/>
  <c r="V55" i="3"/>
  <c r="AH54" i="3"/>
  <c r="AT53" i="3"/>
  <c r="AX53" i="3"/>
  <c r="BF687" i="3"/>
  <c r="BB687" i="3"/>
  <c r="X54" i="3"/>
  <c r="AU53" i="3"/>
  <c r="Y54" i="3"/>
  <c r="Z54" i="3" s="1"/>
  <c r="BA52" i="3"/>
  <c r="AV52" i="3"/>
  <c r="BF684" i="3"/>
  <c r="BB684" i="3"/>
  <c r="BB686" i="3"/>
  <c r="BF686" i="3"/>
  <c r="AN54" i="3"/>
  <c r="BD685" i="3" l="1"/>
  <c r="BG684" i="3"/>
  <c r="BH684" i="3" s="1"/>
  <c r="BI684" i="3" s="1"/>
  <c r="BG687" i="3"/>
  <c r="BH687" i="3" s="1"/>
  <c r="BI687" i="3" s="1"/>
  <c r="AY53" i="3"/>
  <c r="BN55" i="3"/>
  <c r="BG686" i="3"/>
  <c r="BH686" i="3" s="1"/>
  <c r="BI686" i="3" s="1"/>
  <c r="AX54" i="3"/>
  <c r="BM55" i="3"/>
  <c r="BC52" i="3"/>
  <c r="AU54" i="3"/>
  <c r="X55" i="3"/>
  <c r="AG55" i="3"/>
  <c r="BD52" i="3"/>
  <c r="BG52" i="3"/>
  <c r="BH52" i="3" s="1"/>
  <c r="BI52" i="3" s="1"/>
  <c r="AW54" i="3"/>
  <c r="BQ52" i="3"/>
  <c r="BB52" i="3"/>
  <c r="BF52" i="3"/>
  <c r="BJ51" i="3" s="1"/>
  <c r="AT54" i="3"/>
  <c r="AH55" i="3"/>
  <c r="Y55" i="3"/>
  <c r="Z55" i="3" s="1"/>
  <c r="AR56" i="3"/>
  <c r="B56" i="3"/>
  <c r="AQ56" i="3"/>
  <c r="A57" i="3"/>
  <c r="D56" i="3"/>
  <c r="C56" i="3"/>
  <c r="G56" i="3"/>
  <c r="H56" i="3" s="1"/>
  <c r="BN56" i="3" s="1"/>
  <c r="F56" i="3"/>
  <c r="BM56" i="3" s="1"/>
  <c r="Q56" i="3"/>
  <c r="S56" i="3"/>
  <c r="O56" i="3"/>
  <c r="U56" i="3"/>
  <c r="AF56" i="3"/>
  <c r="M56" i="3"/>
  <c r="AE56" i="3"/>
  <c r="AD56" i="3"/>
  <c r="AM56" i="3"/>
  <c r="AK56" i="3"/>
  <c r="R56" i="3"/>
  <c r="P56" i="3"/>
  <c r="V56" i="3"/>
  <c r="T56" i="3"/>
  <c r="AO55" i="3"/>
  <c r="AV53" i="3"/>
  <c r="BC53" i="3" s="1"/>
  <c r="BA53" i="3"/>
  <c r="AX55" i="3" l="1"/>
  <c r="AY54" i="3"/>
  <c r="AN56" i="3"/>
  <c r="AO56" i="3"/>
  <c r="X56" i="3"/>
  <c r="BK51" i="3"/>
  <c r="BD53" i="3"/>
  <c r="BG53" i="3"/>
  <c r="BH53" i="3" s="1"/>
  <c r="BI53" i="3" s="1"/>
  <c r="AT55" i="3"/>
  <c r="AG56" i="3"/>
  <c r="AU55" i="3"/>
  <c r="AV55" i="3" s="1"/>
  <c r="AW55" i="3"/>
  <c r="AY55" i="3" s="1"/>
  <c r="BC55" i="3" s="1"/>
  <c r="AH56" i="3"/>
  <c r="AX56" i="3" s="1"/>
  <c r="BA54" i="3"/>
  <c r="AV54" i="3"/>
  <c r="BC54" i="3" s="1"/>
  <c r="BB53" i="3"/>
  <c r="BQ53" i="3"/>
  <c r="BF53" i="3"/>
  <c r="BJ52" i="3" s="1"/>
  <c r="BK52" i="3" s="1"/>
  <c r="Y56" i="3"/>
  <c r="Z56" i="3" s="1"/>
  <c r="AQ57" i="3"/>
  <c r="AR57" i="3"/>
  <c r="A58" i="3"/>
  <c r="B57" i="3"/>
  <c r="C57" i="3"/>
  <c r="D57" i="3"/>
  <c r="G57" i="3"/>
  <c r="H57" i="3" s="1"/>
  <c r="BN57" i="3" s="1"/>
  <c r="F57" i="3"/>
  <c r="BM57" i="3" s="1"/>
  <c r="Q57" i="3"/>
  <c r="S57" i="3"/>
  <c r="O57" i="3"/>
  <c r="U57" i="3"/>
  <c r="M57" i="3"/>
  <c r="AF57" i="3"/>
  <c r="AE57" i="3"/>
  <c r="AD57" i="3"/>
  <c r="AM57" i="3"/>
  <c r="AK57" i="3"/>
  <c r="V57" i="3"/>
  <c r="T57" i="3"/>
  <c r="R57" i="3"/>
  <c r="P57" i="3"/>
  <c r="AO57" i="3" l="1"/>
  <c r="X57" i="3"/>
  <c r="BB54" i="3"/>
  <c r="BF54" i="3"/>
  <c r="BQ54" i="3"/>
  <c r="BD55" i="3"/>
  <c r="BG55" i="3"/>
  <c r="BH55" i="3" s="1"/>
  <c r="BI55" i="3" s="1"/>
  <c r="AU56" i="3"/>
  <c r="A59" i="3"/>
  <c r="AR58" i="3"/>
  <c r="AQ58" i="3"/>
  <c r="B58" i="3"/>
  <c r="C58" i="3"/>
  <c r="D58" i="3"/>
  <c r="G58" i="3"/>
  <c r="H58" i="3" s="1"/>
  <c r="BN58" i="3" s="1"/>
  <c r="F58" i="3"/>
  <c r="BM58" i="3" s="1"/>
  <c r="Q58" i="3"/>
  <c r="S58" i="3"/>
  <c r="O58" i="3"/>
  <c r="U58" i="3"/>
  <c r="AD58" i="3"/>
  <c r="AF58" i="3"/>
  <c r="M58" i="3"/>
  <c r="AE58" i="3"/>
  <c r="AM58" i="3"/>
  <c r="AK58" i="3"/>
  <c r="V58" i="3"/>
  <c r="T58" i="3"/>
  <c r="P58" i="3"/>
  <c r="R58" i="3"/>
  <c r="BA55" i="3"/>
  <c r="AU57" i="3"/>
  <c r="BD54" i="3"/>
  <c r="BG54" i="3"/>
  <c r="BH54" i="3" s="1"/>
  <c r="BI54" i="3" s="1"/>
  <c r="AW56" i="3"/>
  <c r="AY56" i="3" s="1"/>
  <c r="AH57" i="3"/>
  <c r="AT56" i="3"/>
  <c r="Y57" i="3"/>
  <c r="Z57" i="3" s="1"/>
  <c r="AN57" i="3"/>
  <c r="AG57" i="3"/>
  <c r="AG58" i="3" l="1"/>
  <c r="AN58" i="3"/>
  <c r="BF55" i="3"/>
  <c r="BJ54" i="3" s="1"/>
  <c r="BK54" i="3" s="1"/>
  <c r="BB55" i="3"/>
  <c r="BQ55" i="3"/>
  <c r="Y58" i="3"/>
  <c r="Z58" i="3" s="1"/>
  <c r="AW57" i="3"/>
  <c r="AO58" i="3"/>
  <c r="AQ59" i="3"/>
  <c r="AR59" i="3"/>
  <c r="A60" i="3"/>
  <c r="B59" i="3"/>
  <c r="C59" i="3"/>
  <c r="D59" i="3"/>
  <c r="F59" i="3"/>
  <c r="BM59" i="3" s="1"/>
  <c r="G59" i="3"/>
  <c r="H59" i="3" s="1"/>
  <c r="S59" i="3"/>
  <c r="Q59" i="3"/>
  <c r="O59" i="3"/>
  <c r="U59" i="3"/>
  <c r="AF59" i="3"/>
  <c r="AD59" i="3"/>
  <c r="M59" i="3"/>
  <c r="AE59" i="3"/>
  <c r="AK59" i="3"/>
  <c r="AM59" i="3"/>
  <c r="V59" i="3"/>
  <c r="P59" i="3"/>
  <c r="T59" i="3"/>
  <c r="R59" i="3"/>
  <c r="AT57" i="3"/>
  <c r="BA56" i="3"/>
  <c r="AV56" i="3"/>
  <c r="BC56" i="3" s="1"/>
  <c r="AX57" i="3"/>
  <c r="AH58" i="3"/>
  <c r="X58" i="3"/>
  <c r="BJ53" i="3"/>
  <c r="AN59" i="3" l="1"/>
  <c r="AG59" i="3"/>
  <c r="AT58" i="3"/>
  <c r="AO59" i="3"/>
  <c r="AH59" i="3"/>
  <c r="AU59" i="3" s="1"/>
  <c r="AX58" i="3"/>
  <c r="BA57" i="3"/>
  <c r="AV57" i="3"/>
  <c r="Y59" i="3"/>
  <c r="Z59" i="3" s="1"/>
  <c r="AR60" i="3"/>
  <c r="B60" i="3"/>
  <c r="AQ60" i="3"/>
  <c r="A61" i="3"/>
  <c r="C60" i="3"/>
  <c r="D60" i="3"/>
  <c r="G60" i="3"/>
  <c r="H60" i="3" s="1"/>
  <c r="BN60" i="3" s="1"/>
  <c r="F60" i="3"/>
  <c r="Q60" i="3"/>
  <c r="S60" i="3"/>
  <c r="O60" i="3"/>
  <c r="U60" i="3"/>
  <c r="AF60" i="3"/>
  <c r="AE60" i="3"/>
  <c r="AD60" i="3"/>
  <c r="M60" i="3"/>
  <c r="AK60" i="3"/>
  <c r="AM60" i="3"/>
  <c r="V60" i="3"/>
  <c r="T60" i="3"/>
  <c r="R60" i="3"/>
  <c r="P60" i="3"/>
  <c r="BK53" i="3"/>
  <c r="X59" i="3"/>
  <c r="BD56" i="3"/>
  <c r="BG56" i="3"/>
  <c r="BH56" i="3" s="1"/>
  <c r="BI56" i="3" s="1"/>
  <c r="AU58" i="3"/>
  <c r="AY57" i="3"/>
  <c r="BB56" i="3"/>
  <c r="BF56" i="3"/>
  <c r="BJ55" i="3" s="1"/>
  <c r="BK55" i="3" s="1"/>
  <c r="BQ56" i="3"/>
  <c r="AW58" i="3"/>
  <c r="BN59" i="3"/>
  <c r="AY58" i="3" l="1"/>
  <c r="AW59" i="3"/>
  <c r="AN60" i="3"/>
  <c r="AX59" i="3"/>
  <c r="AY59" i="3" s="1"/>
  <c r="AG60" i="3"/>
  <c r="BA58" i="3"/>
  <c r="BB58" i="3" s="1"/>
  <c r="AT59" i="3"/>
  <c r="AV59" i="3" s="1"/>
  <c r="AQ61" i="3"/>
  <c r="A62" i="3"/>
  <c r="B61" i="3"/>
  <c r="D61" i="3"/>
  <c r="AR61" i="3"/>
  <c r="C61" i="3"/>
  <c r="F61" i="3"/>
  <c r="G61" i="3"/>
  <c r="H61" i="3" s="1"/>
  <c r="BN61" i="3" s="1"/>
  <c r="Q61" i="3"/>
  <c r="S61" i="3"/>
  <c r="O61" i="3"/>
  <c r="U61" i="3"/>
  <c r="AF61" i="3"/>
  <c r="AE61" i="3"/>
  <c r="AD61" i="3"/>
  <c r="M61" i="3"/>
  <c r="AK61" i="3"/>
  <c r="AM61" i="3"/>
  <c r="P61" i="3"/>
  <c r="R61" i="3"/>
  <c r="V61" i="3"/>
  <c r="T61" i="3"/>
  <c r="AO60" i="3"/>
  <c r="AH60" i="3"/>
  <c r="BB57" i="3"/>
  <c r="BQ57" i="3"/>
  <c r="BF57" i="3"/>
  <c r="BJ56" i="3" s="1"/>
  <c r="BK56" i="3" s="1"/>
  <c r="X60" i="3"/>
  <c r="Y60" i="3"/>
  <c r="Z60" i="3" s="1"/>
  <c r="BC57" i="3"/>
  <c r="AV58" i="3"/>
  <c r="BC58" i="3" s="1"/>
  <c r="BM60" i="3"/>
  <c r="AX60" i="3" l="1"/>
  <c r="AH61" i="3"/>
  <c r="BF58" i="3"/>
  <c r="BQ58" i="3"/>
  <c r="BC59" i="3"/>
  <c r="BD59" i="3" s="1"/>
  <c r="BA59" i="3"/>
  <c r="BQ59" i="3" s="1"/>
  <c r="AN61" i="3"/>
  <c r="X61" i="3"/>
  <c r="BG59" i="3"/>
  <c r="BH59" i="3" s="1"/>
  <c r="BI59" i="3" s="1"/>
  <c r="AW60" i="3"/>
  <c r="AY60" i="3" s="1"/>
  <c r="AT60" i="3"/>
  <c r="Y61" i="3"/>
  <c r="Z61" i="3" s="1"/>
  <c r="B62" i="3"/>
  <c r="A63" i="3"/>
  <c r="AR62" i="3"/>
  <c r="AQ62" i="3"/>
  <c r="C62" i="3"/>
  <c r="D62" i="3"/>
  <c r="G62" i="3"/>
  <c r="H62" i="3" s="1"/>
  <c r="F62" i="3"/>
  <c r="Q62" i="3"/>
  <c r="S62" i="3"/>
  <c r="O62" i="3"/>
  <c r="U62" i="3"/>
  <c r="AF62" i="3"/>
  <c r="M62" i="3"/>
  <c r="AD62" i="3"/>
  <c r="AE62" i="3"/>
  <c r="AM62" i="3"/>
  <c r="AK62" i="3"/>
  <c r="T62" i="3"/>
  <c r="R62" i="3"/>
  <c r="P62" i="3"/>
  <c r="V62" i="3"/>
  <c r="AG61" i="3"/>
  <c r="AT61" i="3" s="1"/>
  <c r="BM61" i="3"/>
  <c r="BD58" i="3"/>
  <c r="BG58" i="3"/>
  <c r="BH58" i="3" s="1"/>
  <c r="BI58" i="3" s="1"/>
  <c r="BD57" i="3"/>
  <c r="BG57" i="3"/>
  <c r="BH57" i="3" s="1"/>
  <c r="BI57" i="3" s="1"/>
  <c r="AO61" i="3"/>
  <c r="AU60" i="3"/>
  <c r="BJ57" i="3"/>
  <c r="BK57" i="3" s="1"/>
  <c r="AG62" i="3" l="1"/>
  <c r="BB59" i="3"/>
  <c r="BF59" i="3"/>
  <c r="BJ58" i="3" s="1"/>
  <c r="BK58" i="3" s="1"/>
  <c r="AO62" i="3"/>
  <c r="AU61" i="3"/>
  <c r="AV61" i="3" s="1"/>
  <c r="BN62" i="3"/>
  <c r="Y62" i="3"/>
  <c r="Z62" i="3" s="1"/>
  <c r="AQ63" i="3"/>
  <c r="AR63" i="3"/>
  <c r="A64" i="3"/>
  <c r="B63" i="3"/>
  <c r="C63" i="3"/>
  <c r="D63" i="3"/>
  <c r="G63" i="3"/>
  <c r="H63" i="3" s="1"/>
  <c r="BN63" i="3" s="1"/>
  <c r="F63" i="3"/>
  <c r="BM63" i="3" s="1"/>
  <c r="Q63" i="3"/>
  <c r="S63" i="3"/>
  <c r="O63" i="3"/>
  <c r="U63" i="3"/>
  <c r="AE63" i="3"/>
  <c r="AF63" i="3"/>
  <c r="AD63" i="3"/>
  <c r="M63" i="3"/>
  <c r="AM63" i="3"/>
  <c r="AK63" i="3"/>
  <c r="T63" i="3"/>
  <c r="R63" i="3"/>
  <c r="V63" i="3"/>
  <c r="P63" i="3"/>
  <c r="AH62" i="3"/>
  <c r="BA60" i="3"/>
  <c r="AV60" i="3"/>
  <c r="BC60" i="3" s="1"/>
  <c r="AN62" i="3"/>
  <c r="X62" i="3"/>
  <c r="AW61" i="3"/>
  <c r="AX61" i="3"/>
  <c r="BM62" i="3"/>
  <c r="AU62" i="3" l="1"/>
  <c r="AH63" i="3"/>
  <c r="BA61" i="3"/>
  <c r="BB61" i="3" s="1"/>
  <c r="AN63" i="3"/>
  <c r="AX62" i="3"/>
  <c r="Y63" i="3"/>
  <c r="Z63" i="3" s="1"/>
  <c r="X63" i="3"/>
  <c r="AY61" i="3"/>
  <c r="BC61" i="3" s="1"/>
  <c r="BD60" i="3"/>
  <c r="BG60" i="3"/>
  <c r="BH60" i="3" s="1"/>
  <c r="BI60" i="3" s="1"/>
  <c r="BQ60" i="3"/>
  <c r="BF60" i="3"/>
  <c r="BJ59" i="3" s="1"/>
  <c r="BK59" i="3" s="1"/>
  <c r="BB60" i="3"/>
  <c r="AQ64" i="3"/>
  <c r="AR64" i="3"/>
  <c r="B64" i="3"/>
  <c r="A65" i="3"/>
  <c r="D64" i="3"/>
  <c r="C64" i="3"/>
  <c r="G64" i="3"/>
  <c r="H64" i="3" s="1"/>
  <c r="BN64" i="3" s="1"/>
  <c r="F64" i="3"/>
  <c r="BM64" i="3" s="1"/>
  <c r="Q64" i="3"/>
  <c r="S64" i="3"/>
  <c r="O64" i="3"/>
  <c r="U64" i="3"/>
  <c r="AD64" i="3"/>
  <c r="AF64" i="3"/>
  <c r="M64" i="3"/>
  <c r="AE64" i="3"/>
  <c r="AK64" i="3"/>
  <c r="AM64" i="3"/>
  <c r="P64" i="3"/>
  <c r="V64" i="3"/>
  <c r="T64" i="3"/>
  <c r="R64" i="3"/>
  <c r="AO63" i="3"/>
  <c r="AW62" i="3"/>
  <c r="AG63" i="3"/>
  <c r="AT62" i="3"/>
  <c r="BF61" i="3" l="1"/>
  <c r="BQ61" i="3"/>
  <c r="AW63" i="3"/>
  <c r="AY62" i="3"/>
  <c r="AN64" i="3"/>
  <c r="X64" i="3"/>
  <c r="BD61" i="3"/>
  <c r="BG61" i="3"/>
  <c r="BH61" i="3" s="1"/>
  <c r="BI61" i="3" s="1"/>
  <c r="AX63" i="3"/>
  <c r="AO64" i="3"/>
  <c r="AG64" i="3"/>
  <c r="AT63" i="3"/>
  <c r="AH64" i="3"/>
  <c r="BA62" i="3"/>
  <c r="AV62" i="3"/>
  <c r="BJ60" i="3"/>
  <c r="BK60" i="3" s="1"/>
  <c r="AU63" i="3"/>
  <c r="Y64" i="3"/>
  <c r="Z64" i="3" s="1"/>
  <c r="AQ65" i="3"/>
  <c r="AR65" i="3"/>
  <c r="A66" i="3"/>
  <c r="B65" i="3"/>
  <c r="D65" i="3"/>
  <c r="C65" i="3"/>
  <c r="F65" i="3"/>
  <c r="BM65" i="3" s="1"/>
  <c r="G65" i="3"/>
  <c r="H65" i="3" s="1"/>
  <c r="BN65" i="3" s="1"/>
  <c r="Q65" i="3"/>
  <c r="S65" i="3"/>
  <c r="O65" i="3"/>
  <c r="U65" i="3"/>
  <c r="AF65" i="3"/>
  <c r="M65" i="3"/>
  <c r="AD65" i="3"/>
  <c r="AM65" i="3"/>
  <c r="AE65" i="3"/>
  <c r="AK65" i="3"/>
  <c r="R65" i="3"/>
  <c r="V65" i="3"/>
  <c r="P65" i="3"/>
  <c r="T65" i="3"/>
  <c r="AX64" i="3" l="1"/>
  <c r="BC62" i="3"/>
  <c r="AY63" i="3"/>
  <c r="AO65" i="3"/>
  <c r="AG65" i="3"/>
  <c r="AN65" i="3"/>
  <c r="BD62" i="3"/>
  <c r="BG62" i="3"/>
  <c r="BH62" i="3" s="1"/>
  <c r="BI62" i="3" s="1"/>
  <c r="AH65" i="3"/>
  <c r="AU64" i="3"/>
  <c r="BB62" i="3"/>
  <c r="BQ62" i="3"/>
  <c r="BF62" i="3"/>
  <c r="BJ61" i="3" s="1"/>
  <c r="BK61" i="3" s="1"/>
  <c r="BA63" i="3"/>
  <c r="AV63" i="3"/>
  <c r="BC63" i="3" s="1"/>
  <c r="AW64" i="3"/>
  <c r="AY64" i="3" s="1"/>
  <c r="X65" i="3"/>
  <c r="AT64" i="3"/>
  <c r="Y65" i="3"/>
  <c r="Z65" i="3" s="1"/>
  <c r="B66" i="3"/>
  <c r="A67" i="3"/>
  <c r="AR66" i="3"/>
  <c r="AQ66" i="3"/>
  <c r="D66" i="3"/>
  <c r="C66" i="3"/>
  <c r="G66" i="3"/>
  <c r="H66" i="3" s="1"/>
  <c r="BN66" i="3" s="1"/>
  <c r="F66" i="3"/>
  <c r="BM66" i="3" s="1"/>
  <c r="Q66" i="3"/>
  <c r="S66" i="3"/>
  <c r="O66" i="3"/>
  <c r="U66" i="3"/>
  <c r="M66" i="3"/>
  <c r="AF66" i="3"/>
  <c r="AD66" i="3"/>
  <c r="AE66" i="3"/>
  <c r="AM66" i="3"/>
  <c r="AK66" i="3"/>
  <c r="P66" i="3"/>
  <c r="V66" i="3"/>
  <c r="R66" i="3"/>
  <c r="T66" i="3"/>
  <c r="AX65" i="3" l="1"/>
  <c r="AW65" i="3"/>
  <c r="AY65" i="3" s="1"/>
  <c r="AO66" i="3"/>
  <c r="BD63" i="3"/>
  <c r="BG63" i="3"/>
  <c r="BH63" i="3" s="1"/>
  <c r="BI63" i="3" s="1"/>
  <c r="AH66" i="3"/>
  <c r="X66" i="3"/>
  <c r="BF63" i="3"/>
  <c r="BJ62" i="3" s="1"/>
  <c r="BK62" i="3" s="1"/>
  <c r="BB63" i="3"/>
  <c r="BQ63" i="3"/>
  <c r="Y66" i="3"/>
  <c r="Z66" i="3" s="1"/>
  <c r="AN66" i="3"/>
  <c r="BA64" i="3"/>
  <c r="AV64" i="3"/>
  <c r="BC64" i="3" s="1"/>
  <c r="AU66" i="3"/>
  <c r="AT65" i="3"/>
  <c r="AQ67" i="3"/>
  <c r="AR67" i="3"/>
  <c r="A68" i="3"/>
  <c r="B67" i="3"/>
  <c r="D67" i="3"/>
  <c r="C67" i="3"/>
  <c r="F67" i="3"/>
  <c r="BM67" i="3" s="1"/>
  <c r="G67" i="3"/>
  <c r="H67" i="3" s="1"/>
  <c r="BN67" i="3" s="1"/>
  <c r="Q67" i="3"/>
  <c r="S67" i="3"/>
  <c r="O67" i="3"/>
  <c r="U67" i="3"/>
  <c r="AK67" i="3"/>
  <c r="AF67" i="3"/>
  <c r="M67" i="3"/>
  <c r="AD67" i="3"/>
  <c r="AE67" i="3"/>
  <c r="AM67" i="3"/>
  <c r="R67" i="3"/>
  <c r="P67" i="3"/>
  <c r="T67" i="3"/>
  <c r="V67" i="3"/>
  <c r="AG66" i="3"/>
  <c r="AU65" i="3"/>
  <c r="AG67" i="3" l="1"/>
  <c r="AN67" i="3"/>
  <c r="AH67" i="3"/>
  <c r="AV65" i="3"/>
  <c r="BC65" i="3" s="1"/>
  <c r="BA65" i="3"/>
  <c r="AO67" i="3"/>
  <c r="AW67" i="3" s="1"/>
  <c r="BF64" i="3"/>
  <c r="BJ63" i="3" s="1"/>
  <c r="BK63" i="3" s="1"/>
  <c r="BB64" i="3"/>
  <c r="BQ64" i="3"/>
  <c r="AU67" i="3"/>
  <c r="BG64" i="3"/>
  <c r="BH64" i="3" s="1"/>
  <c r="BI64" i="3" s="1"/>
  <c r="BD64" i="3"/>
  <c r="X67" i="3"/>
  <c r="AW66" i="3"/>
  <c r="Y67" i="3"/>
  <c r="Z67" i="3" s="1"/>
  <c r="AT66" i="3"/>
  <c r="AX66" i="3"/>
  <c r="AQ68" i="3"/>
  <c r="AR68" i="3"/>
  <c r="B68" i="3"/>
  <c r="A69" i="3"/>
  <c r="C68" i="3"/>
  <c r="D68" i="3"/>
  <c r="F68" i="3"/>
  <c r="BM68" i="3" s="1"/>
  <c r="G68" i="3"/>
  <c r="H68" i="3" s="1"/>
  <c r="BN68" i="3" s="1"/>
  <c r="S68" i="3"/>
  <c r="Q68" i="3"/>
  <c r="O68" i="3"/>
  <c r="U68" i="3"/>
  <c r="M68" i="3"/>
  <c r="AF68" i="3"/>
  <c r="AD68" i="3"/>
  <c r="AE68" i="3"/>
  <c r="AM68" i="3"/>
  <c r="AK68" i="3"/>
  <c r="P68" i="3"/>
  <c r="V68" i="3"/>
  <c r="R68" i="3"/>
  <c r="T68" i="3"/>
  <c r="AO68" i="3" l="1"/>
  <c r="BQ65" i="3"/>
  <c r="BB65" i="3"/>
  <c r="BF65" i="3"/>
  <c r="AN68" i="3"/>
  <c r="AG68" i="3"/>
  <c r="X68" i="3"/>
  <c r="Y68" i="3"/>
  <c r="Z68" i="3" s="1"/>
  <c r="B69" i="3"/>
  <c r="C69" i="3"/>
  <c r="AQ69" i="3"/>
  <c r="AR69" i="3"/>
  <c r="A70" i="3"/>
  <c r="D69" i="3"/>
  <c r="G69" i="3"/>
  <c r="H69" i="3" s="1"/>
  <c r="BN69" i="3" s="1"/>
  <c r="F69" i="3"/>
  <c r="BM69" i="3" s="1"/>
  <c r="Q69" i="3"/>
  <c r="S69" i="3"/>
  <c r="O69" i="3"/>
  <c r="U69" i="3"/>
  <c r="AF69" i="3"/>
  <c r="AD69" i="3"/>
  <c r="M69" i="3"/>
  <c r="AE69" i="3"/>
  <c r="AG69" i="3" s="1"/>
  <c r="AM69" i="3"/>
  <c r="AK69" i="3"/>
  <c r="V69" i="3"/>
  <c r="R69" i="3"/>
  <c r="P69" i="3"/>
  <c r="T69" i="3"/>
  <c r="BG65" i="3"/>
  <c r="BH65" i="3" s="1"/>
  <c r="BI65" i="3" s="1"/>
  <c r="BD65" i="3"/>
  <c r="AY66" i="3"/>
  <c r="AX67" i="3"/>
  <c r="AY67" i="3" s="1"/>
  <c r="AH68" i="3"/>
  <c r="AT68" i="3" s="1"/>
  <c r="AV66" i="3"/>
  <c r="BA66" i="3"/>
  <c r="AT67" i="3"/>
  <c r="BC66" i="3" l="1"/>
  <c r="AN69" i="3"/>
  <c r="AX68" i="3"/>
  <c r="Y69" i="3"/>
  <c r="Z69" i="3" s="1"/>
  <c r="BD66" i="3"/>
  <c r="BG66" i="3"/>
  <c r="BH66" i="3" s="1"/>
  <c r="BI66" i="3" s="1"/>
  <c r="AQ70" i="3"/>
  <c r="B70" i="3"/>
  <c r="A71" i="3"/>
  <c r="AR70" i="3"/>
  <c r="D70" i="3"/>
  <c r="C70" i="3"/>
  <c r="G70" i="3"/>
  <c r="H70" i="3" s="1"/>
  <c r="BN70" i="3" s="1"/>
  <c r="F70" i="3"/>
  <c r="BM70" i="3" s="1"/>
  <c r="Q70" i="3"/>
  <c r="S70" i="3"/>
  <c r="O70" i="3"/>
  <c r="U70" i="3"/>
  <c r="AF70" i="3"/>
  <c r="M70" i="3"/>
  <c r="AE70" i="3"/>
  <c r="AD70" i="3"/>
  <c r="AH70" i="3" s="1"/>
  <c r="AK70" i="3"/>
  <c r="AM70" i="3"/>
  <c r="R70" i="3"/>
  <c r="P70" i="3"/>
  <c r="V70" i="3"/>
  <c r="T70" i="3"/>
  <c r="AU69" i="3"/>
  <c r="BA67" i="3"/>
  <c r="AV67" i="3"/>
  <c r="BC67" i="3" s="1"/>
  <c r="AO69" i="3"/>
  <c r="BF66" i="3"/>
  <c r="BJ65" i="3" s="1"/>
  <c r="BK65" i="3" s="1"/>
  <c r="BB66" i="3"/>
  <c r="BQ66" i="3"/>
  <c r="AH69" i="3"/>
  <c r="AW68" i="3"/>
  <c r="AY68" i="3" s="1"/>
  <c r="X69" i="3"/>
  <c r="BJ64" i="3"/>
  <c r="BK64" i="3" s="1"/>
  <c r="AU68" i="3"/>
  <c r="BA68" i="3" s="1"/>
  <c r="AN70" i="3" l="1"/>
  <c r="AX69" i="3"/>
  <c r="BB68" i="3"/>
  <c r="BF68" i="3"/>
  <c r="BQ68" i="3"/>
  <c r="BD67" i="3"/>
  <c r="BG67" i="3"/>
  <c r="BH67" i="3" s="1"/>
  <c r="BI67" i="3" s="1"/>
  <c r="AQ71" i="3"/>
  <c r="AR71" i="3"/>
  <c r="A72" i="3"/>
  <c r="B71" i="3"/>
  <c r="C71" i="3"/>
  <c r="D71" i="3"/>
  <c r="G71" i="3"/>
  <c r="H71" i="3" s="1"/>
  <c r="BN71" i="3" s="1"/>
  <c r="F71" i="3"/>
  <c r="BM71" i="3" s="1"/>
  <c r="Q71" i="3"/>
  <c r="S71" i="3"/>
  <c r="O71" i="3"/>
  <c r="U71" i="3"/>
  <c r="M71" i="3"/>
  <c r="AD71" i="3"/>
  <c r="AF71" i="3"/>
  <c r="AE71" i="3"/>
  <c r="AK71" i="3"/>
  <c r="AM71" i="3"/>
  <c r="P71" i="3"/>
  <c r="R71" i="3"/>
  <c r="V71" i="3"/>
  <c r="T71" i="3"/>
  <c r="X70" i="3"/>
  <c r="BQ67" i="3"/>
  <c r="BF67" i="3"/>
  <c r="BJ66" i="3" s="1"/>
  <c r="BK66" i="3" s="1"/>
  <c r="BB67" i="3"/>
  <c r="Y70" i="3"/>
  <c r="Z70" i="3" s="1"/>
  <c r="AG70" i="3"/>
  <c r="AV68" i="3"/>
  <c r="BC68" i="3" s="1"/>
  <c r="AW69" i="3"/>
  <c r="AT69" i="3"/>
  <c r="AO70" i="3"/>
  <c r="AY69" i="3"/>
  <c r="AX70" i="3" l="1"/>
  <c r="AN71" i="3"/>
  <c r="Y71" i="3"/>
  <c r="Z71" i="3" s="1"/>
  <c r="A73" i="3"/>
  <c r="AQ72" i="3"/>
  <c r="B72" i="3"/>
  <c r="AR72" i="3"/>
  <c r="D72" i="3"/>
  <c r="C72" i="3"/>
  <c r="G72" i="3"/>
  <c r="H72" i="3" s="1"/>
  <c r="BN72" i="3" s="1"/>
  <c r="F72" i="3"/>
  <c r="BM72" i="3" s="1"/>
  <c r="Q72" i="3"/>
  <c r="S72" i="3"/>
  <c r="O72" i="3"/>
  <c r="U72" i="3"/>
  <c r="AD72" i="3"/>
  <c r="AF72" i="3"/>
  <c r="M72" i="3"/>
  <c r="AK72" i="3"/>
  <c r="AM72" i="3"/>
  <c r="AE72" i="3"/>
  <c r="R72" i="3"/>
  <c r="T72" i="3"/>
  <c r="P72" i="3"/>
  <c r="V72" i="3"/>
  <c r="AV69" i="3"/>
  <c r="BC69" i="3" s="1"/>
  <c r="BA69" i="3"/>
  <c r="AO71" i="3"/>
  <c r="BJ67" i="3"/>
  <c r="BK67" i="3" s="1"/>
  <c r="BD68" i="3"/>
  <c r="BG68" i="3"/>
  <c r="BH68" i="3" s="1"/>
  <c r="BI68" i="3" s="1"/>
  <c r="AG71" i="3"/>
  <c r="AW70" i="3"/>
  <c r="AY70" i="3" s="1"/>
  <c r="AH71" i="3"/>
  <c r="AU70" i="3"/>
  <c r="AT70" i="3"/>
  <c r="X71" i="3"/>
  <c r="AN72" i="3" l="1"/>
  <c r="AT71" i="3"/>
  <c r="AH72" i="3"/>
  <c r="X72" i="3"/>
  <c r="Y72" i="3"/>
  <c r="Z72" i="3" s="1"/>
  <c r="AV70" i="3"/>
  <c r="BC70" i="3" s="1"/>
  <c r="BA70" i="3"/>
  <c r="AO72" i="3"/>
  <c r="BQ69" i="3"/>
  <c r="BB69" i="3"/>
  <c r="BF69" i="3"/>
  <c r="BJ68" i="3" s="1"/>
  <c r="BK68" i="3" s="1"/>
  <c r="BD69" i="3"/>
  <c r="BG69" i="3"/>
  <c r="BH69" i="3" s="1"/>
  <c r="BI69" i="3" s="1"/>
  <c r="AG72" i="3"/>
  <c r="AW72" i="3" s="1"/>
  <c r="AR73" i="3"/>
  <c r="A74" i="3"/>
  <c r="B73" i="3"/>
  <c r="AQ73" i="3"/>
  <c r="D73" i="3"/>
  <c r="C73" i="3"/>
  <c r="F73" i="3"/>
  <c r="BM73" i="3" s="1"/>
  <c r="G73" i="3"/>
  <c r="H73" i="3" s="1"/>
  <c r="BN73" i="3" s="1"/>
  <c r="Q73" i="3"/>
  <c r="S73" i="3"/>
  <c r="O73" i="3"/>
  <c r="U73" i="3"/>
  <c r="AE73" i="3"/>
  <c r="AF73" i="3"/>
  <c r="AD73" i="3"/>
  <c r="AM73" i="3"/>
  <c r="AK73" i="3"/>
  <c r="M73" i="3"/>
  <c r="V73" i="3"/>
  <c r="P73" i="3"/>
  <c r="T73" i="3"/>
  <c r="R73" i="3"/>
  <c r="AW71" i="3"/>
  <c r="AX71" i="3"/>
  <c r="AU71" i="3"/>
  <c r="AV71" i="3" s="1"/>
  <c r="AY71" i="3" l="1"/>
  <c r="BC71" i="3" s="1"/>
  <c r="AN73" i="3"/>
  <c r="AH73" i="3"/>
  <c r="AG73" i="3"/>
  <c r="X73" i="3"/>
  <c r="BB70" i="3"/>
  <c r="BQ70" i="3"/>
  <c r="BF70" i="3"/>
  <c r="BJ69" i="3" s="1"/>
  <c r="BK69" i="3" s="1"/>
  <c r="Y73" i="3"/>
  <c r="Z73" i="3" s="1"/>
  <c r="AU72" i="3"/>
  <c r="BD70" i="3"/>
  <c r="BG70" i="3"/>
  <c r="BH70" i="3" s="1"/>
  <c r="BI70" i="3" s="1"/>
  <c r="AT72" i="3"/>
  <c r="AU73" i="3"/>
  <c r="AX72" i="3"/>
  <c r="AY72" i="3" s="1"/>
  <c r="AQ74" i="3"/>
  <c r="B74" i="3"/>
  <c r="A75" i="3"/>
  <c r="AR74" i="3"/>
  <c r="D74" i="3"/>
  <c r="C74" i="3"/>
  <c r="G74" i="3"/>
  <c r="H74" i="3" s="1"/>
  <c r="BN74" i="3" s="1"/>
  <c r="F74" i="3"/>
  <c r="BM74" i="3" s="1"/>
  <c r="Q74" i="3"/>
  <c r="S74" i="3"/>
  <c r="O74" i="3"/>
  <c r="U74" i="3"/>
  <c r="M74" i="3"/>
  <c r="AF74" i="3"/>
  <c r="AE74" i="3"/>
  <c r="AD74" i="3"/>
  <c r="AM74" i="3"/>
  <c r="AK74" i="3"/>
  <c r="P74" i="3"/>
  <c r="T74" i="3"/>
  <c r="R74" i="3"/>
  <c r="V74" i="3"/>
  <c r="BA71" i="3"/>
  <c r="AO73" i="3"/>
  <c r="AT73" i="3"/>
  <c r="AO74" i="3" l="1"/>
  <c r="BG71" i="3"/>
  <c r="BH71" i="3" s="1"/>
  <c r="BI71" i="3" s="1"/>
  <c r="BD71" i="3"/>
  <c r="AH74" i="3"/>
  <c r="AG74" i="3"/>
  <c r="AT74" i="3" s="1"/>
  <c r="AV73" i="3"/>
  <c r="BA72" i="3"/>
  <c r="AV72" i="3"/>
  <c r="BC72" i="3" s="1"/>
  <c r="X74" i="3"/>
  <c r="AW73" i="3"/>
  <c r="BB71" i="3"/>
  <c r="BF71" i="3"/>
  <c r="BJ70" i="3" s="1"/>
  <c r="BK70" i="3" s="1"/>
  <c r="BQ71" i="3"/>
  <c r="Y74" i="3"/>
  <c r="Z74" i="3" s="1"/>
  <c r="A76" i="3"/>
  <c r="AQ75" i="3"/>
  <c r="B75" i="3"/>
  <c r="AR75" i="3"/>
  <c r="D75" i="3"/>
  <c r="C75" i="3"/>
  <c r="F75" i="3"/>
  <c r="BM75" i="3" s="1"/>
  <c r="G75" i="3"/>
  <c r="H75" i="3" s="1"/>
  <c r="Q75" i="3"/>
  <c r="S75" i="3"/>
  <c r="O75" i="3"/>
  <c r="U75" i="3"/>
  <c r="AM75" i="3"/>
  <c r="AF75" i="3"/>
  <c r="AD75" i="3"/>
  <c r="M75" i="3"/>
  <c r="AK75" i="3"/>
  <c r="AO75" i="3" s="1"/>
  <c r="AE75" i="3"/>
  <c r="AG75" i="3" s="1"/>
  <c r="R75" i="3"/>
  <c r="P75" i="3"/>
  <c r="T75" i="3"/>
  <c r="V75" i="3"/>
  <c r="AX73" i="3"/>
  <c r="AN74" i="3"/>
  <c r="BN75" i="3" l="1"/>
  <c r="AY73" i="3"/>
  <c r="BC73" i="3" s="1"/>
  <c r="AX74" i="3"/>
  <c r="AU74" i="3"/>
  <c r="AV74" i="3" s="1"/>
  <c r="AW74" i="3"/>
  <c r="AY74" i="3" s="1"/>
  <c r="AN75" i="3"/>
  <c r="AR76" i="3"/>
  <c r="A77" i="3"/>
  <c r="B76" i="3"/>
  <c r="AQ76" i="3"/>
  <c r="D76" i="3"/>
  <c r="C76" i="3"/>
  <c r="F76" i="3"/>
  <c r="G76" i="3"/>
  <c r="H76" i="3" s="1"/>
  <c r="BN76" i="3" s="1"/>
  <c r="Q76" i="3"/>
  <c r="S76" i="3"/>
  <c r="O76" i="3"/>
  <c r="U76" i="3"/>
  <c r="AE76" i="3"/>
  <c r="AD76" i="3"/>
  <c r="AF76" i="3"/>
  <c r="M76" i="3"/>
  <c r="AK76" i="3"/>
  <c r="AM76" i="3"/>
  <c r="R76" i="3"/>
  <c r="P76" i="3"/>
  <c r="T76" i="3"/>
  <c r="V76" i="3"/>
  <c r="BD72" i="3"/>
  <c r="BG72" i="3"/>
  <c r="BH72" i="3" s="1"/>
  <c r="BI72" i="3" s="1"/>
  <c r="AH75" i="3"/>
  <c r="AX75" i="3" s="1"/>
  <c r="BQ72" i="3"/>
  <c r="BF72" i="3"/>
  <c r="BB72" i="3"/>
  <c r="Y75" i="3"/>
  <c r="Z75" i="3" s="1"/>
  <c r="X75" i="3"/>
  <c r="BA73" i="3"/>
  <c r="BM76" i="3" l="1"/>
  <c r="BA74" i="3"/>
  <c r="BC74" i="3"/>
  <c r="AU75" i="3"/>
  <c r="AG76" i="3"/>
  <c r="AO76" i="3"/>
  <c r="BJ71" i="3"/>
  <c r="BK71" i="3" s="1"/>
  <c r="X76" i="3"/>
  <c r="Y76" i="3"/>
  <c r="Z76" i="3" s="1"/>
  <c r="BG73" i="3"/>
  <c r="BH73" i="3" s="1"/>
  <c r="BI73" i="3" s="1"/>
  <c r="BD73" i="3"/>
  <c r="BQ73" i="3"/>
  <c r="BB73" i="3"/>
  <c r="BF73" i="3"/>
  <c r="BJ72" i="3" s="1"/>
  <c r="BK72" i="3" s="1"/>
  <c r="AN76" i="3"/>
  <c r="AR77" i="3"/>
  <c r="B77" i="3"/>
  <c r="AQ77" i="3"/>
  <c r="A78" i="3"/>
  <c r="D77" i="3"/>
  <c r="C77" i="3"/>
  <c r="G77" i="3"/>
  <c r="H77" i="3" s="1"/>
  <c r="BN77" i="3" s="1"/>
  <c r="F77" i="3"/>
  <c r="BM77" i="3" s="1"/>
  <c r="S77" i="3"/>
  <c r="Q77" i="3"/>
  <c r="O77" i="3"/>
  <c r="U77" i="3"/>
  <c r="AK77" i="3"/>
  <c r="M77" i="3"/>
  <c r="AF77" i="3"/>
  <c r="AE77" i="3"/>
  <c r="AD77" i="3"/>
  <c r="AM77" i="3"/>
  <c r="R77" i="3"/>
  <c r="T77" i="3"/>
  <c r="P77" i="3"/>
  <c r="V77" i="3"/>
  <c r="AT75" i="3"/>
  <c r="BG74" i="3"/>
  <c r="BH74" i="3" s="1"/>
  <c r="BI74" i="3" s="1"/>
  <c r="BD74" i="3"/>
  <c r="BB74" i="3"/>
  <c r="BF74" i="3"/>
  <c r="BQ74" i="3"/>
  <c r="AH76" i="3"/>
  <c r="AW75" i="3"/>
  <c r="AY75" i="3" s="1"/>
  <c r="AN77" i="3" l="1"/>
  <c r="AH77" i="3"/>
  <c r="AO77" i="3"/>
  <c r="AG77" i="3"/>
  <c r="AW76" i="3"/>
  <c r="AX76" i="3"/>
  <c r="BJ73" i="3"/>
  <c r="BK73" i="3" s="1"/>
  <c r="BA75" i="3"/>
  <c r="AV75" i="3"/>
  <c r="BC75" i="3" s="1"/>
  <c r="AT76" i="3"/>
  <c r="B78" i="3"/>
  <c r="AQ78" i="3"/>
  <c r="AR78" i="3"/>
  <c r="A79" i="3"/>
  <c r="C78" i="3"/>
  <c r="D78" i="3"/>
  <c r="F78" i="3"/>
  <c r="G78" i="3"/>
  <c r="H78" i="3" s="1"/>
  <c r="S78" i="3"/>
  <c r="Q78" i="3"/>
  <c r="O78" i="3"/>
  <c r="U78" i="3"/>
  <c r="AD78" i="3"/>
  <c r="AE78" i="3"/>
  <c r="AF78" i="3"/>
  <c r="M78" i="3"/>
  <c r="AM78" i="3"/>
  <c r="AK78" i="3"/>
  <c r="P78" i="3"/>
  <c r="V78" i="3"/>
  <c r="R78" i="3"/>
  <c r="T78" i="3"/>
  <c r="X77" i="3"/>
  <c r="AU76" i="3"/>
  <c r="Y77" i="3"/>
  <c r="Z77" i="3" s="1"/>
  <c r="AY76" i="3" l="1"/>
  <c r="BN78" i="3"/>
  <c r="AW77" i="3"/>
  <c r="AO78" i="3"/>
  <c r="A80" i="3"/>
  <c r="AQ79" i="3"/>
  <c r="B79" i="3"/>
  <c r="AR79" i="3"/>
  <c r="D79" i="3"/>
  <c r="C79" i="3"/>
  <c r="F79" i="3"/>
  <c r="BM79" i="3" s="1"/>
  <c r="G79" i="3"/>
  <c r="H79" i="3" s="1"/>
  <c r="BN79" i="3" s="1"/>
  <c r="Q79" i="3"/>
  <c r="S79" i="3"/>
  <c r="O79" i="3"/>
  <c r="U79" i="3"/>
  <c r="AD79" i="3"/>
  <c r="AE79" i="3"/>
  <c r="AF79" i="3"/>
  <c r="M79" i="3"/>
  <c r="AK79" i="3"/>
  <c r="AM79" i="3"/>
  <c r="T79" i="3"/>
  <c r="R79" i="3"/>
  <c r="V79" i="3"/>
  <c r="P79" i="3"/>
  <c r="BA76" i="3"/>
  <c r="AV76" i="3"/>
  <c r="BC76" i="3" s="1"/>
  <c r="BF75" i="3"/>
  <c r="BJ74" i="3" s="1"/>
  <c r="BK74" i="3" s="1"/>
  <c r="BB75" i="3"/>
  <c r="BQ75" i="3"/>
  <c r="AG78" i="3"/>
  <c r="AH78" i="3"/>
  <c r="X78" i="3"/>
  <c r="AT77" i="3"/>
  <c r="AU77" i="3"/>
  <c r="AN78" i="3"/>
  <c r="BD75" i="3"/>
  <c r="BG75" i="3"/>
  <c r="BH75" i="3" s="1"/>
  <c r="BI75" i="3" s="1"/>
  <c r="BM78" i="3"/>
  <c r="Y78" i="3"/>
  <c r="Z78" i="3" s="1"/>
  <c r="AX77" i="3"/>
  <c r="AY77" i="3" s="1"/>
  <c r="AN79" i="3" l="1"/>
  <c r="AX78" i="3"/>
  <c r="AG79" i="3"/>
  <c r="AU78" i="3"/>
  <c r="AW78" i="3"/>
  <c r="BD76" i="3"/>
  <c r="BG76" i="3"/>
  <c r="BH76" i="3" s="1"/>
  <c r="BI76" i="3" s="1"/>
  <c r="BQ76" i="3"/>
  <c r="BF76" i="3"/>
  <c r="BJ75" i="3" s="1"/>
  <c r="BK75" i="3" s="1"/>
  <c r="BB76" i="3"/>
  <c r="AT78" i="3"/>
  <c r="Y79" i="3"/>
  <c r="Z79" i="3" s="1"/>
  <c r="AH79" i="3"/>
  <c r="AY78" i="3"/>
  <c r="X79" i="3"/>
  <c r="BA77" i="3"/>
  <c r="AV77" i="3"/>
  <c r="BC77" i="3" s="1"/>
  <c r="AO79" i="3"/>
  <c r="AR80" i="3"/>
  <c r="A81" i="3"/>
  <c r="B80" i="3"/>
  <c r="AQ80" i="3"/>
  <c r="D80" i="3"/>
  <c r="C80" i="3"/>
  <c r="F80" i="3"/>
  <c r="BM80" i="3" s="1"/>
  <c r="G80" i="3"/>
  <c r="H80" i="3" s="1"/>
  <c r="BN80" i="3" s="1"/>
  <c r="Q80" i="3"/>
  <c r="S80" i="3"/>
  <c r="O80" i="3"/>
  <c r="U80" i="3"/>
  <c r="AD80" i="3"/>
  <c r="M80" i="3"/>
  <c r="AF80" i="3"/>
  <c r="AE80" i="3"/>
  <c r="AM80" i="3"/>
  <c r="AK80" i="3"/>
  <c r="R80" i="3"/>
  <c r="P80" i="3"/>
  <c r="T80" i="3"/>
  <c r="V80" i="3"/>
  <c r="AO80" i="3" l="1"/>
  <c r="AX79" i="3"/>
  <c r="AU79" i="3"/>
  <c r="AH80" i="3"/>
  <c r="X80" i="3"/>
  <c r="AT79" i="3"/>
  <c r="AW79" i="3"/>
  <c r="AY79" i="3" s="1"/>
  <c r="AG80" i="3"/>
  <c r="Y80" i="3"/>
  <c r="Z80" i="3" s="1"/>
  <c r="AR81" i="3"/>
  <c r="B81" i="3"/>
  <c r="A82" i="3"/>
  <c r="AQ81" i="3"/>
  <c r="C81" i="3"/>
  <c r="D81" i="3"/>
  <c r="F81" i="3"/>
  <c r="G81" i="3"/>
  <c r="H81" i="3" s="1"/>
  <c r="Q81" i="3"/>
  <c r="S81" i="3"/>
  <c r="O81" i="3"/>
  <c r="U81" i="3"/>
  <c r="AD81" i="3"/>
  <c r="AF81" i="3"/>
  <c r="M81" i="3"/>
  <c r="AE81" i="3"/>
  <c r="AG81" i="3" s="1"/>
  <c r="AM81" i="3"/>
  <c r="AK81" i="3"/>
  <c r="P81" i="3"/>
  <c r="V81" i="3"/>
  <c r="T81" i="3"/>
  <c r="R81" i="3"/>
  <c r="AN80" i="3"/>
  <c r="BD77" i="3"/>
  <c r="BG77" i="3"/>
  <c r="BH77" i="3" s="1"/>
  <c r="BI77" i="3" s="1"/>
  <c r="AV78" i="3"/>
  <c r="BC78" i="3" s="1"/>
  <c r="BA78" i="3"/>
  <c r="BB77" i="3"/>
  <c r="BQ77" i="3"/>
  <c r="BF77" i="3"/>
  <c r="BJ76" i="3" s="1"/>
  <c r="BK76" i="3" s="1"/>
  <c r="AO81" i="3" l="1"/>
  <c r="BM81" i="3"/>
  <c r="AX80" i="3"/>
  <c r="AW80" i="3"/>
  <c r="AU80" i="3"/>
  <c r="BA79" i="3"/>
  <c r="AV79" i="3"/>
  <c r="BC79" i="3" s="1"/>
  <c r="Y81" i="3"/>
  <c r="Z81" i="3" s="1"/>
  <c r="B82" i="3"/>
  <c r="AQ82" i="3"/>
  <c r="AR82" i="3"/>
  <c r="A83" i="3"/>
  <c r="D82" i="3"/>
  <c r="C82" i="3"/>
  <c r="F82" i="3"/>
  <c r="BM82" i="3" s="1"/>
  <c r="G82" i="3"/>
  <c r="H82" i="3" s="1"/>
  <c r="Q82" i="3"/>
  <c r="S82" i="3"/>
  <c r="O82" i="3"/>
  <c r="U82" i="3"/>
  <c r="AD82" i="3"/>
  <c r="AE82" i="3"/>
  <c r="AF82" i="3"/>
  <c r="AK82" i="3"/>
  <c r="M82" i="3"/>
  <c r="AM82" i="3"/>
  <c r="V82" i="3"/>
  <c r="P82" i="3"/>
  <c r="R82" i="3"/>
  <c r="T82" i="3"/>
  <c r="AH81" i="3"/>
  <c r="AT80" i="3"/>
  <c r="BQ78" i="3"/>
  <c r="BB78" i="3"/>
  <c r="BF78" i="3"/>
  <c r="BJ77" i="3" s="1"/>
  <c r="BK77" i="3" s="1"/>
  <c r="AN81" i="3"/>
  <c r="X81" i="3"/>
  <c r="BD78" i="3"/>
  <c r="BG78" i="3"/>
  <c r="BH78" i="3" s="1"/>
  <c r="BI78" i="3" s="1"/>
  <c r="BN81" i="3"/>
  <c r="AY80" i="3" l="1"/>
  <c r="AN82" i="3"/>
  <c r="BN82" i="3"/>
  <c r="AG82" i="3"/>
  <c r="AV80" i="3"/>
  <c r="BC80" i="3" s="1"/>
  <c r="BA80" i="3"/>
  <c r="BD79" i="3"/>
  <c r="BG79" i="3"/>
  <c r="BH79" i="3" s="1"/>
  <c r="BI79" i="3" s="1"/>
  <c r="AW81" i="3"/>
  <c r="AX81" i="3"/>
  <c r="A84" i="3"/>
  <c r="AQ83" i="3"/>
  <c r="B83" i="3"/>
  <c r="AR83" i="3"/>
  <c r="D83" i="3"/>
  <c r="C83" i="3"/>
  <c r="G83" i="3"/>
  <c r="H83" i="3" s="1"/>
  <c r="BN83" i="3" s="1"/>
  <c r="F83" i="3"/>
  <c r="BM83" i="3" s="1"/>
  <c r="Q83" i="3"/>
  <c r="S83" i="3"/>
  <c r="O83" i="3"/>
  <c r="U83" i="3"/>
  <c r="AE83" i="3"/>
  <c r="AD83" i="3"/>
  <c r="AF83" i="3"/>
  <c r="AM83" i="3"/>
  <c r="AK83" i="3"/>
  <c r="AO83" i="3" s="1"/>
  <c r="M83" i="3"/>
  <c r="R83" i="3"/>
  <c r="V83" i="3"/>
  <c r="T83" i="3"/>
  <c r="P83" i="3"/>
  <c r="BB79" i="3"/>
  <c r="BF79" i="3"/>
  <c r="BJ78" i="3" s="1"/>
  <c r="BK78" i="3" s="1"/>
  <c r="BQ79" i="3"/>
  <c r="AU81" i="3"/>
  <c r="AO82" i="3"/>
  <c r="AH82" i="3"/>
  <c r="X82" i="3"/>
  <c r="AT81" i="3"/>
  <c r="Y82" i="3"/>
  <c r="Z82" i="3" s="1"/>
  <c r="AW82" i="3" l="1"/>
  <c r="AY81" i="3"/>
  <c r="AX82" i="3"/>
  <c r="AY82" i="3" s="1"/>
  <c r="AR84" i="3"/>
  <c r="A85" i="3"/>
  <c r="B84" i="3"/>
  <c r="AQ84" i="3"/>
  <c r="D84" i="3"/>
  <c r="C84" i="3"/>
  <c r="G84" i="3"/>
  <c r="H84" i="3" s="1"/>
  <c r="BN84" i="3" s="1"/>
  <c r="F84" i="3"/>
  <c r="BM84" i="3" s="1"/>
  <c r="Q84" i="3"/>
  <c r="S84" i="3"/>
  <c r="O84" i="3"/>
  <c r="U84" i="3"/>
  <c r="M84" i="3"/>
  <c r="AD84" i="3"/>
  <c r="AE84" i="3"/>
  <c r="AF84" i="3"/>
  <c r="AM84" i="3"/>
  <c r="AK84" i="3"/>
  <c r="P84" i="3"/>
  <c r="V84" i="3"/>
  <c r="T84" i="3"/>
  <c r="R84" i="3"/>
  <c r="AH83" i="3"/>
  <c r="AX83" i="3" s="1"/>
  <c r="BA81" i="3"/>
  <c r="AV81" i="3"/>
  <c r="BC81" i="3" s="1"/>
  <c r="AT82" i="3"/>
  <c r="X83" i="3"/>
  <c r="AU82" i="3"/>
  <c r="BQ80" i="3"/>
  <c r="BF80" i="3"/>
  <c r="BJ79" i="3" s="1"/>
  <c r="BK79" i="3" s="1"/>
  <c r="BB80" i="3"/>
  <c r="Y83" i="3"/>
  <c r="Z83" i="3" s="1"/>
  <c r="AN83" i="3"/>
  <c r="AG83" i="3"/>
  <c r="BD80" i="3"/>
  <c r="BG80" i="3"/>
  <c r="BH80" i="3" s="1"/>
  <c r="BI80" i="3" s="1"/>
  <c r="AH84" i="3" l="1"/>
  <c r="AT83" i="3"/>
  <c r="AO84" i="3"/>
  <c r="AG84" i="3"/>
  <c r="BB81" i="3"/>
  <c r="BF81" i="3"/>
  <c r="BJ80" i="3" s="1"/>
  <c r="BK80" i="3" s="1"/>
  <c r="BQ81" i="3"/>
  <c r="BD81" i="3"/>
  <c r="BG81" i="3"/>
  <c r="BH81" i="3" s="1"/>
  <c r="BI81" i="3" s="1"/>
  <c r="X84" i="3"/>
  <c r="AV82" i="3"/>
  <c r="BC82" i="3" s="1"/>
  <c r="BA82" i="3"/>
  <c r="AW83" i="3"/>
  <c r="AY83" i="3" s="1"/>
  <c r="Y84" i="3"/>
  <c r="Z84" i="3" s="1"/>
  <c r="AU83" i="3"/>
  <c r="C85" i="3"/>
  <c r="AR85" i="3"/>
  <c r="B85" i="3"/>
  <c r="A86" i="3"/>
  <c r="AQ85" i="3"/>
  <c r="D85" i="3"/>
  <c r="G85" i="3"/>
  <c r="H85" i="3" s="1"/>
  <c r="BN85" i="3" s="1"/>
  <c r="F85" i="3"/>
  <c r="Q85" i="3"/>
  <c r="S85" i="3"/>
  <c r="O85" i="3"/>
  <c r="U85" i="3"/>
  <c r="AD85" i="3"/>
  <c r="M85" i="3"/>
  <c r="AF85" i="3"/>
  <c r="AE85" i="3"/>
  <c r="AK85" i="3"/>
  <c r="AM85" i="3"/>
  <c r="V85" i="3"/>
  <c r="T85" i="3"/>
  <c r="P85" i="3"/>
  <c r="R85" i="3"/>
  <c r="AN84" i="3"/>
  <c r="AX84" i="3" s="1"/>
  <c r="AT84" i="3"/>
  <c r="BA83" i="3" l="1"/>
  <c r="AN85" i="3"/>
  <c r="BM85" i="3"/>
  <c r="AH85" i="3"/>
  <c r="AV83" i="3"/>
  <c r="BB83" i="3"/>
  <c r="BF83" i="3"/>
  <c r="BQ83" i="3"/>
  <c r="BB82" i="3"/>
  <c r="BF82" i="3"/>
  <c r="BJ81" i="3" s="1"/>
  <c r="BK81" i="3" s="1"/>
  <c r="BQ82" i="3"/>
  <c r="BD82" i="3"/>
  <c r="BG82" i="3"/>
  <c r="BH82" i="3" s="1"/>
  <c r="BI82" i="3" s="1"/>
  <c r="X85" i="3"/>
  <c r="AV84" i="3"/>
  <c r="BC84" i="3" s="1"/>
  <c r="BA84" i="3"/>
  <c r="B86" i="3"/>
  <c r="AQ86" i="3"/>
  <c r="AR86" i="3"/>
  <c r="A87" i="3"/>
  <c r="D86" i="3"/>
  <c r="C86" i="3"/>
  <c r="F86" i="3"/>
  <c r="BM86" i="3" s="1"/>
  <c r="G86" i="3"/>
  <c r="H86" i="3" s="1"/>
  <c r="BN86" i="3" s="1"/>
  <c r="Q86" i="3"/>
  <c r="S86" i="3"/>
  <c r="O86" i="3"/>
  <c r="U86" i="3"/>
  <c r="AD86" i="3"/>
  <c r="M86" i="3"/>
  <c r="AF86" i="3"/>
  <c r="AE86" i="3"/>
  <c r="AK86" i="3"/>
  <c r="AM86" i="3"/>
  <c r="R86" i="3"/>
  <c r="P86" i="3"/>
  <c r="V86" i="3"/>
  <c r="T86" i="3"/>
  <c r="Y85" i="3"/>
  <c r="Z85" i="3" s="1"/>
  <c r="AW84" i="3"/>
  <c r="AY84" i="3" s="1"/>
  <c r="AO85" i="3"/>
  <c r="BC83" i="3"/>
  <c r="AG85" i="3"/>
  <c r="AU84" i="3"/>
  <c r="AU85" i="3" l="1"/>
  <c r="AO86" i="3"/>
  <c r="AX85" i="3"/>
  <c r="AW85" i="3"/>
  <c r="AH86" i="3"/>
  <c r="X86" i="3"/>
  <c r="BD83" i="3"/>
  <c r="BG83" i="3"/>
  <c r="BH83" i="3" s="1"/>
  <c r="BI83" i="3" s="1"/>
  <c r="AT85" i="3"/>
  <c r="AG86" i="3"/>
  <c r="BB84" i="3"/>
  <c r="BF84" i="3"/>
  <c r="BJ83" i="3" s="1"/>
  <c r="BK83" i="3" s="1"/>
  <c r="BQ84" i="3"/>
  <c r="BD84" i="3"/>
  <c r="BG84" i="3"/>
  <c r="BH84" i="3" s="1"/>
  <c r="BI84" i="3" s="1"/>
  <c r="Y86" i="3"/>
  <c r="Z86" i="3" s="1"/>
  <c r="A88" i="3"/>
  <c r="B87" i="3"/>
  <c r="AQ87" i="3"/>
  <c r="AR87" i="3"/>
  <c r="D87" i="3"/>
  <c r="C87" i="3"/>
  <c r="G87" i="3"/>
  <c r="H87" i="3" s="1"/>
  <c r="BN87" i="3" s="1"/>
  <c r="F87" i="3"/>
  <c r="BM87" i="3" s="1"/>
  <c r="Q87" i="3"/>
  <c r="S87" i="3"/>
  <c r="O87" i="3"/>
  <c r="U87" i="3"/>
  <c r="AE87" i="3"/>
  <c r="AD87" i="3"/>
  <c r="AF87" i="3"/>
  <c r="M87" i="3"/>
  <c r="AK87" i="3"/>
  <c r="AM87" i="3"/>
  <c r="P87" i="3"/>
  <c r="V87" i="3"/>
  <c r="T87" i="3"/>
  <c r="R87" i="3"/>
  <c r="BJ82" i="3"/>
  <c r="BK82" i="3" s="1"/>
  <c r="AN86" i="3"/>
  <c r="AY85" i="3" l="1"/>
  <c r="AW86" i="3"/>
  <c r="AN87" i="3"/>
  <c r="AH87" i="3"/>
  <c r="AU86" i="3"/>
  <c r="AX86" i="3"/>
  <c r="AY86" i="3" s="1"/>
  <c r="BA85" i="3"/>
  <c r="AV85" i="3"/>
  <c r="BC85" i="3" s="1"/>
  <c r="AT86" i="3"/>
  <c r="AO87" i="3"/>
  <c r="AR88" i="3"/>
  <c r="B88" i="3"/>
  <c r="AQ88" i="3"/>
  <c r="A89" i="3"/>
  <c r="D88" i="3"/>
  <c r="C88" i="3"/>
  <c r="G88" i="3"/>
  <c r="H88" i="3" s="1"/>
  <c r="F88" i="3"/>
  <c r="Q88" i="3"/>
  <c r="S88" i="3"/>
  <c r="O88" i="3"/>
  <c r="U88" i="3"/>
  <c r="M88" i="3"/>
  <c r="AE88" i="3"/>
  <c r="AD88" i="3"/>
  <c r="AF88" i="3"/>
  <c r="AM88" i="3"/>
  <c r="AK88" i="3"/>
  <c r="AO88" i="3" s="1"/>
  <c r="R88" i="3"/>
  <c r="V88" i="3"/>
  <c r="T88" i="3"/>
  <c r="P88" i="3"/>
  <c r="AG87" i="3"/>
  <c r="X87" i="3"/>
  <c r="Y87" i="3"/>
  <c r="Z87" i="3" s="1"/>
  <c r="BN88" i="3" l="1"/>
  <c r="BM88" i="3"/>
  <c r="AW87" i="3"/>
  <c r="AT87" i="3"/>
  <c r="A90" i="3"/>
  <c r="AQ89" i="3"/>
  <c r="AR89" i="3"/>
  <c r="B89" i="3"/>
  <c r="D89" i="3"/>
  <c r="C89" i="3"/>
  <c r="F89" i="3"/>
  <c r="BM89" i="3" s="1"/>
  <c r="G89" i="3"/>
  <c r="H89" i="3" s="1"/>
  <c r="BN89" i="3" s="1"/>
  <c r="Q89" i="3"/>
  <c r="S89" i="3"/>
  <c r="O89" i="3"/>
  <c r="U89" i="3"/>
  <c r="AD89" i="3"/>
  <c r="AE89" i="3"/>
  <c r="AF89" i="3"/>
  <c r="AK89" i="3"/>
  <c r="AM89" i="3"/>
  <c r="M89" i="3"/>
  <c r="V89" i="3"/>
  <c r="R89" i="3"/>
  <c r="T89" i="3"/>
  <c r="P89" i="3"/>
  <c r="AV86" i="3"/>
  <c r="BC86" i="3" s="1"/>
  <c r="BA86" i="3"/>
  <c r="Y88" i="3"/>
  <c r="Z88" i="3" s="1"/>
  <c r="AN88" i="3"/>
  <c r="AH88" i="3"/>
  <c r="AG88" i="3"/>
  <c r="BD85" i="3"/>
  <c r="BG85" i="3"/>
  <c r="BH85" i="3" s="1"/>
  <c r="BI85" i="3" s="1"/>
  <c r="BF85" i="3"/>
  <c r="BJ84" i="3" s="1"/>
  <c r="BK84" i="3" s="1"/>
  <c r="BB85" i="3"/>
  <c r="BQ85" i="3"/>
  <c r="AU87" i="3"/>
  <c r="X88" i="3"/>
  <c r="AX87" i="3"/>
  <c r="AY87" i="3" l="1"/>
  <c r="AV87" i="3"/>
  <c r="BC87" i="3" s="1"/>
  <c r="AG89" i="3"/>
  <c r="AX88" i="3"/>
  <c r="AO89" i="3"/>
  <c r="BD86" i="3"/>
  <c r="BG86" i="3"/>
  <c r="BH86" i="3" s="1"/>
  <c r="BI86" i="3" s="1"/>
  <c r="AH89" i="3"/>
  <c r="AX89" i="3" s="1"/>
  <c r="BQ86" i="3"/>
  <c r="BF86" i="3"/>
  <c r="BJ85" i="3" s="1"/>
  <c r="BK85" i="3" s="1"/>
  <c r="BB86" i="3"/>
  <c r="AT88" i="3"/>
  <c r="AU88" i="3"/>
  <c r="AW89" i="3"/>
  <c r="BA87" i="3"/>
  <c r="Y89" i="3"/>
  <c r="Z89" i="3" s="1"/>
  <c r="X89" i="3"/>
  <c r="AW88" i="3"/>
  <c r="AN89" i="3"/>
  <c r="B90" i="3"/>
  <c r="AQ90" i="3"/>
  <c r="AR90" i="3"/>
  <c r="A91" i="3"/>
  <c r="D90" i="3"/>
  <c r="C90" i="3"/>
  <c r="G90" i="3"/>
  <c r="H90" i="3" s="1"/>
  <c r="BN90" i="3" s="1"/>
  <c r="F90" i="3"/>
  <c r="BM90" i="3" s="1"/>
  <c r="Q90" i="3"/>
  <c r="S90" i="3"/>
  <c r="O90" i="3"/>
  <c r="U90" i="3"/>
  <c r="M90" i="3"/>
  <c r="AE90" i="3"/>
  <c r="AF90" i="3"/>
  <c r="AD90" i="3"/>
  <c r="AK90" i="3"/>
  <c r="AM90" i="3"/>
  <c r="P90" i="3"/>
  <c r="R90" i="3"/>
  <c r="T90" i="3"/>
  <c r="V90" i="3"/>
  <c r="AN90" i="3" l="1"/>
  <c r="AH90" i="3"/>
  <c r="AY88" i="3"/>
  <c r="BD87" i="3"/>
  <c r="BG87" i="3"/>
  <c r="BH87" i="3" s="1"/>
  <c r="BI87" i="3" s="1"/>
  <c r="AT89" i="3"/>
  <c r="BQ87" i="3"/>
  <c r="BF87" i="3"/>
  <c r="BJ86" i="3" s="1"/>
  <c r="BK86" i="3" s="1"/>
  <c r="BB87" i="3"/>
  <c r="Y90" i="3"/>
  <c r="Z90" i="3" s="1"/>
  <c r="A92" i="3"/>
  <c r="B91" i="3"/>
  <c r="AQ91" i="3"/>
  <c r="AR91" i="3"/>
  <c r="C91" i="3"/>
  <c r="D91" i="3"/>
  <c r="F91" i="3"/>
  <c r="BM91" i="3" s="1"/>
  <c r="G91" i="3"/>
  <c r="H91" i="3" s="1"/>
  <c r="BN91" i="3" s="1"/>
  <c r="Q91" i="3"/>
  <c r="S91" i="3"/>
  <c r="O91" i="3"/>
  <c r="U91" i="3"/>
  <c r="M91" i="3"/>
  <c r="AD91" i="3"/>
  <c r="AF91" i="3"/>
  <c r="AE91" i="3"/>
  <c r="AK91" i="3"/>
  <c r="AM91" i="3"/>
  <c r="P91" i="3"/>
  <c r="R91" i="3"/>
  <c r="V91" i="3"/>
  <c r="T91" i="3"/>
  <c r="AU90" i="3"/>
  <c r="X90" i="3"/>
  <c r="BA88" i="3"/>
  <c r="AV88" i="3"/>
  <c r="BC88" i="3" s="1"/>
  <c r="AY89" i="3"/>
  <c r="AO90" i="3"/>
  <c r="AG90" i="3"/>
  <c r="AU89" i="3"/>
  <c r="AV89" i="3" s="1"/>
  <c r="BC89" i="3" s="1"/>
  <c r="AW90" i="3" l="1"/>
  <c r="AX90" i="3"/>
  <c r="AO91" i="3"/>
  <c r="BD89" i="3"/>
  <c r="BG89" i="3"/>
  <c r="BH89" i="3" s="1"/>
  <c r="BI89" i="3" s="1"/>
  <c r="AY90" i="3"/>
  <c r="Y91" i="3"/>
  <c r="Z91" i="3" s="1"/>
  <c r="AN91" i="3"/>
  <c r="AR92" i="3"/>
  <c r="A93" i="3"/>
  <c r="B92" i="3"/>
  <c r="AQ92" i="3"/>
  <c r="D92" i="3"/>
  <c r="C92" i="3"/>
  <c r="G92" i="3"/>
  <c r="H92" i="3" s="1"/>
  <c r="BN92" i="3" s="1"/>
  <c r="F92" i="3"/>
  <c r="BM92" i="3" s="1"/>
  <c r="Q92" i="3"/>
  <c r="S92" i="3"/>
  <c r="O92" i="3"/>
  <c r="U92" i="3"/>
  <c r="AD92" i="3"/>
  <c r="AE92" i="3"/>
  <c r="AF92" i="3"/>
  <c r="M92" i="3"/>
  <c r="AM92" i="3"/>
  <c r="AK92" i="3"/>
  <c r="V92" i="3"/>
  <c r="R92" i="3"/>
  <c r="P92" i="3"/>
  <c r="T92" i="3"/>
  <c r="AH91" i="3"/>
  <c r="AG91" i="3"/>
  <c r="AT90" i="3"/>
  <c r="X91" i="3"/>
  <c r="BD88" i="3"/>
  <c r="BG88" i="3"/>
  <c r="BH88" i="3" s="1"/>
  <c r="BI88" i="3" s="1"/>
  <c r="BA89" i="3"/>
  <c r="BF88" i="3"/>
  <c r="BJ87" i="3" s="1"/>
  <c r="BK87" i="3" s="1"/>
  <c r="BB88" i="3"/>
  <c r="BQ88" i="3"/>
  <c r="AO92" i="3" l="1"/>
  <c r="AW91" i="3"/>
  <c r="AX91" i="3"/>
  <c r="Y92" i="3"/>
  <c r="Z92" i="3" s="1"/>
  <c r="AH92" i="3"/>
  <c r="AN92" i="3"/>
  <c r="AT91" i="3"/>
  <c r="A94" i="3"/>
  <c r="C93" i="3"/>
  <c r="AQ93" i="3"/>
  <c r="AR93" i="3"/>
  <c r="B93" i="3"/>
  <c r="D93" i="3"/>
  <c r="F93" i="3"/>
  <c r="BM93" i="3" s="1"/>
  <c r="G93" i="3"/>
  <c r="H93" i="3" s="1"/>
  <c r="Q93" i="3"/>
  <c r="S93" i="3"/>
  <c r="O93" i="3"/>
  <c r="U93" i="3"/>
  <c r="AD93" i="3"/>
  <c r="AF93" i="3"/>
  <c r="AE93" i="3"/>
  <c r="M93" i="3"/>
  <c r="AK93" i="3"/>
  <c r="AM93" i="3"/>
  <c r="V93" i="3"/>
  <c r="R93" i="3"/>
  <c r="T93" i="3"/>
  <c r="P93" i="3"/>
  <c r="X92" i="3"/>
  <c r="AG92" i="3"/>
  <c r="AW92" i="3" s="1"/>
  <c r="BQ89" i="3"/>
  <c r="BF89" i="3"/>
  <c r="BJ88" i="3" s="1"/>
  <c r="BK88" i="3" s="1"/>
  <c r="BB89" i="3"/>
  <c r="AU91" i="3"/>
  <c r="BA90" i="3"/>
  <c r="AV90" i="3"/>
  <c r="BC90" i="3" s="1"/>
  <c r="AY91" i="3" l="1"/>
  <c r="AG93" i="3"/>
  <c r="BN93" i="3"/>
  <c r="AN93" i="3"/>
  <c r="AU92" i="3"/>
  <c r="AV91" i="3"/>
  <c r="BC91" i="3" s="1"/>
  <c r="BA91" i="3"/>
  <c r="AO93" i="3"/>
  <c r="B94" i="3"/>
  <c r="AQ94" i="3"/>
  <c r="AR94" i="3"/>
  <c r="A95" i="3"/>
  <c r="D94" i="3"/>
  <c r="C94" i="3"/>
  <c r="G94" i="3"/>
  <c r="H94" i="3" s="1"/>
  <c r="BN94" i="3" s="1"/>
  <c r="F94" i="3"/>
  <c r="BM94" i="3" s="1"/>
  <c r="Q94" i="3"/>
  <c r="S94" i="3"/>
  <c r="O94" i="3"/>
  <c r="U94" i="3"/>
  <c r="AD94" i="3"/>
  <c r="AE94" i="3"/>
  <c r="AF94" i="3"/>
  <c r="M94" i="3"/>
  <c r="AM94" i="3"/>
  <c r="AK94" i="3"/>
  <c r="P94" i="3"/>
  <c r="T94" i="3"/>
  <c r="R94" i="3"/>
  <c r="V94" i="3"/>
  <c r="BD90" i="3"/>
  <c r="BG90" i="3"/>
  <c r="BH90" i="3" s="1"/>
  <c r="BI90" i="3" s="1"/>
  <c r="BB90" i="3"/>
  <c r="BF90" i="3"/>
  <c r="BJ89" i="3" s="1"/>
  <c r="BK89" i="3" s="1"/>
  <c r="BQ90" i="3"/>
  <c r="Y93" i="3"/>
  <c r="Z93" i="3" s="1"/>
  <c r="AH93" i="3"/>
  <c r="AT92" i="3"/>
  <c r="X93" i="3"/>
  <c r="AX92" i="3"/>
  <c r="AY92" i="3" s="1"/>
  <c r="AG94" i="3" l="1"/>
  <c r="AN94" i="3"/>
  <c r="AX93" i="3"/>
  <c r="Y94" i="3"/>
  <c r="Z94" i="3" s="1"/>
  <c r="X94" i="3"/>
  <c r="AO94" i="3"/>
  <c r="AH94" i="3"/>
  <c r="A96" i="3"/>
  <c r="B95" i="3"/>
  <c r="AQ95" i="3"/>
  <c r="AR95" i="3"/>
  <c r="C95" i="3"/>
  <c r="D95" i="3"/>
  <c r="F95" i="3"/>
  <c r="G95" i="3"/>
  <c r="H95" i="3" s="1"/>
  <c r="BN95" i="3" s="1"/>
  <c r="Q95" i="3"/>
  <c r="S95" i="3"/>
  <c r="O95" i="3"/>
  <c r="U95" i="3"/>
  <c r="AD95" i="3"/>
  <c r="AF95" i="3"/>
  <c r="AE95" i="3"/>
  <c r="M95" i="3"/>
  <c r="AM95" i="3"/>
  <c r="AK95" i="3"/>
  <c r="V95" i="3"/>
  <c r="T95" i="3"/>
  <c r="R95" i="3"/>
  <c r="P95" i="3"/>
  <c r="AU94" i="3"/>
  <c r="AV92" i="3"/>
  <c r="BC92" i="3" s="1"/>
  <c r="BA92" i="3"/>
  <c r="AW93" i="3"/>
  <c r="BQ91" i="3"/>
  <c r="BB91" i="3"/>
  <c r="BF91" i="3"/>
  <c r="BJ90" i="3" s="1"/>
  <c r="BK90" i="3" s="1"/>
  <c r="AT93" i="3"/>
  <c r="BD91" i="3"/>
  <c r="BG91" i="3"/>
  <c r="BH91" i="3" s="1"/>
  <c r="BI91" i="3" s="1"/>
  <c r="AU93" i="3"/>
  <c r="AX94" i="3" l="1"/>
  <c r="AG95" i="3"/>
  <c r="AO95" i="3"/>
  <c r="AW94" i="3"/>
  <c r="AY94" i="3" s="1"/>
  <c r="BM95" i="3"/>
  <c r="AY93" i="3"/>
  <c r="BB92" i="3"/>
  <c r="BF92" i="3"/>
  <c r="BJ91" i="3" s="1"/>
  <c r="BK91" i="3" s="1"/>
  <c r="BQ92" i="3"/>
  <c r="A97" i="3"/>
  <c r="AQ96" i="3"/>
  <c r="AR96" i="3"/>
  <c r="B96" i="3"/>
  <c r="C96" i="3"/>
  <c r="D96" i="3"/>
  <c r="F96" i="3"/>
  <c r="G96" i="3"/>
  <c r="H96" i="3" s="1"/>
  <c r="BN96" i="3" s="1"/>
  <c r="S96" i="3"/>
  <c r="Q96" i="3"/>
  <c r="O96" i="3"/>
  <c r="U96" i="3"/>
  <c r="AF96" i="3"/>
  <c r="AK96" i="3"/>
  <c r="M96" i="3"/>
  <c r="AD96" i="3"/>
  <c r="AE96" i="3"/>
  <c r="AM96" i="3"/>
  <c r="AN96" i="3" s="1"/>
  <c r="P96" i="3"/>
  <c r="V96" i="3"/>
  <c r="R96" i="3"/>
  <c r="T96" i="3"/>
  <c r="BG92" i="3"/>
  <c r="BH92" i="3" s="1"/>
  <c r="BI92" i="3" s="1"/>
  <c r="BD92" i="3"/>
  <c r="AN95" i="3"/>
  <c r="Y95" i="3"/>
  <c r="Z95" i="3" s="1"/>
  <c r="BA93" i="3"/>
  <c r="AV93" i="3"/>
  <c r="AH95" i="3"/>
  <c r="AU95" i="3" s="1"/>
  <c r="X95" i="3"/>
  <c r="AT94" i="3"/>
  <c r="BM96" i="3" l="1"/>
  <c r="AT95" i="3"/>
  <c r="BC93" i="3"/>
  <c r="AW95" i="3"/>
  <c r="AG96" i="3"/>
  <c r="AV95" i="3"/>
  <c r="Y96" i="3"/>
  <c r="Z96" i="3" s="1"/>
  <c r="B97" i="3"/>
  <c r="A98" i="3"/>
  <c r="AQ97" i="3"/>
  <c r="AR97" i="3"/>
  <c r="C97" i="3"/>
  <c r="D97" i="3"/>
  <c r="G97" i="3"/>
  <c r="H97" i="3" s="1"/>
  <c r="BN97" i="3" s="1"/>
  <c r="F97" i="3"/>
  <c r="BM97" i="3" s="1"/>
  <c r="Q97" i="3"/>
  <c r="S97" i="3"/>
  <c r="O97" i="3"/>
  <c r="U97" i="3"/>
  <c r="AK97" i="3"/>
  <c r="AD97" i="3"/>
  <c r="M97" i="3"/>
  <c r="AE97" i="3"/>
  <c r="AF97" i="3"/>
  <c r="AM97" i="3"/>
  <c r="R97" i="3"/>
  <c r="V97" i="3"/>
  <c r="T97" i="3"/>
  <c r="P97" i="3"/>
  <c r="AH96" i="3"/>
  <c r="X96" i="3"/>
  <c r="AV94" i="3"/>
  <c r="BC94" i="3" s="1"/>
  <c r="BA94" i="3"/>
  <c r="AO96" i="3"/>
  <c r="AX95" i="3"/>
  <c r="BD93" i="3"/>
  <c r="BG93" i="3"/>
  <c r="BH93" i="3" s="1"/>
  <c r="BI93" i="3" s="1"/>
  <c r="BF93" i="3"/>
  <c r="BJ92" i="3" s="1"/>
  <c r="BK92" i="3" s="1"/>
  <c r="BQ93" i="3"/>
  <c r="BB93" i="3"/>
  <c r="AW96" i="3" l="1"/>
  <c r="BA95" i="3"/>
  <c r="BF95" i="3" s="1"/>
  <c r="AY95" i="3"/>
  <c r="AN97" i="3"/>
  <c r="AX96" i="3"/>
  <c r="AY96" i="3" s="1"/>
  <c r="BQ95" i="3"/>
  <c r="AG97" i="3"/>
  <c r="AT96" i="3"/>
  <c r="AH97" i="3"/>
  <c r="Y97" i="3"/>
  <c r="Z97" i="3" s="1"/>
  <c r="AU97" i="3"/>
  <c r="B98" i="3"/>
  <c r="AQ98" i="3"/>
  <c r="AR98" i="3"/>
  <c r="A99" i="3"/>
  <c r="D98" i="3"/>
  <c r="C98" i="3"/>
  <c r="G98" i="3"/>
  <c r="H98" i="3" s="1"/>
  <c r="F98" i="3"/>
  <c r="Q98" i="3"/>
  <c r="S98" i="3"/>
  <c r="O98" i="3"/>
  <c r="U98" i="3"/>
  <c r="AE98" i="3"/>
  <c r="AF98" i="3"/>
  <c r="M98" i="3"/>
  <c r="AD98" i="3"/>
  <c r="AM98" i="3"/>
  <c r="AK98" i="3"/>
  <c r="V98" i="3"/>
  <c r="T98" i="3"/>
  <c r="P98" i="3"/>
  <c r="R98" i="3"/>
  <c r="AO97" i="3"/>
  <c r="AU96" i="3"/>
  <c r="BB94" i="3"/>
  <c r="BQ94" i="3"/>
  <c r="BF94" i="3"/>
  <c r="BJ93" i="3" s="1"/>
  <c r="BK93" i="3" s="1"/>
  <c r="BD94" i="3"/>
  <c r="BG94" i="3"/>
  <c r="BH94" i="3" s="1"/>
  <c r="BI94" i="3" s="1"/>
  <c r="X97" i="3"/>
  <c r="BC95" i="3"/>
  <c r="BB95" i="3" l="1"/>
  <c r="AX97" i="3"/>
  <c r="AH98" i="3"/>
  <c r="AO98" i="3"/>
  <c r="Y98" i="3"/>
  <c r="Z98" i="3" s="1"/>
  <c r="AV96" i="3"/>
  <c r="BC96" i="3" s="1"/>
  <c r="BA96" i="3"/>
  <c r="AW97" i="3"/>
  <c r="AN98" i="3"/>
  <c r="AG98" i="3"/>
  <c r="AW98" i="3" s="1"/>
  <c r="BM98" i="3"/>
  <c r="A100" i="3"/>
  <c r="B99" i="3"/>
  <c r="AQ99" i="3"/>
  <c r="AR99" i="3"/>
  <c r="C99" i="3"/>
  <c r="D99" i="3"/>
  <c r="F99" i="3"/>
  <c r="G99" i="3"/>
  <c r="H99" i="3" s="1"/>
  <c r="Q99" i="3"/>
  <c r="S99" i="3"/>
  <c r="O99" i="3"/>
  <c r="U99" i="3"/>
  <c r="AE99" i="3"/>
  <c r="M99" i="3"/>
  <c r="AF99" i="3"/>
  <c r="AD99" i="3"/>
  <c r="AM99" i="3"/>
  <c r="AK99" i="3"/>
  <c r="R99" i="3"/>
  <c r="T99" i="3"/>
  <c r="V99" i="3"/>
  <c r="P99" i="3"/>
  <c r="BD95" i="3"/>
  <c r="BG95" i="3"/>
  <c r="BH95" i="3" s="1"/>
  <c r="BI95" i="3" s="1"/>
  <c r="X98" i="3"/>
  <c r="AT97" i="3"/>
  <c r="BN98" i="3"/>
  <c r="BJ94" i="3"/>
  <c r="BK94" i="3" s="1"/>
  <c r="AY97" i="3" l="1"/>
  <c r="AO99" i="3"/>
  <c r="BN99" i="3"/>
  <c r="AX98" i="3"/>
  <c r="AY98" i="3" s="1"/>
  <c r="AN99" i="3"/>
  <c r="AH99" i="3"/>
  <c r="AT98" i="3"/>
  <c r="BF96" i="3"/>
  <c r="BJ95" i="3" s="1"/>
  <c r="BK95" i="3" s="1"/>
  <c r="BQ96" i="3"/>
  <c r="BB96" i="3"/>
  <c r="A101" i="3"/>
  <c r="B100" i="3"/>
  <c r="AQ100" i="3"/>
  <c r="AR100" i="3"/>
  <c r="C100" i="3"/>
  <c r="D100" i="3"/>
  <c r="F100" i="3"/>
  <c r="BM100" i="3" s="1"/>
  <c r="G100" i="3"/>
  <c r="H100" i="3" s="1"/>
  <c r="Q100" i="3"/>
  <c r="S100" i="3"/>
  <c r="O100" i="3"/>
  <c r="U100" i="3"/>
  <c r="M100" i="3"/>
  <c r="AF100" i="3"/>
  <c r="AD100" i="3"/>
  <c r="AE100" i="3"/>
  <c r="AG100" i="3" s="1"/>
  <c r="AK100" i="3"/>
  <c r="AM100" i="3"/>
  <c r="AN100" i="3" s="1"/>
  <c r="P100" i="3"/>
  <c r="V100" i="3"/>
  <c r="R100" i="3"/>
  <c r="T100" i="3"/>
  <c r="X99" i="3"/>
  <c r="BD96" i="3"/>
  <c r="BG96" i="3"/>
  <c r="BH96" i="3" s="1"/>
  <c r="BI96" i="3" s="1"/>
  <c r="AG99" i="3"/>
  <c r="AU98" i="3"/>
  <c r="BM99" i="3"/>
  <c r="AV97" i="3"/>
  <c r="BC97" i="3" s="1"/>
  <c r="BA97" i="3"/>
  <c r="Y99" i="3"/>
  <c r="Z99" i="3" s="1"/>
  <c r="BN100" i="3" l="1"/>
  <c r="AW99" i="3"/>
  <c r="Y100" i="3"/>
  <c r="Z100" i="3" s="1"/>
  <c r="AR101" i="3"/>
  <c r="A102" i="3"/>
  <c r="C101" i="3"/>
  <c r="AQ101" i="3"/>
  <c r="B101" i="3"/>
  <c r="D101" i="3"/>
  <c r="G101" i="3"/>
  <c r="H101" i="3" s="1"/>
  <c r="BN101" i="3" s="1"/>
  <c r="F101" i="3"/>
  <c r="BM101" i="3" s="1"/>
  <c r="Q101" i="3"/>
  <c r="S101" i="3"/>
  <c r="O101" i="3"/>
  <c r="U101" i="3"/>
  <c r="M101" i="3"/>
  <c r="AF101" i="3"/>
  <c r="AD101" i="3"/>
  <c r="AE101" i="3"/>
  <c r="AK101" i="3"/>
  <c r="AM101" i="3"/>
  <c r="AN101" i="3" s="1"/>
  <c r="V101" i="3"/>
  <c r="P101" i="3"/>
  <c r="R101" i="3"/>
  <c r="T101" i="3"/>
  <c r="BD97" i="3"/>
  <c r="BG97" i="3"/>
  <c r="BH97" i="3" s="1"/>
  <c r="BI97" i="3" s="1"/>
  <c r="BB97" i="3"/>
  <c r="BQ97" i="3"/>
  <c r="BF97" i="3"/>
  <c r="X100" i="3"/>
  <c r="AO100" i="3"/>
  <c r="AW100" i="3" s="1"/>
  <c r="AT99" i="3"/>
  <c r="AH100" i="3"/>
  <c r="AU99" i="3"/>
  <c r="BA98" i="3"/>
  <c r="AV98" i="3"/>
  <c r="BC98" i="3" s="1"/>
  <c r="AX99" i="3"/>
  <c r="AY99" i="3" s="1"/>
  <c r="AX100" i="3" l="1"/>
  <c r="AY100" i="3" s="1"/>
  <c r="AG101" i="3"/>
  <c r="Y101" i="3"/>
  <c r="Z101" i="3" s="1"/>
  <c r="B102" i="3"/>
  <c r="AQ102" i="3"/>
  <c r="AR102" i="3"/>
  <c r="A103" i="3"/>
  <c r="C102" i="3"/>
  <c r="D102" i="3"/>
  <c r="F102" i="3"/>
  <c r="BM102" i="3" s="1"/>
  <c r="G102" i="3"/>
  <c r="H102" i="3" s="1"/>
  <c r="BN102" i="3" s="1"/>
  <c r="Q102" i="3"/>
  <c r="S102" i="3"/>
  <c r="O102" i="3"/>
  <c r="U102" i="3"/>
  <c r="AF102" i="3"/>
  <c r="AD102" i="3"/>
  <c r="M102" i="3"/>
  <c r="AE102" i="3"/>
  <c r="AM102" i="3"/>
  <c r="AK102" i="3"/>
  <c r="R102" i="3"/>
  <c r="P102" i="3"/>
  <c r="V102" i="3"/>
  <c r="T102" i="3"/>
  <c r="BA99" i="3"/>
  <c r="AV99" i="3"/>
  <c r="BC99" i="3" s="1"/>
  <c r="BJ97" i="3"/>
  <c r="BK97" i="3" s="1"/>
  <c r="BJ96" i="3"/>
  <c r="BK96" i="3" s="1"/>
  <c r="AU101" i="3"/>
  <c r="AT101" i="3"/>
  <c r="BD98" i="3"/>
  <c r="BG98" i="3"/>
  <c r="BH98" i="3" s="1"/>
  <c r="BI98" i="3" s="1"/>
  <c r="BB98" i="3"/>
  <c r="BF98" i="3"/>
  <c r="BQ98" i="3"/>
  <c r="X101" i="3"/>
  <c r="AO101" i="3"/>
  <c r="AU100" i="3"/>
  <c r="AH101" i="3"/>
  <c r="AX101" i="3" s="1"/>
  <c r="AT100" i="3"/>
  <c r="AO102" i="3" l="1"/>
  <c r="AH102" i="3"/>
  <c r="AV101" i="3"/>
  <c r="Y102" i="3"/>
  <c r="Z102" i="3" s="1"/>
  <c r="X102" i="3"/>
  <c r="BA100" i="3"/>
  <c r="AV100" i="3"/>
  <c r="BC100" i="3" s="1"/>
  <c r="BD99" i="3"/>
  <c r="BG99" i="3"/>
  <c r="BH99" i="3" s="1"/>
  <c r="BI99" i="3" s="1"/>
  <c r="AW101" i="3"/>
  <c r="BA101" i="3" s="1"/>
  <c r="AX102" i="3"/>
  <c r="BB99" i="3"/>
  <c r="BQ99" i="3"/>
  <c r="BF99" i="3"/>
  <c r="BJ98" i="3" s="1"/>
  <c r="BK98" i="3" s="1"/>
  <c r="A104" i="3"/>
  <c r="AR103" i="3"/>
  <c r="B103" i="3"/>
  <c r="AQ103" i="3"/>
  <c r="D103" i="3"/>
  <c r="C103" i="3"/>
  <c r="F103" i="3"/>
  <c r="G103" i="3"/>
  <c r="H103" i="3" s="1"/>
  <c r="BN103" i="3" s="1"/>
  <c r="Q103" i="3"/>
  <c r="S103" i="3"/>
  <c r="O103" i="3"/>
  <c r="U103" i="3"/>
  <c r="AD103" i="3"/>
  <c r="AF103" i="3"/>
  <c r="AE103" i="3"/>
  <c r="AM103" i="3"/>
  <c r="M103" i="3"/>
  <c r="AK103" i="3"/>
  <c r="P103" i="3"/>
  <c r="R103" i="3"/>
  <c r="T103" i="3"/>
  <c r="V103" i="3"/>
  <c r="AN102" i="3"/>
  <c r="AG102" i="3"/>
  <c r="AW102" i="3" l="1"/>
  <c r="AG103" i="3"/>
  <c r="AN103" i="3"/>
  <c r="AY102" i="3"/>
  <c r="BB101" i="3"/>
  <c r="BQ101" i="3"/>
  <c r="BF101" i="3"/>
  <c r="A105" i="3"/>
  <c r="AR104" i="3"/>
  <c r="AQ104" i="3"/>
  <c r="B104" i="3"/>
  <c r="C104" i="3"/>
  <c r="D104" i="3"/>
  <c r="G104" i="3"/>
  <c r="H104" i="3" s="1"/>
  <c r="BN104" i="3" s="1"/>
  <c r="F104" i="3"/>
  <c r="BM104" i="3" s="1"/>
  <c r="Q104" i="3"/>
  <c r="S104" i="3"/>
  <c r="O104" i="3"/>
  <c r="U104" i="3"/>
  <c r="AF104" i="3"/>
  <c r="AD104" i="3"/>
  <c r="AE104" i="3"/>
  <c r="AM104" i="3"/>
  <c r="M104" i="3"/>
  <c r="AK104" i="3"/>
  <c r="P104" i="3"/>
  <c r="R104" i="3"/>
  <c r="T104" i="3"/>
  <c r="V104" i="3"/>
  <c r="BM103" i="3"/>
  <c r="BQ100" i="3"/>
  <c r="BB100" i="3"/>
  <c r="BF100" i="3"/>
  <c r="BJ99" i="3" s="1"/>
  <c r="BK99" i="3" s="1"/>
  <c r="AH103" i="3"/>
  <c r="Y103" i="3"/>
  <c r="Z103" i="3" s="1"/>
  <c r="BD100" i="3"/>
  <c r="BG100" i="3"/>
  <c r="BH100" i="3" s="1"/>
  <c r="BI100" i="3" s="1"/>
  <c r="AY101" i="3"/>
  <c r="X103" i="3"/>
  <c r="AT102" i="3"/>
  <c r="AU102" i="3"/>
  <c r="AO103" i="3"/>
  <c r="BC101" i="3"/>
  <c r="AO104" i="3" l="1"/>
  <c r="AX103" i="3"/>
  <c r="AW103" i="3"/>
  <c r="X104" i="3"/>
  <c r="Y104" i="3"/>
  <c r="Z104" i="3" s="1"/>
  <c r="AU103" i="3"/>
  <c r="AY103" i="3"/>
  <c r="AT103" i="3"/>
  <c r="BA102" i="3"/>
  <c r="AV102" i="3"/>
  <c r="BC102" i="3" s="1"/>
  <c r="AN104" i="3"/>
  <c r="BJ100" i="3"/>
  <c r="BK100" i="3" s="1"/>
  <c r="AG104" i="3"/>
  <c r="BD101" i="3"/>
  <c r="BG101" i="3"/>
  <c r="BH101" i="3" s="1"/>
  <c r="BI101" i="3" s="1"/>
  <c r="AU104" i="3"/>
  <c r="AR105" i="3"/>
  <c r="B105" i="3"/>
  <c r="A106" i="3"/>
  <c r="AQ105" i="3"/>
  <c r="D105" i="3"/>
  <c r="C105" i="3"/>
  <c r="F105" i="3"/>
  <c r="BM105" i="3" s="1"/>
  <c r="G105" i="3"/>
  <c r="H105" i="3" s="1"/>
  <c r="BN105" i="3" s="1"/>
  <c r="Q105" i="3"/>
  <c r="S105" i="3"/>
  <c r="O105" i="3"/>
  <c r="U105" i="3"/>
  <c r="M105" i="3"/>
  <c r="AE105" i="3"/>
  <c r="AF105" i="3"/>
  <c r="AD105" i="3"/>
  <c r="AM105" i="3"/>
  <c r="AK105" i="3"/>
  <c r="R105" i="3"/>
  <c r="P105" i="3"/>
  <c r="T105" i="3"/>
  <c r="V105" i="3"/>
  <c r="AH104" i="3"/>
  <c r="AN105" i="3" l="1"/>
  <c r="AG105" i="3"/>
  <c r="BD102" i="3"/>
  <c r="BG102" i="3"/>
  <c r="BH102" i="3" s="1"/>
  <c r="BI102" i="3" s="1"/>
  <c r="AW104" i="3"/>
  <c r="AT104" i="3"/>
  <c r="Y105" i="3"/>
  <c r="Z105" i="3" s="1"/>
  <c r="AH105" i="3"/>
  <c r="X105" i="3"/>
  <c r="AX104" i="3"/>
  <c r="BB102" i="3"/>
  <c r="BQ102" i="3"/>
  <c r="BF102" i="3"/>
  <c r="BJ101" i="3" s="1"/>
  <c r="BK101" i="3" s="1"/>
  <c r="BA103" i="3"/>
  <c r="AV103" i="3"/>
  <c r="BC103" i="3" s="1"/>
  <c r="B106" i="3"/>
  <c r="AQ106" i="3"/>
  <c r="AR106" i="3"/>
  <c r="A107" i="3"/>
  <c r="D106" i="3"/>
  <c r="C106" i="3"/>
  <c r="G106" i="3"/>
  <c r="H106" i="3" s="1"/>
  <c r="BN106" i="3" s="1"/>
  <c r="F106" i="3"/>
  <c r="BM106" i="3" s="1"/>
  <c r="Q106" i="3"/>
  <c r="S106" i="3"/>
  <c r="O106" i="3"/>
  <c r="U106" i="3"/>
  <c r="AE106" i="3"/>
  <c r="AD106" i="3"/>
  <c r="AF106" i="3"/>
  <c r="AM106" i="3"/>
  <c r="AK106" i="3"/>
  <c r="M106" i="3"/>
  <c r="R106" i="3"/>
  <c r="P106" i="3"/>
  <c r="V106" i="3"/>
  <c r="T106" i="3"/>
  <c r="AO105" i="3"/>
  <c r="AX105" i="3" l="1"/>
  <c r="AO106" i="3"/>
  <c r="AH106" i="3"/>
  <c r="BF103" i="3"/>
  <c r="BJ102" i="3" s="1"/>
  <c r="BK102" i="3" s="1"/>
  <c r="BB103" i="3"/>
  <c r="BQ103" i="3"/>
  <c r="BG103" i="3"/>
  <c r="BH103" i="3" s="1"/>
  <c r="BI103" i="3" s="1"/>
  <c r="BD103" i="3"/>
  <c r="AG106" i="3"/>
  <c r="X106" i="3"/>
  <c r="Y106" i="3"/>
  <c r="Z106" i="3" s="1"/>
  <c r="BA104" i="3"/>
  <c r="AV104" i="3"/>
  <c r="BC104" i="3" s="1"/>
  <c r="A108" i="3"/>
  <c r="AR107" i="3"/>
  <c r="B107" i="3"/>
  <c r="AQ107" i="3"/>
  <c r="C107" i="3"/>
  <c r="D107" i="3"/>
  <c r="F107" i="3"/>
  <c r="BM107" i="3" s="1"/>
  <c r="G107" i="3"/>
  <c r="H107" i="3" s="1"/>
  <c r="BN107" i="3" s="1"/>
  <c r="Q107" i="3"/>
  <c r="S107" i="3"/>
  <c r="O107" i="3"/>
  <c r="U107" i="3"/>
  <c r="AD107" i="3"/>
  <c r="AF107" i="3"/>
  <c r="AE107" i="3"/>
  <c r="AG107" i="3" s="1"/>
  <c r="AM107" i="3"/>
  <c r="M107" i="3"/>
  <c r="AK107" i="3"/>
  <c r="V107" i="3"/>
  <c r="T107" i="3"/>
  <c r="R107" i="3"/>
  <c r="P107" i="3"/>
  <c r="AY104" i="3"/>
  <c r="AW105" i="3"/>
  <c r="AY105" i="3" s="1"/>
  <c r="AN106" i="3"/>
  <c r="AU105" i="3"/>
  <c r="AT105" i="3"/>
  <c r="AW106" i="3" l="1"/>
  <c r="AO107" i="3"/>
  <c r="BD104" i="3"/>
  <c r="BG104" i="3"/>
  <c r="BH104" i="3" s="1"/>
  <c r="BI104" i="3" s="1"/>
  <c r="AV105" i="3"/>
  <c r="BC105" i="3" s="1"/>
  <c r="BA105" i="3"/>
  <c r="AU106" i="3"/>
  <c r="Y107" i="3"/>
  <c r="Z107" i="3" s="1"/>
  <c r="A109" i="3"/>
  <c r="AR108" i="3"/>
  <c r="AQ108" i="3"/>
  <c r="B108" i="3"/>
  <c r="D108" i="3"/>
  <c r="C108" i="3"/>
  <c r="G108" i="3"/>
  <c r="H108" i="3" s="1"/>
  <c r="BN108" i="3" s="1"/>
  <c r="F108" i="3"/>
  <c r="Q108" i="3"/>
  <c r="S108" i="3"/>
  <c r="O108" i="3"/>
  <c r="U108" i="3"/>
  <c r="AE108" i="3"/>
  <c r="AD108" i="3"/>
  <c r="AF108" i="3"/>
  <c r="M108" i="3"/>
  <c r="AM108" i="3"/>
  <c r="AK108" i="3"/>
  <c r="P108" i="3"/>
  <c r="R108" i="3"/>
  <c r="V108" i="3"/>
  <c r="T108" i="3"/>
  <c r="AH107" i="3"/>
  <c r="AN107" i="3"/>
  <c r="AT106" i="3"/>
  <c r="BB104" i="3"/>
  <c r="BQ104" i="3"/>
  <c r="BF104" i="3"/>
  <c r="BJ103" i="3" s="1"/>
  <c r="BK103" i="3" s="1"/>
  <c r="X107" i="3"/>
  <c r="AX106" i="3"/>
  <c r="AO108" i="3" l="1"/>
  <c r="AY106" i="3"/>
  <c r="AX107" i="3"/>
  <c r="AH108" i="3"/>
  <c r="B109" i="3"/>
  <c r="AR109" i="3"/>
  <c r="A110" i="3"/>
  <c r="D109" i="3"/>
  <c r="AQ109" i="3"/>
  <c r="C109" i="3"/>
  <c r="F109" i="3"/>
  <c r="BM109" i="3" s="1"/>
  <c r="G109" i="3"/>
  <c r="H109" i="3" s="1"/>
  <c r="BN109" i="3" s="1"/>
  <c r="Q109" i="3"/>
  <c r="S109" i="3"/>
  <c r="O109" i="3"/>
  <c r="U109" i="3"/>
  <c r="AF109" i="3"/>
  <c r="AD109" i="3"/>
  <c r="AE109" i="3"/>
  <c r="M109" i="3"/>
  <c r="AM109" i="3"/>
  <c r="AK109" i="3"/>
  <c r="V109" i="3"/>
  <c r="P109" i="3"/>
  <c r="R109" i="3"/>
  <c r="T109" i="3"/>
  <c r="AU107" i="3"/>
  <c r="BM108" i="3"/>
  <c r="AN108" i="3"/>
  <c r="BF105" i="3"/>
  <c r="BJ104" i="3" s="1"/>
  <c r="BK104" i="3" s="1"/>
  <c r="BB105" i="3"/>
  <c r="BQ105" i="3"/>
  <c r="AG108" i="3"/>
  <c r="AW107" i="3"/>
  <c r="BA106" i="3"/>
  <c r="AV106" i="3"/>
  <c r="BC106" i="3" s="1"/>
  <c r="Y108" i="3"/>
  <c r="Z108" i="3" s="1"/>
  <c r="BD105" i="3"/>
  <c r="BG105" i="3"/>
  <c r="BH105" i="3" s="1"/>
  <c r="BI105" i="3" s="1"/>
  <c r="X108" i="3"/>
  <c r="AT107" i="3"/>
  <c r="AW108" i="3" l="1"/>
  <c r="AO109" i="3"/>
  <c r="AY107" i="3"/>
  <c r="AX108" i="3"/>
  <c r="AY108" i="3" s="1"/>
  <c r="AG109" i="3"/>
  <c r="X109" i="3"/>
  <c r="BA107" i="3"/>
  <c r="AV107" i="3"/>
  <c r="BC107" i="3" s="1"/>
  <c r="BD106" i="3"/>
  <c r="BG106" i="3"/>
  <c r="BH106" i="3" s="1"/>
  <c r="BI106" i="3" s="1"/>
  <c r="B110" i="3"/>
  <c r="AQ110" i="3"/>
  <c r="AR110" i="3"/>
  <c r="A111" i="3"/>
  <c r="C110" i="3"/>
  <c r="D110" i="3"/>
  <c r="G110" i="3"/>
  <c r="H110" i="3" s="1"/>
  <c r="BN110" i="3" s="1"/>
  <c r="F110" i="3"/>
  <c r="Q110" i="3"/>
  <c r="S110" i="3"/>
  <c r="O110" i="3"/>
  <c r="U110" i="3"/>
  <c r="AF110" i="3"/>
  <c r="AD110" i="3"/>
  <c r="AE110" i="3"/>
  <c r="M110" i="3"/>
  <c r="AM110" i="3"/>
  <c r="AK110" i="3"/>
  <c r="R110" i="3"/>
  <c r="P110" i="3"/>
  <c r="V110" i="3"/>
  <c r="T110" i="3"/>
  <c r="AH109" i="3"/>
  <c r="AU108" i="3"/>
  <c r="AT108" i="3"/>
  <c r="Y109" i="3"/>
  <c r="Z109" i="3" s="1"/>
  <c r="BQ106" i="3"/>
  <c r="BB106" i="3"/>
  <c r="BF106" i="3"/>
  <c r="BJ105" i="3" s="1"/>
  <c r="BK105" i="3" s="1"/>
  <c r="AN109" i="3"/>
  <c r="AO110" i="3" l="1"/>
  <c r="AG110" i="3"/>
  <c r="BM110" i="3"/>
  <c r="AX109" i="3"/>
  <c r="BA108" i="3"/>
  <c r="AV108" i="3"/>
  <c r="BC108" i="3" s="1"/>
  <c r="X110" i="3"/>
  <c r="Y110" i="3"/>
  <c r="Z110" i="3" s="1"/>
  <c r="AN110" i="3"/>
  <c r="AT109" i="3"/>
  <c r="AW109" i="3"/>
  <c r="AY109" i="3" s="1"/>
  <c r="BG107" i="3"/>
  <c r="BH107" i="3" s="1"/>
  <c r="BI107" i="3" s="1"/>
  <c r="BD107" i="3"/>
  <c r="AQ111" i="3"/>
  <c r="A112" i="3"/>
  <c r="B111" i="3"/>
  <c r="AR111" i="3"/>
  <c r="C111" i="3"/>
  <c r="D111" i="3"/>
  <c r="F111" i="3"/>
  <c r="G111" i="3"/>
  <c r="H111" i="3" s="1"/>
  <c r="Q111" i="3"/>
  <c r="S111" i="3"/>
  <c r="O111" i="3"/>
  <c r="U111" i="3"/>
  <c r="AE111" i="3"/>
  <c r="AF111" i="3"/>
  <c r="AD111" i="3"/>
  <c r="AM111" i="3"/>
  <c r="M111" i="3"/>
  <c r="AK111" i="3"/>
  <c r="R111" i="3"/>
  <c r="V111" i="3"/>
  <c r="T111" i="3"/>
  <c r="P111" i="3"/>
  <c r="AH110" i="3"/>
  <c r="AU110" i="3" s="1"/>
  <c r="BQ107" i="3"/>
  <c r="BF107" i="3"/>
  <c r="BJ106" i="3" s="1"/>
  <c r="BK106" i="3" s="1"/>
  <c r="BB107" i="3"/>
  <c r="AU109" i="3"/>
  <c r="AO111" i="3" l="1"/>
  <c r="BN111" i="3"/>
  <c r="BA109" i="3"/>
  <c r="AV109" i="3"/>
  <c r="BC109" i="3" s="1"/>
  <c r="X111" i="3"/>
  <c r="AQ112" i="3"/>
  <c r="A113" i="3"/>
  <c r="AR112" i="3"/>
  <c r="B112" i="3"/>
  <c r="C112" i="3"/>
  <c r="D112" i="3"/>
  <c r="F112" i="3"/>
  <c r="BM112" i="3" s="1"/>
  <c r="G112" i="3"/>
  <c r="H112" i="3" s="1"/>
  <c r="BN112" i="3" s="1"/>
  <c r="Q112" i="3"/>
  <c r="S112" i="3"/>
  <c r="O112" i="3"/>
  <c r="U112" i="3"/>
  <c r="AD112" i="3"/>
  <c r="AE112" i="3"/>
  <c r="AF112" i="3"/>
  <c r="M112" i="3"/>
  <c r="AM112" i="3"/>
  <c r="AK112" i="3"/>
  <c r="V112" i="3"/>
  <c r="P112" i="3"/>
  <c r="R112" i="3"/>
  <c r="T112" i="3"/>
  <c r="AN111" i="3"/>
  <c r="AG111" i="3"/>
  <c r="AW110" i="3"/>
  <c r="AY110" i="3" s="1"/>
  <c r="BD108" i="3"/>
  <c r="BG108" i="3"/>
  <c r="BH108" i="3" s="1"/>
  <c r="BI108" i="3" s="1"/>
  <c r="BF108" i="3"/>
  <c r="BJ107" i="3" s="1"/>
  <c r="BK107" i="3" s="1"/>
  <c r="BB108" i="3"/>
  <c r="BQ108" i="3"/>
  <c r="Y111" i="3"/>
  <c r="Z111" i="3" s="1"/>
  <c r="AH111" i="3"/>
  <c r="AX110" i="3"/>
  <c r="BM111" i="3"/>
  <c r="AT110" i="3"/>
  <c r="AO112" i="3" l="1"/>
  <c r="AW111" i="3"/>
  <c r="AH112" i="3"/>
  <c r="X112" i="3"/>
  <c r="Y112" i="3"/>
  <c r="Z112" i="3" s="1"/>
  <c r="AN112" i="3"/>
  <c r="BD109" i="3"/>
  <c r="BG109" i="3"/>
  <c r="BH109" i="3" s="1"/>
  <c r="BI109" i="3" s="1"/>
  <c r="BQ109" i="3"/>
  <c r="BB109" i="3"/>
  <c r="BF109" i="3"/>
  <c r="BJ108" i="3" s="1"/>
  <c r="BK108" i="3" s="1"/>
  <c r="AV110" i="3"/>
  <c r="BC110" i="3" s="1"/>
  <c r="BA110" i="3"/>
  <c r="AQ113" i="3"/>
  <c r="AR113" i="3"/>
  <c r="B113" i="3"/>
  <c r="A114" i="3"/>
  <c r="C113" i="3"/>
  <c r="D113" i="3"/>
  <c r="F113" i="3"/>
  <c r="G113" i="3"/>
  <c r="H113" i="3" s="1"/>
  <c r="BN113" i="3" s="1"/>
  <c r="Q113" i="3"/>
  <c r="S113" i="3"/>
  <c r="O113" i="3"/>
  <c r="U113" i="3"/>
  <c r="AE113" i="3"/>
  <c r="M113" i="3"/>
  <c r="AD113" i="3"/>
  <c r="AF113" i="3"/>
  <c r="AK113" i="3"/>
  <c r="AM113" i="3"/>
  <c r="R113" i="3"/>
  <c r="P113" i="3"/>
  <c r="V113" i="3"/>
  <c r="T113" i="3"/>
  <c r="AX111" i="3"/>
  <c r="AU111" i="3"/>
  <c r="AG112" i="3"/>
  <c r="AW112" i="3" s="1"/>
  <c r="AT111" i="3"/>
  <c r="AY111" i="3" l="1"/>
  <c r="BM113" i="3"/>
  <c r="AX112" i="3"/>
  <c r="AY112" i="3" s="1"/>
  <c r="AO113" i="3"/>
  <c r="BQ110" i="3"/>
  <c r="BF110" i="3"/>
  <c r="BJ109" i="3" s="1"/>
  <c r="BK109" i="3" s="1"/>
  <c r="BB110" i="3"/>
  <c r="X113" i="3"/>
  <c r="B114" i="3"/>
  <c r="AQ114" i="3"/>
  <c r="AR114" i="3"/>
  <c r="A115" i="3"/>
  <c r="D114" i="3"/>
  <c r="C114" i="3"/>
  <c r="G114" i="3"/>
  <c r="H114" i="3" s="1"/>
  <c r="BN114" i="3" s="1"/>
  <c r="F114" i="3"/>
  <c r="BM114" i="3" s="1"/>
  <c r="Q114" i="3"/>
  <c r="S114" i="3"/>
  <c r="O114" i="3"/>
  <c r="U114" i="3"/>
  <c r="AD114" i="3"/>
  <c r="AF114" i="3"/>
  <c r="AE114" i="3"/>
  <c r="M114" i="3"/>
  <c r="AK114" i="3"/>
  <c r="AM114" i="3"/>
  <c r="R114" i="3"/>
  <c r="T114" i="3"/>
  <c r="V114" i="3"/>
  <c r="P114" i="3"/>
  <c r="AU112" i="3"/>
  <c r="AN113" i="3"/>
  <c r="BD110" i="3"/>
  <c r="BG110" i="3"/>
  <c r="BH110" i="3" s="1"/>
  <c r="BI110" i="3" s="1"/>
  <c r="AH113" i="3"/>
  <c r="AG113" i="3"/>
  <c r="BA111" i="3"/>
  <c r="AV111" i="3"/>
  <c r="BC111" i="3" s="1"/>
  <c r="Y113" i="3"/>
  <c r="Z113" i="3" s="1"/>
  <c r="AT112" i="3"/>
  <c r="AO114" i="3" l="1"/>
  <c r="Y114" i="3"/>
  <c r="Z114" i="3" s="1"/>
  <c r="AN114" i="3"/>
  <c r="BQ111" i="3"/>
  <c r="BB111" i="3"/>
  <c r="BF111" i="3"/>
  <c r="BJ110" i="3" s="1"/>
  <c r="BK110" i="3" s="1"/>
  <c r="B115" i="3"/>
  <c r="A116" i="3"/>
  <c r="AQ115" i="3"/>
  <c r="AR115" i="3"/>
  <c r="D115" i="3"/>
  <c r="C115" i="3"/>
  <c r="F115" i="3"/>
  <c r="BM115" i="3" s="1"/>
  <c r="G115" i="3"/>
  <c r="H115" i="3" s="1"/>
  <c r="Q115" i="3"/>
  <c r="S115" i="3"/>
  <c r="O115" i="3"/>
  <c r="U115" i="3"/>
  <c r="AD115" i="3"/>
  <c r="M115" i="3"/>
  <c r="AF115" i="3"/>
  <c r="AE115" i="3"/>
  <c r="AM115" i="3"/>
  <c r="AK115" i="3"/>
  <c r="T115" i="3"/>
  <c r="V115" i="3"/>
  <c r="R115" i="3"/>
  <c r="P115" i="3"/>
  <c r="AT114" i="3"/>
  <c r="AV112" i="3"/>
  <c r="BC112" i="3" s="1"/>
  <c r="BA112" i="3"/>
  <c r="BD111" i="3"/>
  <c r="BG111" i="3"/>
  <c r="BH111" i="3" s="1"/>
  <c r="BI111" i="3" s="1"/>
  <c r="AG114" i="3"/>
  <c r="AW113" i="3"/>
  <c r="AH114" i="3"/>
  <c r="AX113" i="3"/>
  <c r="X114" i="3"/>
  <c r="AT113" i="3"/>
  <c r="AU113" i="3"/>
  <c r="BN115" i="3" l="1"/>
  <c r="AX114" i="3"/>
  <c r="AO115" i="3"/>
  <c r="AG115" i="3"/>
  <c r="AN115" i="3"/>
  <c r="AQ116" i="3"/>
  <c r="A117" i="3"/>
  <c r="AR116" i="3"/>
  <c r="B116" i="3"/>
  <c r="D116" i="3"/>
  <c r="C116" i="3"/>
  <c r="G116" i="3"/>
  <c r="H116" i="3" s="1"/>
  <c r="BN116" i="3" s="1"/>
  <c r="F116" i="3"/>
  <c r="BM116" i="3" s="1"/>
  <c r="Q116" i="3"/>
  <c r="S116" i="3"/>
  <c r="O116" i="3"/>
  <c r="U116" i="3"/>
  <c r="AF116" i="3"/>
  <c r="AD116" i="3"/>
  <c r="M116" i="3"/>
  <c r="AE116" i="3"/>
  <c r="AM116" i="3"/>
  <c r="AK116" i="3"/>
  <c r="V116" i="3"/>
  <c r="P116" i="3"/>
  <c r="T116" i="3"/>
  <c r="R116" i="3"/>
  <c r="BD112" i="3"/>
  <c r="BG112" i="3"/>
  <c r="BH112" i="3" s="1"/>
  <c r="BI112" i="3" s="1"/>
  <c r="AH115" i="3"/>
  <c r="BF112" i="3"/>
  <c r="BJ111" i="3" s="1"/>
  <c r="BK111" i="3" s="1"/>
  <c r="BQ112" i="3"/>
  <c r="BB112" i="3"/>
  <c r="Y115" i="3"/>
  <c r="Z115" i="3" s="1"/>
  <c r="BA113" i="3"/>
  <c r="AV113" i="3"/>
  <c r="AW114" i="3"/>
  <c r="AY114" i="3" s="1"/>
  <c r="X115" i="3"/>
  <c r="AU114" i="3"/>
  <c r="AV114" i="3" s="1"/>
  <c r="AY113" i="3"/>
  <c r="BC114" i="3" l="1"/>
  <c r="AO116" i="3"/>
  <c r="BD114" i="3"/>
  <c r="BG114" i="3"/>
  <c r="BH114" i="3" s="1"/>
  <c r="BI114" i="3" s="1"/>
  <c r="X116" i="3"/>
  <c r="AW115" i="3"/>
  <c r="AX115" i="3"/>
  <c r="AU115" i="3"/>
  <c r="AQ117" i="3"/>
  <c r="B117" i="3"/>
  <c r="AR117" i="3"/>
  <c r="A118" i="3"/>
  <c r="C117" i="3"/>
  <c r="D117" i="3"/>
  <c r="G117" i="3"/>
  <c r="H117" i="3" s="1"/>
  <c r="F117" i="3"/>
  <c r="BM117" i="3" s="1"/>
  <c r="S117" i="3"/>
  <c r="Q117" i="3"/>
  <c r="O117" i="3"/>
  <c r="U117" i="3"/>
  <c r="AF117" i="3"/>
  <c r="AE117" i="3"/>
  <c r="AD117" i="3"/>
  <c r="AK117" i="3"/>
  <c r="AM117" i="3"/>
  <c r="M117" i="3"/>
  <c r="V117" i="3"/>
  <c r="P117" i="3"/>
  <c r="T117" i="3"/>
  <c r="R117" i="3"/>
  <c r="BC113" i="3"/>
  <c r="AG116" i="3"/>
  <c r="AT115" i="3"/>
  <c r="Y116" i="3"/>
  <c r="Z116" i="3" s="1"/>
  <c r="AN116" i="3"/>
  <c r="BA114" i="3"/>
  <c r="BF113" i="3"/>
  <c r="BQ113" i="3"/>
  <c r="BB113" i="3"/>
  <c r="AH116" i="3"/>
  <c r="AN117" i="3" l="1"/>
  <c r="AY115" i="3"/>
  <c r="AH117" i="3"/>
  <c r="BN117" i="3"/>
  <c r="AW116" i="3"/>
  <c r="AG117" i="3"/>
  <c r="AT117" i="3" s="1"/>
  <c r="AU116" i="3"/>
  <c r="B118" i="3"/>
  <c r="AQ118" i="3"/>
  <c r="AR118" i="3"/>
  <c r="A119" i="3"/>
  <c r="D118" i="3"/>
  <c r="C118" i="3"/>
  <c r="G118" i="3"/>
  <c r="H118" i="3" s="1"/>
  <c r="BN118" i="3" s="1"/>
  <c r="F118" i="3"/>
  <c r="BM118" i="3" s="1"/>
  <c r="Q118" i="3"/>
  <c r="S118" i="3"/>
  <c r="O118" i="3"/>
  <c r="U118" i="3"/>
  <c r="AD118" i="3"/>
  <c r="AF118" i="3"/>
  <c r="M118" i="3"/>
  <c r="AM118" i="3"/>
  <c r="AE118" i="3"/>
  <c r="AK118" i="3"/>
  <c r="P118" i="3"/>
  <c r="V118" i="3"/>
  <c r="T118" i="3"/>
  <c r="R118" i="3"/>
  <c r="BD113" i="3"/>
  <c r="BG113" i="3"/>
  <c r="BH113" i="3" s="1"/>
  <c r="BI113" i="3" s="1"/>
  <c r="BJ113" i="3"/>
  <c r="BK113" i="3" s="1"/>
  <c r="BJ112" i="3"/>
  <c r="BK112" i="3" s="1"/>
  <c r="AO117" i="3"/>
  <c r="X117" i="3"/>
  <c r="Y117" i="3"/>
  <c r="Z117" i="3" s="1"/>
  <c r="AX116" i="3"/>
  <c r="AT116" i="3"/>
  <c r="BQ114" i="3"/>
  <c r="BB114" i="3"/>
  <c r="BF114" i="3"/>
  <c r="BA115" i="3"/>
  <c r="AV115" i="3"/>
  <c r="BC115" i="3" s="1"/>
  <c r="AW117" i="3" l="1"/>
  <c r="AU117" i="3"/>
  <c r="AY116" i="3"/>
  <c r="AO118" i="3"/>
  <c r="AX117" i="3"/>
  <c r="AV117" i="3"/>
  <c r="BQ115" i="3"/>
  <c r="BF115" i="3"/>
  <c r="BJ114" i="3" s="1"/>
  <c r="BK114" i="3" s="1"/>
  <c r="BB115" i="3"/>
  <c r="Y118" i="3"/>
  <c r="Z118" i="3" s="1"/>
  <c r="A120" i="3"/>
  <c r="B119" i="3"/>
  <c r="AQ119" i="3"/>
  <c r="AR119" i="3"/>
  <c r="D119" i="3"/>
  <c r="C119" i="3"/>
  <c r="F119" i="3"/>
  <c r="G119" i="3"/>
  <c r="H119" i="3" s="1"/>
  <c r="Q119" i="3"/>
  <c r="S119" i="3"/>
  <c r="O119" i="3"/>
  <c r="U119" i="3"/>
  <c r="AF119" i="3"/>
  <c r="M119" i="3"/>
  <c r="AD119" i="3"/>
  <c r="AE119" i="3"/>
  <c r="AK119" i="3"/>
  <c r="AM119" i="3"/>
  <c r="V119" i="3"/>
  <c r="R119" i="3"/>
  <c r="P119" i="3"/>
  <c r="T119" i="3"/>
  <c r="BA116" i="3"/>
  <c r="AV116" i="3"/>
  <c r="AG118" i="3"/>
  <c r="AH118" i="3"/>
  <c r="AT118" i="3" s="1"/>
  <c r="BD115" i="3"/>
  <c r="BG115" i="3"/>
  <c r="BH115" i="3" s="1"/>
  <c r="BI115" i="3" s="1"/>
  <c r="X118" i="3"/>
  <c r="AN118" i="3"/>
  <c r="AN119" i="3" l="1"/>
  <c r="BA117" i="3"/>
  <c r="BF117" i="3" s="1"/>
  <c r="BC116" i="3"/>
  <c r="BQ117" i="3"/>
  <c r="AY117" i="3"/>
  <c r="BC117" i="3" s="1"/>
  <c r="BD117" i="3" s="1"/>
  <c r="AG119" i="3"/>
  <c r="AO119" i="3"/>
  <c r="X119" i="3"/>
  <c r="AX118" i="3"/>
  <c r="AW118" i="3"/>
  <c r="BN119" i="3"/>
  <c r="Y119" i="3"/>
  <c r="Z119" i="3" s="1"/>
  <c r="B120" i="3"/>
  <c r="AQ120" i="3"/>
  <c r="A121" i="3"/>
  <c r="AR120" i="3"/>
  <c r="D120" i="3"/>
  <c r="C120" i="3"/>
  <c r="F120" i="3"/>
  <c r="G120" i="3"/>
  <c r="H120" i="3" s="1"/>
  <c r="Q120" i="3"/>
  <c r="S120" i="3"/>
  <c r="O120" i="3"/>
  <c r="U120" i="3"/>
  <c r="AF120" i="3"/>
  <c r="AD120" i="3"/>
  <c r="M120" i="3"/>
  <c r="AM120" i="3"/>
  <c r="AK120" i="3"/>
  <c r="AE120" i="3"/>
  <c r="R120" i="3"/>
  <c r="T120" i="3"/>
  <c r="V120" i="3"/>
  <c r="P120" i="3"/>
  <c r="AH119" i="3"/>
  <c r="AU118" i="3"/>
  <c r="BD116" i="3"/>
  <c r="BG116" i="3"/>
  <c r="BH116" i="3" s="1"/>
  <c r="BI116" i="3" s="1"/>
  <c r="BF116" i="3"/>
  <c r="BJ115" i="3" s="1"/>
  <c r="BK115" i="3" s="1"/>
  <c r="BB116" i="3"/>
  <c r="BQ116" i="3"/>
  <c r="BM119" i="3"/>
  <c r="BB117" i="3" l="1"/>
  <c r="BG117" i="3"/>
  <c r="BH117" i="3" s="1"/>
  <c r="BI117" i="3" s="1"/>
  <c r="AO120" i="3"/>
  <c r="AG120" i="3"/>
  <c r="BN120" i="3"/>
  <c r="AX119" i="3"/>
  <c r="AY118" i="3"/>
  <c r="BA118" i="3"/>
  <c r="BQ118" i="3" s="1"/>
  <c r="AH120" i="3"/>
  <c r="AT120" i="3" s="1"/>
  <c r="X120" i="3"/>
  <c r="AW119" i="3"/>
  <c r="AY119" i="3" s="1"/>
  <c r="AN120" i="3"/>
  <c r="BJ116" i="3"/>
  <c r="BK116" i="3" s="1"/>
  <c r="AT119" i="3"/>
  <c r="AW120" i="3"/>
  <c r="AU119" i="3"/>
  <c r="BM120" i="3"/>
  <c r="AV118" i="3"/>
  <c r="Y120" i="3"/>
  <c r="Z120" i="3" s="1"/>
  <c r="AQ121" i="3"/>
  <c r="AR121" i="3"/>
  <c r="B121" i="3"/>
  <c r="A122" i="3"/>
  <c r="D121" i="3"/>
  <c r="C121" i="3"/>
  <c r="G121" i="3"/>
  <c r="H121" i="3" s="1"/>
  <c r="BN121" i="3" s="1"/>
  <c r="F121" i="3"/>
  <c r="BM121" i="3" s="1"/>
  <c r="Q121" i="3"/>
  <c r="S121" i="3"/>
  <c r="O121" i="3"/>
  <c r="U121" i="3"/>
  <c r="AF121" i="3"/>
  <c r="AD121" i="3"/>
  <c r="M121" i="3"/>
  <c r="AE121" i="3"/>
  <c r="AM121" i="3"/>
  <c r="AK121" i="3"/>
  <c r="T121" i="3"/>
  <c r="V121" i="3"/>
  <c r="R121" i="3"/>
  <c r="P121" i="3"/>
  <c r="BC118" i="3" l="1"/>
  <c r="BD118" i="3" s="1"/>
  <c r="AO121" i="3"/>
  <c r="BB118" i="3"/>
  <c r="BF118" i="3"/>
  <c r="BJ117" i="3" s="1"/>
  <c r="BK117" i="3" s="1"/>
  <c r="AU120" i="3"/>
  <c r="AG121" i="3"/>
  <c r="AV120" i="3"/>
  <c r="BA119" i="3"/>
  <c r="AV119" i="3"/>
  <c r="BC119" i="3" s="1"/>
  <c r="AH121" i="3"/>
  <c r="AU121" i="3" s="1"/>
  <c r="X121" i="3"/>
  <c r="B122" i="3"/>
  <c r="AQ122" i="3"/>
  <c r="D122" i="3"/>
  <c r="AR122" i="3"/>
  <c r="A123" i="3"/>
  <c r="C122" i="3"/>
  <c r="G122" i="3"/>
  <c r="H122" i="3" s="1"/>
  <c r="F122" i="3"/>
  <c r="Q122" i="3"/>
  <c r="S122" i="3"/>
  <c r="O122" i="3"/>
  <c r="U122" i="3"/>
  <c r="M122" i="3"/>
  <c r="AF122" i="3"/>
  <c r="AD122" i="3"/>
  <c r="AE122" i="3"/>
  <c r="AK122" i="3"/>
  <c r="AM122" i="3"/>
  <c r="V122" i="3"/>
  <c r="R122" i="3"/>
  <c r="T122" i="3"/>
  <c r="P122" i="3"/>
  <c r="Y121" i="3"/>
  <c r="Z121" i="3" s="1"/>
  <c r="AX120" i="3"/>
  <c r="BA120" i="3" s="1"/>
  <c r="AN121" i="3"/>
  <c r="BG118" i="3" l="1"/>
  <c r="BH118" i="3" s="1"/>
  <c r="BI118" i="3" s="1"/>
  <c r="BM122" i="3"/>
  <c r="AW121" i="3"/>
  <c r="AT121" i="3"/>
  <c r="BN122" i="3"/>
  <c r="AN122" i="3"/>
  <c r="AH122" i="3"/>
  <c r="BB120" i="3"/>
  <c r="BF120" i="3"/>
  <c r="BQ120" i="3"/>
  <c r="B123" i="3"/>
  <c r="AQ123" i="3"/>
  <c r="AR123" i="3"/>
  <c r="A124" i="3"/>
  <c r="D123" i="3"/>
  <c r="C123" i="3"/>
  <c r="F123" i="3"/>
  <c r="BM123" i="3" s="1"/>
  <c r="G123" i="3"/>
  <c r="H123" i="3" s="1"/>
  <c r="S123" i="3"/>
  <c r="Q123" i="3"/>
  <c r="O123" i="3"/>
  <c r="U123" i="3"/>
  <c r="AE123" i="3"/>
  <c r="AF123" i="3"/>
  <c r="AD123" i="3"/>
  <c r="M123" i="3"/>
  <c r="AK123" i="3"/>
  <c r="AM123" i="3"/>
  <c r="R123" i="3"/>
  <c r="P123" i="3"/>
  <c r="T123" i="3"/>
  <c r="V123" i="3"/>
  <c r="Y122" i="3"/>
  <c r="Z122" i="3" s="1"/>
  <c r="AG122" i="3"/>
  <c r="BD119" i="3"/>
  <c r="BG119" i="3"/>
  <c r="BH119" i="3" s="1"/>
  <c r="BI119" i="3" s="1"/>
  <c r="AV121" i="3"/>
  <c r="AO122" i="3"/>
  <c r="AX121" i="3"/>
  <c r="AY121" i="3" s="1"/>
  <c r="X122" i="3"/>
  <c r="BB119" i="3"/>
  <c r="BQ119" i="3"/>
  <c r="BF119" i="3"/>
  <c r="BJ118" i="3" s="1"/>
  <c r="BK118" i="3" s="1"/>
  <c r="AY120" i="3"/>
  <c r="BC120" i="3" s="1"/>
  <c r="AN123" i="3" l="1"/>
  <c r="BN123" i="3"/>
  <c r="AW122" i="3"/>
  <c r="BG120" i="3"/>
  <c r="BH120" i="3" s="1"/>
  <c r="BI120" i="3" s="1"/>
  <c r="BD120" i="3"/>
  <c r="AU122" i="3"/>
  <c r="Y123" i="3"/>
  <c r="Z123" i="3" s="1"/>
  <c r="X123" i="3"/>
  <c r="AR124" i="3"/>
  <c r="B124" i="3"/>
  <c r="AQ124" i="3"/>
  <c r="A125" i="3"/>
  <c r="C124" i="3"/>
  <c r="D124" i="3"/>
  <c r="G124" i="3"/>
  <c r="H124" i="3" s="1"/>
  <c r="BN124" i="3" s="1"/>
  <c r="F124" i="3"/>
  <c r="BM124" i="3" s="1"/>
  <c r="Q124" i="3"/>
  <c r="S124" i="3"/>
  <c r="O124" i="3"/>
  <c r="U124" i="3"/>
  <c r="M124" i="3"/>
  <c r="AF124" i="3"/>
  <c r="AD124" i="3"/>
  <c r="AE124" i="3"/>
  <c r="AG124" i="3" s="1"/>
  <c r="AM124" i="3"/>
  <c r="AK124" i="3"/>
  <c r="V124" i="3"/>
  <c r="R124" i="3"/>
  <c r="P124" i="3"/>
  <c r="T124" i="3"/>
  <c r="AX122" i="3"/>
  <c r="AY122" i="3" s="1"/>
  <c r="AT122" i="3"/>
  <c r="BC121" i="3"/>
  <c r="BA121" i="3"/>
  <c r="BJ119" i="3"/>
  <c r="BK119" i="3" s="1"/>
  <c r="AO123" i="3"/>
  <c r="AH123" i="3"/>
  <c r="AG123" i="3"/>
  <c r="AO124" i="3" l="1"/>
  <c r="AW123" i="3"/>
  <c r="AT123" i="3"/>
  <c r="BD121" i="3"/>
  <c r="BG121" i="3"/>
  <c r="BH121" i="3" s="1"/>
  <c r="BI121" i="3" s="1"/>
  <c r="Y124" i="3"/>
  <c r="Z124" i="3" s="1"/>
  <c r="AN124" i="3"/>
  <c r="AU123" i="3"/>
  <c r="AV122" i="3"/>
  <c r="BC122" i="3" s="1"/>
  <c r="BA122" i="3"/>
  <c r="AQ125" i="3"/>
  <c r="B125" i="3"/>
  <c r="AR125" i="3"/>
  <c r="A126" i="3"/>
  <c r="C125" i="3"/>
  <c r="D125" i="3"/>
  <c r="F125" i="3"/>
  <c r="G125" i="3"/>
  <c r="H125" i="3" s="1"/>
  <c r="Q125" i="3"/>
  <c r="S125" i="3"/>
  <c r="O125" i="3"/>
  <c r="U125" i="3"/>
  <c r="AE125" i="3"/>
  <c r="M125" i="3"/>
  <c r="AD125" i="3"/>
  <c r="AF125" i="3"/>
  <c r="AM125" i="3"/>
  <c r="AK125" i="3"/>
  <c r="R125" i="3"/>
  <c r="P125" i="3"/>
  <c r="V125" i="3"/>
  <c r="T125" i="3"/>
  <c r="AX123" i="3"/>
  <c r="AH124" i="3"/>
  <c r="AT124" i="3" s="1"/>
  <c r="X124" i="3"/>
  <c r="BF121" i="3"/>
  <c r="BJ120" i="3" s="1"/>
  <c r="BK120" i="3" s="1"/>
  <c r="BQ121" i="3"/>
  <c r="BB121" i="3"/>
  <c r="AO125" i="3" l="1"/>
  <c r="AY123" i="3"/>
  <c r="BN125" i="3"/>
  <c r="AV123" i="3"/>
  <c r="BC123" i="3" s="1"/>
  <c r="AU124" i="3"/>
  <c r="X125" i="3"/>
  <c r="Y125" i="3"/>
  <c r="Z125" i="3" s="1"/>
  <c r="AV124" i="3"/>
  <c r="B126" i="3"/>
  <c r="A127" i="3"/>
  <c r="AQ126" i="3"/>
  <c r="AR126" i="3"/>
  <c r="C126" i="3"/>
  <c r="D126" i="3"/>
  <c r="F126" i="3"/>
  <c r="G126" i="3"/>
  <c r="H126" i="3" s="1"/>
  <c r="BN126" i="3" s="1"/>
  <c r="Q126" i="3"/>
  <c r="S126" i="3"/>
  <c r="O126" i="3"/>
  <c r="U126" i="3"/>
  <c r="M126" i="3"/>
  <c r="AM126" i="3"/>
  <c r="AF126" i="3"/>
  <c r="AE126" i="3"/>
  <c r="AD126" i="3"/>
  <c r="AK126" i="3"/>
  <c r="V126" i="3"/>
  <c r="P126" i="3"/>
  <c r="R126" i="3"/>
  <c r="T126" i="3"/>
  <c r="AH125" i="3"/>
  <c r="BQ122" i="3"/>
  <c r="BF122" i="3"/>
  <c r="BJ121" i="3" s="1"/>
  <c r="BK121" i="3" s="1"/>
  <c r="BB122" i="3"/>
  <c r="AN125" i="3"/>
  <c r="BD122" i="3"/>
  <c r="BG122" i="3"/>
  <c r="BH122" i="3" s="1"/>
  <c r="BI122" i="3" s="1"/>
  <c r="AG125" i="3"/>
  <c r="AW124" i="3"/>
  <c r="AX124" i="3"/>
  <c r="BM125" i="3"/>
  <c r="BA123" i="3"/>
  <c r="AO126" i="3" l="1"/>
  <c r="AY124" i="3"/>
  <c r="BD123" i="3"/>
  <c r="BG123" i="3"/>
  <c r="BH123" i="3" s="1"/>
  <c r="BI123" i="3" s="1"/>
  <c r="AH126" i="3"/>
  <c r="BA124" i="3"/>
  <c r="BF124" i="3" s="1"/>
  <c r="BQ124" i="3"/>
  <c r="X126" i="3"/>
  <c r="BM126" i="3"/>
  <c r="Y126" i="3"/>
  <c r="Z126" i="3" s="1"/>
  <c r="A128" i="3"/>
  <c r="B127" i="3"/>
  <c r="AQ127" i="3"/>
  <c r="AR127" i="3"/>
  <c r="C127" i="3"/>
  <c r="D127" i="3"/>
  <c r="F127" i="3"/>
  <c r="G127" i="3"/>
  <c r="H127" i="3" s="1"/>
  <c r="Q127" i="3"/>
  <c r="S127" i="3"/>
  <c r="O127" i="3"/>
  <c r="U127" i="3"/>
  <c r="AF127" i="3"/>
  <c r="AD127" i="3"/>
  <c r="AE127" i="3"/>
  <c r="M127" i="3"/>
  <c r="AK127" i="3"/>
  <c r="AM127" i="3"/>
  <c r="T127" i="3"/>
  <c r="R127" i="3"/>
  <c r="P127" i="3"/>
  <c r="V127" i="3"/>
  <c r="AG126" i="3"/>
  <c r="AN126" i="3"/>
  <c r="BC124" i="3"/>
  <c r="AX125" i="3"/>
  <c r="BQ123" i="3"/>
  <c r="BB123" i="3"/>
  <c r="BF123" i="3"/>
  <c r="BJ122" i="3" s="1"/>
  <c r="BK122" i="3" s="1"/>
  <c r="AW125" i="3"/>
  <c r="AU125" i="3"/>
  <c r="AT125" i="3"/>
  <c r="BB124" i="3" l="1"/>
  <c r="AN127" i="3"/>
  <c r="AX126" i="3"/>
  <c r="BN127" i="3"/>
  <c r="BM127" i="3"/>
  <c r="AW126" i="3"/>
  <c r="AY126" i="3" s="1"/>
  <c r="AO127" i="3"/>
  <c r="AH127" i="3"/>
  <c r="Y127" i="3"/>
  <c r="Z127" i="3" s="1"/>
  <c r="AX127" i="3"/>
  <c r="AT127" i="3"/>
  <c r="AT126" i="3"/>
  <c r="AU126" i="3"/>
  <c r="BA125" i="3"/>
  <c r="AV125" i="3"/>
  <c r="BC125" i="3" s="1"/>
  <c r="AR128" i="3"/>
  <c r="B128" i="3"/>
  <c r="AQ128" i="3"/>
  <c r="A129" i="3"/>
  <c r="C128" i="3"/>
  <c r="D128" i="3"/>
  <c r="G128" i="3"/>
  <c r="H128" i="3" s="1"/>
  <c r="F128" i="3"/>
  <c r="Q128" i="3"/>
  <c r="S128" i="3"/>
  <c r="O128" i="3"/>
  <c r="U128" i="3"/>
  <c r="AE128" i="3"/>
  <c r="AD128" i="3"/>
  <c r="AF128" i="3"/>
  <c r="M128" i="3"/>
  <c r="AK128" i="3"/>
  <c r="AM128" i="3"/>
  <c r="R128" i="3"/>
  <c r="T128" i="3"/>
  <c r="P128" i="3"/>
  <c r="V128" i="3"/>
  <c r="X127" i="3"/>
  <c r="AG127" i="3"/>
  <c r="AY125" i="3"/>
  <c r="BD124" i="3"/>
  <c r="BG124" i="3"/>
  <c r="BH124" i="3" s="1"/>
  <c r="BI124" i="3" s="1"/>
  <c r="BJ123" i="3"/>
  <c r="BK123" i="3" s="1"/>
  <c r="AW127" i="3" l="1"/>
  <c r="AY127" i="3" s="1"/>
  <c r="AO128" i="3"/>
  <c r="BF125" i="3"/>
  <c r="BJ124" i="3" s="1"/>
  <c r="BK124" i="3" s="1"/>
  <c r="BQ125" i="3"/>
  <c r="BB125" i="3"/>
  <c r="BA126" i="3"/>
  <c r="AV126" i="3"/>
  <c r="BC126" i="3" s="1"/>
  <c r="AQ129" i="3"/>
  <c r="AR129" i="3"/>
  <c r="B129" i="3"/>
  <c r="A130" i="3"/>
  <c r="D129" i="3"/>
  <c r="C129" i="3"/>
  <c r="G129" i="3"/>
  <c r="H129" i="3" s="1"/>
  <c r="F129" i="3"/>
  <c r="BM129" i="3" s="1"/>
  <c r="Q129" i="3"/>
  <c r="S129" i="3"/>
  <c r="O129" i="3"/>
  <c r="U129" i="3"/>
  <c r="AE129" i="3"/>
  <c r="M129" i="3"/>
  <c r="AF129" i="3"/>
  <c r="AD129" i="3"/>
  <c r="AM129" i="3"/>
  <c r="AK129" i="3"/>
  <c r="V129" i="3"/>
  <c r="T129" i="3"/>
  <c r="R129" i="3"/>
  <c r="P129" i="3"/>
  <c r="BD125" i="3"/>
  <c r="BG125" i="3"/>
  <c r="BH125" i="3" s="1"/>
  <c r="BI125" i="3" s="1"/>
  <c r="AG128" i="3"/>
  <c r="X128" i="3"/>
  <c r="BM128" i="3"/>
  <c r="AU127" i="3"/>
  <c r="BA127" i="3" s="1"/>
  <c r="Y128" i="3"/>
  <c r="Z128" i="3" s="1"/>
  <c r="AN128" i="3"/>
  <c r="AH128" i="3"/>
  <c r="BN128" i="3"/>
  <c r="AT128" i="3" l="1"/>
  <c r="AH129" i="3"/>
  <c r="BN129" i="3"/>
  <c r="AX128" i="3"/>
  <c r="AN129" i="3"/>
  <c r="BB127" i="3"/>
  <c r="BQ127" i="3"/>
  <c r="BF127" i="3"/>
  <c r="AO129" i="3"/>
  <c r="X129" i="3"/>
  <c r="BD126" i="3"/>
  <c r="BG126" i="3"/>
  <c r="BH126" i="3" s="1"/>
  <c r="BI126" i="3" s="1"/>
  <c r="AG129" i="3"/>
  <c r="AW129" i="3" s="1"/>
  <c r="B130" i="3"/>
  <c r="A131" i="3"/>
  <c r="AQ130" i="3"/>
  <c r="C130" i="3"/>
  <c r="AR130" i="3"/>
  <c r="D130" i="3"/>
  <c r="G130" i="3"/>
  <c r="H130" i="3" s="1"/>
  <c r="BN130" i="3" s="1"/>
  <c r="F130" i="3"/>
  <c r="Q130" i="3"/>
  <c r="S130" i="3"/>
  <c r="O130" i="3"/>
  <c r="U130" i="3"/>
  <c r="AE130" i="3"/>
  <c r="AD130" i="3"/>
  <c r="AF130" i="3"/>
  <c r="M130" i="3"/>
  <c r="AM130" i="3"/>
  <c r="AK130" i="3"/>
  <c r="P130" i="3"/>
  <c r="V130" i="3"/>
  <c r="R130" i="3"/>
  <c r="T130" i="3"/>
  <c r="Y129" i="3"/>
  <c r="Z129" i="3" s="1"/>
  <c r="BF126" i="3"/>
  <c r="BJ125" i="3" s="1"/>
  <c r="BK125" i="3" s="1"/>
  <c r="BB126" i="3"/>
  <c r="BQ126" i="3"/>
  <c r="AV127" i="3"/>
  <c r="BC127" i="3" s="1"/>
  <c r="AU128" i="3"/>
  <c r="AW128" i="3"/>
  <c r="AY128" i="3" s="1"/>
  <c r="BM130" i="3" l="1"/>
  <c r="AH130" i="3"/>
  <c r="BA128" i="3"/>
  <c r="AN130" i="3"/>
  <c r="BB128" i="3"/>
  <c r="BQ128" i="3"/>
  <c r="BF128" i="3"/>
  <c r="BJ127" i="3" s="1"/>
  <c r="AO130" i="3"/>
  <c r="BD127" i="3"/>
  <c r="BG127" i="3"/>
  <c r="BH127" i="3" s="1"/>
  <c r="BI127" i="3" s="1"/>
  <c r="AX129" i="3"/>
  <c r="AY129" i="3" s="1"/>
  <c r="BJ126" i="3"/>
  <c r="BK126" i="3" s="1"/>
  <c r="A132" i="3"/>
  <c r="AR131" i="3"/>
  <c r="AQ131" i="3"/>
  <c r="B131" i="3"/>
  <c r="D131" i="3"/>
  <c r="C131" i="3"/>
  <c r="F131" i="3"/>
  <c r="G131" i="3"/>
  <c r="H131" i="3" s="1"/>
  <c r="Q131" i="3"/>
  <c r="S131" i="3"/>
  <c r="O131" i="3"/>
  <c r="U131" i="3"/>
  <c r="AK131" i="3"/>
  <c r="AD131" i="3"/>
  <c r="AE131" i="3"/>
  <c r="AF131" i="3"/>
  <c r="M131" i="3"/>
  <c r="AM131" i="3"/>
  <c r="AN131" i="3" s="1"/>
  <c r="R131" i="3"/>
  <c r="P131" i="3"/>
  <c r="V131" i="3"/>
  <c r="T131" i="3"/>
  <c r="X130" i="3"/>
  <c r="AV128" i="3"/>
  <c r="BC128" i="3" s="1"/>
  <c r="AG130" i="3"/>
  <c r="AU129" i="3"/>
  <c r="Y130" i="3"/>
  <c r="Z130" i="3" s="1"/>
  <c r="AT129" i="3"/>
  <c r="AU130" i="3"/>
  <c r="BK127" i="3" l="1"/>
  <c r="A133" i="3"/>
  <c r="B132" i="3"/>
  <c r="AR132" i="3"/>
  <c r="AQ132" i="3"/>
  <c r="D132" i="3"/>
  <c r="C132" i="3"/>
  <c r="G132" i="3"/>
  <c r="H132" i="3" s="1"/>
  <c r="BN132" i="3" s="1"/>
  <c r="F132" i="3"/>
  <c r="BM132" i="3" s="1"/>
  <c r="Q132" i="3"/>
  <c r="S132" i="3"/>
  <c r="O132" i="3"/>
  <c r="U132" i="3"/>
  <c r="M132" i="3"/>
  <c r="AF132" i="3"/>
  <c r="AD132" i="3"/>
  <c r="AE132" i="3"/>
  <c r="AM132" i="3"/>
  <c r="AK132" i="3"/>
  <c r="AO132" i="3" s="1"/>
  <c r="V132" i="3"/>
  <c r="R132" i="3"/>
  <c r="P132" i="3"/>
  <c r="T132" i="3"/>
  <c r="BM131" i="3"/>
  <c r="AO131" i="3"/>
  <c r="BA129" i="3"/>
  <c r="AV129" i="3"/>
  <c r="BC129" i="3" s="1"/>
  <c r="Y131" i="3"/>
  <c r="Z131" i="3" s="1"/>
  <c r="AW130" i="3"/>
  <c r="AX130" i="3"/>
  <c r="AG131" i="3"/>
  <c r="AH131" i="3"/>
  <c r="X131" i="3"/>
  <c r="AT130" i="3"/>
  <c r="BD128" i="3"/>
  <c r="BG128" i="3"/>
  <c r="BH128" i="3" s="1"/>
  <c r="BI128" i="3" s="1"/>
  <c r="BN131" i="3"/>
  <c r="AG132" i="3" l="1"/>
  <c r="AY130" i="3"/>
  <c r="AW131" i="3"/>
  <c r="X132" i="3"/>
  <c r="AT131" i="3"/>
  <c r="AU131" i="3"/>
  <c r="BQ129" i="3"/>
  <c r="BB129" i="3"/>
  <c r="BF129" i="3"/>
  <c r="BJ128" i="3" s="1"/>
  <c r="BK128" i="3" s="1"/>
  <c r="AV130" i="3"/>
  <c r="BA130" i="3"/>
  <c r="AH132" i="3"/>
  <c r="BD129" i="3"/>
  <c r="BG129" i="3"/>
  <c r="BH129" i="3" s="1"/>
  <c r="BI129" i="3" s="1"/>
  <c r="AU132" i="3"/>
  <c r="Y132" i="3"/>
  <c r="Z132" i="3" s="1"/>
  <c r="AX131" i="3"/>
  <c r="AN132" i="3"/>
  <c r="AR133" i="3"/>
  <c r="B133" i="3"/>
  <c r="AQ133" i="3"/>
  <c r="A134" i="3"/>
  <c r="C133" i="3"/>
  <c r="D133" i="3"/>
  <c r="G133" i="3"/>
  <c r="H133" i="3" s="1"/>
  <c r="BN133" i="3" s="1"/>
  <c r="F133" i="3"/>
  <c r="BM133" i="3" s="1"/>
  <c r="Q133" i="3"/>
  <c r="S133" i="3"/>
  <c r="O133" i="3"/>
  <c r="U133" i="3"/>
  <c r="AE133" i="3"/>
  <c r="AF133" i="3"/>
  <c r="M133" i="3"/>
  <c r="AD133" i="3"/>
  <c r="AK133" i="3"/>
  <c r="AM133" i="3"/>
  <c r="V133" i="3"/>
  <c r="R133" i="3"/>
  <c r="P133" i="3"/>
  <c r="T133" i="3"/>
  <c r="AY131" i="3" l="1"/>
  <c r="BC130" i="3"/>
  <c r="AO133" i="3"/>
  <c r="AG133" i="3"/>
  <c r="X133" i="3"/>
  <c r="AX132" i="3"/>
  <c r="BB130" i="3"/>
  <c r="BF130" i="3"/>
  <c r="BJ129" i="3" s="1"/>
  <c r="BK129" i="3" s="1"/>
  <c r="BQ130" i="3"/>
  <c r="Y133" i="3"/>
  <c r="Z133" i="3" s="1"/>
  <c r="BA131" i="3"/>
  <c r="AV131" i="3"/>
  <c r="BC131" i="3" s="1"/>
  <c r="BD130" i="3"/>
  <c r="BG130" i="3"/>
  <c r="BH130" i="3" s="1"/>
  <c r="BI130" i="3" s="1"/>
  <c r="B134" i="3"/>
  <c r="AR134" i="3"/>
  <c r="AQ134" i="3"/>
  <c r="A135" i="3"/>
  <c r="C134" i="3"/>
  <c r="D134" i="3"/>
  <c r="G134" i="3"/>
  <c r="H134" i="3" s="1"/>
  <c r="F134" i="3"/>
  <c r="S134" i="3"/>
  <c r="Q134" i="3"/>
  <c r="O134" i="3"/>
  <c r="U134" i="3"/>
  <c r="AE134" i="3"/>
  <c r="M134" i="3"/>
  <c r="AF134" i="3"/>
  <c r="AD134" i="3"/>
  <c r="AK134" i="3"/>
  <c r="AM134" i="3"/>
  <c r="V134" i="3"/>
  <c r="P134" i="3"/>
  <c r="R134" i="3"/>
  <c r="T134" i="3"/>
  <c r="AN133" i="3"/>
  <c r="AH133" i="3"/>
  <c r="AW132" i="3"/>
  <c r="AY132" i="3" s="1"/>
  <c r="AT132" i="3"/>
  <c r="AX133" i="3" l="1"/>
  <c r="AO134" i="3"/>
  <c r="AR135" i="3"/>
  <c r="AQ135" i="3"/>
  <c r="B135" i="3"/>
  <c r="A136" i="3"/>
  <c r="C135" i="3"/>
  <c r="D135" i="3"/>
  <c r="F135" i="3"/>
  <c r="BM135" i="3" s="1"/>
  <c r="G135" i="3"/>
  <c r="H135" i="3" s="1"/>
  <c r="BN135" i="3" s="1"/>
  <c r="Q135" i="3"/>
  <c r="S135" i="3"/>
  <c r="O135" i="3"/>
  <c r="U135" i="3"/>
  <c r="AE135" i="3"/>
  <c r="AD135" i="3"/>
  <c r="AF135" i="3"/>
  <c r="M135" i="3"/>
  <c r="AK135" i="3"/>
  <c r="AM135" i="3"/>
  <c r="AN135" i="3" s="1"/>
  <c r="R135" i="3"/>
  <c r="V135" i="3"/>
  <c r="T135" i="3"/>
  <c r="P135" i="3"/>
  <c r="AH134" i="3"/>
  <c r="BD131" i="3"/>
  <c r="BG131" i="3"/>
  <c r="BH131" i="3" s="1"/>
  <c r="BI131" i="3" s="1"/>
  <c r="X134" i="3"/>
  <c r="Y134" i="3"/>
  <c r="Z134" i="3" s="1"/>
  <c r="AN134" i="3"/>
  <c r="AG134" i="3"/>
  <c r="AV132" i="3"/>
  <c r="BC132" i="3" s="1"/>
  <c r="BA132" i="3"/>
  <c r="BB131" i="3"/>
  <c r="BF131" i="3"/>
  <c r="BJ130" i="3" s="1"/>
  <c r="BK130" i="3" s="1"/>
  <c r="BQ131" i="3"/>
  <c r="AT133" i="3"/>
  <c r="BM134" i="3"/>
  <c r="AU133" i="3"/>
  <c r="BN134" i="3"/>
  <c r="AW133" i="3"/>
  <c r="AY133" i="3" s="1"/>
  <c r="AW134" i="3" l="1"/>
  <c r="AG135" i="3"/>
  <c r="X135" i="3"/>
  <c r="Y135" i="3"/>
  <c r="Z135" i="3" s="1"/>
  <c r="AU134" i="3"/>
  <c r="AT134" i="3"/>
  <c r="AX134" i="3"/>
  <c r="AY134" i="3" s="1"/>
  <c r="BD132" i="3"/>
  <c r="BG132" i="3"/>
  <c r="BH132" i="3" s="1"/>
  <c r="BI132" i="3" s="1"/>
  <c r="AH135" i="3"/>
  <c r="AX135" i="3" s="1"/>
  <c r="BA133" i="3"/>
  <c r="AV133" i="3"/>
  <c r="BC133" i="3" s="1"/>
  <c r="A137" i="3"/>
  <c r="B136" i="3"/>
  <c r="AR136" i="3"/>
  <c r="AQ136" i="3"/>
  <c r="C136" i="3"/>
  <c r="D136" i="3"/>
  <c r="G136" i="3"/>
  <c r="H136" i="3" s="1"/>
  <c r="BN136" i="3" s="1"/>
  <c r="F136" i="3"/>
  <c r="Q136" i="3"/>
  <c r="S136" i="3"/>
  <c r="O136" i="3"/>
  <c r="U136" i="3"/>
  <c r="M136" i="3"/>
  <c r="AF136" i="3"/>
  <c r="AD136" i="3"/>
  <c r="AE136" i="3"/>
  <c r="AM136" i="3"/>
  <c r="AK136" i="3"/>
  <c r="V136" i="3"/>
  <c r="R136" i="3"/>
  <c r="P136" i="3"/>
  <c r="T136" i="3"/>
  <c r="BQ132" i="3"/>
  <c r="BF132" i="3"/>
  <c r="BJ131" i="3" s="1"/>
  <c r="BK131" i="3" s="1"/>
  <c r="BB132" i="3"/>
  <c r="AO135" i="3"/>
  <c r="AG136" i="3" l="1"/>
  <c r="AO136" i="3"/>
  <c r="BM136" i="3"/>
  <c r="BB133" i="3"/>
  <c r="BQ133" i="3"/>
  <c r="BF133" i="3"/>
  <c r="BJ132" i="3" s="1"/>
  <c r="BK132" i="3" s="1"/>
  <c r="AT135" i="3"/>
  <c r="BD133" i="3"/>
  <c r="BG133" i="3"/>
  <c r="BH133" i="3" s="1"/>
  <c r="BI133" i="3" s="1"/>
  <c r="X136" i="3"/>
  <c r="AN136" i="3"/>
  <c r="AR137" i="3"/>
  <c r="B137" i="3"/>
  <c r="AQ137" i="3"/>
  <c r="A138" i="3"/>
  <c r="C137" i="3"/>
  <c r="D137" i="3"/>
  <c r="G137" i="3"/>
  <c r="H137" i="3" s="1"/>
  <c r="F137" i="3"/>
  <c r="Q137" i="3"/>
  <c r="S137" i="3"/>
  <c r="O137" i="3"/>
  <c r="U137" i="3"/>
  <c r="M137" i="3"/>
  <c r="AF137" i="3"/>
  <c r="AE137" i="3"/>
  <c r="AD137" i="3"/>
  <c r="AK137" i="3"/>
  <c r="AM137" i="3"/>
  <c r="P137" i="3"/>
  <c r="T137" i="3"/>
  <c r="R137" i="3"/>
  <c r="V137" i="3"/>
  <c r="AH136" i="3"/>
  <c r="AV134" i="3"/>
  <c r="BC134" i="3" s="1"/>
  <c r="BA134" i="3"/>
  <c r="AU135" i="3"/>
  <c r="Y136" i="3"/>
  <c r="Z136" i="3" s="1"/>
  <c r="AW135" i="3"/>
  <c r="AY135" i="3" s="1"/>
  <c r="AU136" i="3" l="1"/>
  <c r="AH137" i="3"/>
  <c r="AO137" i="3"/>
  <c r="AT136" i="3"/>
  <c r="AW136" i="3"/>
  <c r="B138" i="3"/>
  <c r="AR138" i="3"/>
  <c r="AQ138" i="3"/>
  <c r="A139" i="3"/>
  <c r="D138" i="3"/>
  <c r="C138" i="3"/>
  <c r="F138" i="3"/>
  <c r="G138" i="3"/>
  <c r="H138" i="3" s="1"/>
  <c r="BN138" i="3" s="1"/>
  <c r="Q138" i="3"/>
  <c r="S138" i="3"/>
  <c r="O138" i="3"/>
  <c r="U138" i="3"/>
  <c r="AD138" i="3"/>
  <c r="AF138" i="3"/>
  <c r="M138" i="3"/>
  <c r="AE138" i="3"/>
  <c r="AK138" i="3"/>
  <c r="AM138" i="3"/>
  <c r="V138" i="3"/>
  <c r="R138" i="3"/>
  <c r="P138" i="3"/>
  <c r="T138" i="3"/>
  <c r="Y137" i="3"/>
  <c r="Z137" i="3" s="1"/>
  <c r="BA135" i="3"/>
  <c r="AV135" i="3"/>
  <c r="BC135" i="3" s="1"/>
  <c r="AG137" i="3"/>
  <c r="AW137" i="3" s="1"/>
  <c r="AV136" i="3"/>
  <c r="X137" i="3"/>
  <c r="BG134" i="3"/>
  <c r="BH134" i="3" s="1"/>
  <c r="BI134" i="3" s="1"/>
  <c r="BD134" i="3"/>
  <c r="BM137" i="3"/>
  <c r="AN137" i="3"/>
  <c r="BF134" i="3"/>
  <c r="BJ133" i="3" s="1"/>
  <c r="BK133" i="3" s="1"/>
  <c r="BQ134" i="3"/>
  <c r="BB134" i="3"/>
  <c r="AX136" i="3"/>
  <c r="AY136" i="3" s="1"/>
  <c r="BN137" i="3"/>
  <c r="AN138" i="3" l="1"/>
  <c r="BM138" i="3"/>
  <c r="BC136" i="3"/>
  <c r="AX137" i="3"/>
  <c r="AY137" i="3" s="1"/>
  <c r="AU137" i="3"/>
  <c r="Y138" i="3"/>
  <c r="Z138" i="3" s="1"/>
  <c r="X138" i="3"/>
  <c r="A140" i="3"/>
  <c r="AR139" i="3"/>
  <c r="AQ139" i="3"/>
  <c r="B139" i="3"/>
  <c r="D139" i="3"/>
  <c r="C139" i="3"/>
  <c r="G139" i="3"/>
  <c r="H139" i="3" s="1"/>
  <c r="BN139" i="3" s="1"/>
  <c r="F139" i="3"/>
  <c r="BM139" i="3" s="1"/>
  <c r="Q139" i="3"/>
  <c r="S139" i="3"/>
  <c r="O139" i="3"/>
  <c r="U139" i="3"/>
  <c r="AM139" i="3"/>
  <c r="AD139" i="3"/>
  <c r="AF139" i="3"/>
  <c r="M139" i="3"/>
  <c r="AE139" i="3"/>
  <c r="AK139" i="3"/>
  <c r="AO139" i="3" s="1"/>
  <c r="P139" i="3"/>
  <c r="R139" i="3"/>
  <c r="V139" i="3"/>
  <c r="T139" i="3"/>
  <c r="AH138" i="3"/>
  <c r="BD135" i="3"/>
  <c r="BG135" i="3"/>
  <c r="BH135" i="3" s="1"/>
  <c r="BI135" i="3" s="1"/>
  <c r="BB135" i="3"/>
  <c r="BF135" i="3"/>
  <c r="BJ134" i="3" s="1"/>
  <c r="BK134" i="3" s="1"/>
  <c r="BQ135" i="3"/>
  <c r="AT137" i="3"/>
  <c r="AO138" i="3"/>
  <c r="BA136" i="3"/>
  <c r="AG138" i="3"/>
  <c r="AG139" i="3" l="1"/>
  <c r="AW138" i="3"/>
  <c r="AX138" i="3"/>
  <c r="A141" i="3"/>
  <c r="B140" i="3"/>
  <c r="AR140" i="3"/>
  <c r="AQ140" i="3"/>
  <c r="C140" i="3"/>
  <c r="D140" i="3"/>
  <c r="G140" i="3"/>
  <c r="H140" i="3" s="1"/>
  <c r="BN140" i="3" s="1"/>
  <c r="F140" i="3"/>
  <c r="BM140" i="3" s="1"/>
  <c r="Q140" i="3"/>
  <c r="S140" i="3"/>
  <c r="O140" i="3"/>
  <c r="U140" i="3"/>
  <c r="AE140" i="3"/>
  <c r="M140" i="3"/>
  <c r="AD140" i="3"/>
  <c r="AF140" i="3"/>
  <c r="AK140" i="3"/>
  <c r="AM140" i="3"/>
  <c r="V140" i="3"/>
  <c r="R140" i="3"/>
  <c r="P140" i="3"/>
  <c r="T140" i="3"/>
  <c r="AT138" i="3"/>
  <c r="AU138" i="3"/>
  <c r="AV137" i="3"/>
  <c r="BC137" i="3" s="1"/>
  <c r="BA137" i="3"/>
  <c r="Y139" i="3"/>
  <c r="Z139" i="3" s="1"/>
  <c r="BB136" i="3"/>
  <c r="BF136" i="3"/>
  <c r="BJ135" i="3" s="1"/>
  <c r="BK135" i="3" s="1"/>
  <c r="BQ136" i="3"/>
  <c r="AH139" i="3"/>
  <c r="AN139" i="3"/>
  <c r="X139" i="3"/>
  <c r="BD136" i="3"/>
  <c r="BG136" i="3"/>
  <c r="BH136" i="3" s="1"/>
  <c r="BI136" i="3" s="1"/>
  <c r="AY138" i="3" l="1"/>
  <c r="AN140" i="3"/>
  <c r="AX139" i="3"/>
  <c r="BD137" i="3"/>
  <c r="BG137" i="3"/>
  <c r="BH137" i="3" s="1"/>
  <c r="BI137" i="3" s="1"/>
  <c r="BB137" i="3"/>
  <c r="BF137" i="3"/>
  <c r="BJ136" i="3" s="1"/>
  <c r="BK136" i="3" s="1"/>
  <c r="BQ137" i="3"/>
  <c r="Y140" i="3"/>
  <c r="Z140" i="3" s="1"/>
  <c r="AV138" i="3"/>
  <c r="BC138" i="3" s="1"/>
  <c r="BA138" i="3"/>
  <c r="AO140" i="3"/>
  <c r="AU140" i="3"/>
  <c r="AR141" i="3"/>
  <c r="B141" i="3"/>
  <c r="D141" i="3"/>
  <c r="AQ141" i="3"/>
  <c r="A142" i="3"/>
  <c r="C141" i="3"/>
  <c r="G141" i="3"/>
  <c r="H141" i="3" s="1"/>
  <c r="F141" i="3"/>
  <c r="BM141" i="3" s="1"/>
  <c r="Q141" i="3"/>
  <c r="S141" i="3"/>
  <c r="O141" i="3"/>
  <c r="U141" i="3"/>
  <c r="M141" i="3"/>
  <c r="AF141" i="3"/>
  <c r="AD141" i="3"/>
  <c r="AE141" i="3"/>
  <c r="AG141" i="3" s="1"/>
  <c r="AK141" i="3"/>
  <c r="AM141" i="3"/>
  <c r="V141" i="3"/>
  <c r="T141" i="3"/>
  <c r="R141" i="3"/>
  <c r="P141" i="3"/>
  <c r="AH140" i="3"/>
  <c r="AW139" i="3"/>
  <c r="AT139" i="3"/>
  <c r="AG140" i="3"/>
  <c r="AU139" i="3"/>
  <c r="X140" i="3"/>
  <c r="AY139" i="3" l="1"/>
  <c r="AO141" i="3"/>
  <c r="AN141" i="3"/>
  <c r="X141" i="3"/>
  <c r="AW140" i="3"/>
  <c r="Y141" i="3"/>
  <c r="Z141" i="3" s="1"/>
  <c r="AH141" i="3"/>
  <c r="AX141" i="3" s="1"/>
  <c r="BD138" i="3"/>
  <c r="BG138" i="3"/>
  <c r="BH138" i="3" s="1"/>
  <c r="BI138" i="3" s="1"/>
  <c r="AT141" i="3"/>
  <c r="BF138" i="3"/>
  <c r="BJ137" i="3" s="1"/>
  <c r="BK137" i="3" s="1"/>
  <c r="BQ138" i="3"/>
  <c r="BB138" i="3"/>
  <c r="BA139" i="3"/>
  <c r="AV139" i="3"/>
  <c r="BC139" i="3" s="1"/>
  <c r="AX140" i="3"/>
  <c r="BN141" i="3"/>
  <c r="AT140" i="3"/>
  <c r="AR142" i="3"/>
  <c r="B142" i="3"/>
  <c r="AQ142" i="3"/>
  <c r="A143" i="3"/>
  <c r="C142" i="3"/>
  <c r="D142" i="3"/>
  <c r="G142" i="3"/>
  <c r="H142" i="3" s="1"/>
  <c r="F142" i="3"/>
  <c r="BM142" i="3" s="1"/>
  <c r="Q142" i="3"/>
  <c r="S142" i="3"/>
  <c r="O142" i="3"/>
  <c r="U142" i="3"/>
  <c r="AF142" i="3"/>
  <c r="AE142" i="3"/>
  <c r="AD142" i="3"/>
  <c r="AK142" i="3"/>
  <c r="AM142" i="3"/>
  <c r="AN142" i="3" s="1"/>
  <c r="M142" i="3"/>
  <c r="V142" i="3"/>
  <c r="T142" i="3"/>
  <c r="P142" i="3"/>
  <c r="R142" i="3"/>
  <c r="AY140" i="3" l="1"/>
  <c r="B143" i="3"/>
  <c r="A144" i="3"/>
  <c r="AR143" i="3"/>
  <c r="AQ143" i="3"/>
  <c r="D143" i="3"/>
  <c r="C143" i="3"/>
  <c r="F143" i="3"/>
  <c r="BM143" i="3" s="1"/>
  <c r="G143" i="3"/>
  <c r="H143" i="3" s="1"/>
  <c r="BN143" i="3" s="1"/>
  <c r="Q143" i="3"/>
  <c r="S143" i="3"/>
  <c r="O143" i="3"/>
  <c r="U143" i="3"/>
  <c r="AD143" i="3"/>
  <c r="M143" i="3"/>
  <c r="AF143" i="3"/>
  <c r="AE143" i="3"/>
  <c r="AK143" i="3"/>
  <c r="AM143" i="3"/>
  <c r="AN143" i="3" s="1"/>
  <c r="R143" i="3"/>
  <c r="V143" i="3"/>
  <c r="P143" i="3"/>
  <c r="T143" i="3"/>
  <c r="BB139" i="3"/>
  <c r="BF139" i="3"/>
  <c r="BJ138" i="3" s="1"/>
  <c r="BK138" i="3" s="1"/>
  <c r="BQ139" i="3"/>
  <c r="AV141" i="3"/>
  <c r="Y142" i="3"/>
  <c r="Z142" i="3" s="1"/>
  <c r="X142" i="3"/>
  <c r="AU142" i="3"/>
  <c r="AT142" i="3"/>
  <c r="AO142" i="3"/>
  <c r="BD139" i="3"/>
  <c r="BG139" i="3"/>
  <c r="BH139" i="3" s="1"/>
  <c r="BI139" i="3" s="1"/>
  <c r="BN142" i="3"/>
  <c r="AU141" i="3"/>
  <c r="AV140" i="3"/>
  <c r="BA140" i="3"/>
  <c r="AH142" i="3"/>
  <c r="AG142" i="3"/>
  <c r="AW141" i="3"/>
  <c r="AY141" i="3" s="1"/>
  <c r="BC140" i="3" l="1"/>
  <c r="AW142" i="3"/>
  <c r="BA141" i="3"/>
  <c r="BB141" i="3" s="1"/>
  <c r="BC141" i="3"/>
  <c r="AV142" i="3"/>
  <c r="BD141" i="3"/>
  <c r="BG141" i="3"/>
  <c r="BH141" i="3" s="1"/>
  <c r="BI141" i="3" s="1"/>
  <c r="AH143" i="3"/>
  <c r="X143" i="3"/>
  <c r="AX142" i="3"/>
  <c r="AY142" i="3" s="1"/>
  <c r="BQ140" i="3"/>
  <c r="BF140" i="3"/>
  <c r="BJ139" i="3" s="1"/>
  <c r="BK139" i="3" s="1"/>
  <c r="BB140" i="3"/>
  <c r="Y143" i="3"/>
  <c r="Z143" i="3" s="1"/>
  <c r="AO143" i="3"/>
  <c r="BF141" i="3"/>
  <c r="BJ140" i="3" s="1"/>
  <c r="BK140" i="3" s="1"/>
  <c r="BD140" i="3"/>
  <c r="BG140" i="3"/>
  <c r="BH140" i="3" s="1"/>
  <c r="BI140" i="3" s="1"/>
  <c r="A145" i="3"/>
  <c r="B144" i="3"/>
  <c r="AR144" i="3"/>
  <c r="AQ144" i="3"/>
  <c r="D144" i="3"/>
  <c r="C144" i="3"/>
  <c r="G144" i="3"/>
  <c r="H144" i="3" s="1"/>
  <c r="F144" i="3"/>
  <c r="BM144" i="3" s="1"/>
  <c r="S144" i="3"/>
  <c r="Q144" i="3"/>
  <c r="O144" i="3"/>
  <c r="U144" i="3"/>
  <c r="AD144" i="3"/>
  <c r="M144" i="3"/>
  <c r="AF144" i="3"/>
  <c r="AE144" i="3"/>
  <c r="AM144" i="3"/>
  <c r="AK144" i="3"/>
  <c r="R144" i="3"/>
  <c r="P144" i="3"/>
  <c r="V144" i="3"/>
  <c r="T144" i="3"/>
  <c r="AG143" i="3"/>
  <c r="BQ141" i="3" l="1"/>
  <c r="AO144" i="3"/>
  <c r="AG144" i="3"/>
  <c r="Y144" i="3"/>
  <c r="Z144" i="3" s="1"/>
  <c r="AW143" i="3"/>
  <c r="AN144" i="3"/>
  <c r="AR145" i="3"/>
  <c r="A146" i="3"/>
  <c r="B145" i="3"/>
  <c r="AQ145" i="3"/>
  <c r="C145" i="3"/>
  <c r="D145" i="3"/>
  <c r="G145" i="3"/>
  <c r="H145" i="3" s="1"/>
  <c r="BN145" i="3" s="1"/>
  <c r="F145" i="3"/>
  <c r="BM145" i="3" s="1"/>
  <c r="Q145" i="3"/>
  <c r="S145" i="3"/>
  <c r="O145" i="3"/>
  <c r="U145" i="3"/>
  <c r="AF145" i="3"/>
  <c r="AE145" i="3"/>
  <c r="AD145" i="3"/>
  <c r="M145" i="3"/>
  <c r="AM145" i="3"/>
  <c r="AK145" i="3"/>
  <c r="V145" i="3"/>
  <c r="R145" i="3"/>
  <c r="P145" i="3"/>
  <c r="T145" i="3"/>
  <c r="AX143" i="3"/>
  <c r="AY143" i="3" s="1"/>
  <c r="AT143" i="3"/>
  <c r="BA142" i="3"/>
  <c r="BN144" i="3"/>
  <c r="AU143" i="3"/>
  <c r="AH144" i="3"/>
  <c r="X144" i="3"/>
  <c r="BC142" i="3"/>
  <c r="AU144" i="3" l="1"/>
  <c r="AO145" i="3"/>
  <c r="AR146" i="3"/>
  <c r="B146" i="3"/>
  <c r="A147" i="3"/>
  <c r="AQ146" i="3"/>
  <c r="D146" i="3"/>
  <c r="C146" i="3"/>
  <c r="F146" i="3"/>
  <c r="BM146" i="3" s="1"/>
  <c r="G146" i="3"/>
  <c r="H146" i="3" s="1"/>
  <c r="BN146" i="3" s="1"/>
  <c r="Q146" i="3"/>
  <c r="S146" i="3"/>
  <c r="O146" i="3"/>
  <c r="U146" i="3"/>
  <c r="M146" i="3"/>
  <c r="AF146" i="3"/>
  <c r="AE146" i="3"/>
  <c r="AD146" i="3"/>
  <c r="AM146" i="3"/>
  <c r="AK146" i="3"/>
  <c r="R146" i="3"/>
  <c r="P146" i="3"/>
  <c r="V146" i="3"/>
  <c r="T146" i="3"/>
  <c r="BF142" i="3"/>
  <c r="BJ141" i="3" s="1"/>
  <c r="BK141" i="3" s="1"/>
  <c r="BQ142" i="3"/>
  <c r="BB142" i="3"/>
  <c r="BA143" i="3"/>
  <c r="AV143" i="3"/>
  <c r="BC143" i="3" s="1"/>
  <c r="Y145" i="3"/>
  <c r="Z145" i="3" s="1"/>
  <c r="AT145" i="3"/>
  <c r="BD142" i="3"/>
  <c r="BG142" i="3"/>
  <c r="BH142" i="3" s="1"/>
  <c r="BI142" i="3" s="1"/>
  <c r="AX144" i="3"/>
  <c r="AH145" i="3"/>
  <c r="AN145" i="3"/>
  <c r="AG145" i="3"/>
  <c r="AT144" i="3"/>
  <c r="AW144" i="3"/>
  <c r="X145" i="3"/>
  <c r="AW145" i="3" l="1"/>
  <c r="AO146" i="3"/>
  <c r="AG146" i="3"/>
  <c r="BD143" i="3"/>
  <c r="BG143" i="3"/>
  <c r="BH143" i="3" s="1"/>
  <c r="BI143" i="3" s="1"/>
  <c r="AV144" i="3"/>
  <c r="BA144" i="3"/>
  <c r="Y146" i="3"/>
  <c r="Z146" i="3" s="1"/>
  <c r="BQ143" i="3"/>
  <c r="BB143" i="3"/>
  <c r="BF143" i="3"/>
  <c r="BJ142" i="3" s="1"/>
  <c r="BK142" i="3" s="1"/>
  <c r="AY144" i="3"/>
  <c r="AW146" i="3"/>
  <c r="AY146" i="3" s="1"/>
  <c r="X146" i="3"/>
  <c r="AY145" i="3"/>
  <c r="AU146" i="3"/>
  <c r="AQ147" i="3"/>
  <c r="B147" i="3"/>
  <c r="A148" i="3"/>
  <c r="AR147" i="3"/>
  <c r="D147" i="3"/>
  <c r="C147" i="3"/>
  <c r="F147" i="3"/>
  <c r="BM147" i="3" s="1"/>
  <c r="G147" i="3"/>
  <c r="H147" i="3" s="1"/>
  <c r="BN147" i="3" s="1"/>
  <c r="Q147" i="3"/>
  <c r="S147" i="3"/>
  <c r="O147" i="3"/>
  <c r="U147" i="3"/>
  <c r="AD147" i="3"/>
  <c r="AF147" i="3"/>
  <c r="AE147" i="3"/>
  <c r="M147" i="3"/>
  <c r="AM147" i="3"/>
  <c r="AK147" i="3"/>
  <c r="R147" i="3"/>
  <c r="V147" i="3"/>
  <c r="P147" i="3"/>
  <c r="T147" i="3"/>
  <c r="AX145" i="3"/>
  <c r="AN146" i="3"/>
  <c r="AH146" i="3"/>
  <c r="AX146" i="3" s="1"/>
  <c r="AU145" i="3"/>
  <c r="AV145" i="3" s="1"/>
  <c r="AG147" i="3" l="1"/>
  <c r="AO147" i="3"/>
  <c r="BC145" i="3"/>
  <c r="BG145" i="3" s="1"/>
  <c r="BH145" i="3" s="1"/>
  <c r="BI145" i="3" s="1"/>
  <c r="BD145" i="3"/>
  <c r="BB144" i="3"/>
  <c r="BF144" i="3"/>
  <c r="BJ143" i="3" s="1"/>
  <c r="BK143" i="3" s="1"/>
  <c r="BQ144" i="3"/>
  <c r="BC144" i="3"/>
  <c r="Y147" i="3"/>
  <c r="Z147" i="3" s="1"/>
  <c r="AH147" i="3"/>
  <c r="AX147" i="3" s="1"/>
  <c r="A149" i="3"/>
  <c r="B148" i="3"/>
  <c r="AR148" i="3"/>
  <c r="AQ148" i="3"/>
  <c r="D148" i="3"/>
  <c r="C148" i="3"/>
  <c r="G148" i="3"/>
  <c r="H148" i="3" s="1"/>
  <c r="F148" i="3"/>
  <c r="Q148" i="3"/>
  <c r="S148" i="3"/>
  <c r="O148" i="3"/>
  <c r="U148" i="3"/>
  <c r="AK148" i="3"/>
  <c r="AD148" i="3"/>
  <c r="AF148" i="3"/>
  <c r="M148" i="3"/>
  <c r="AE148" i="3"/>
  <c r="AM148" i="3"/>
  <c r="AN148" i="3" s="1"/>
  <c r="R148" i="3"/>
  <c r="T148" i="3"/>
  <c r="V148" i="3"/>
  <c r="P148" i="3"/>
  <c r="AT146" i="3"/>
  <c r="BA145" i="3"/>
  <c r="X147" i="3"/>
  <c r="AN147" i="3"/>
  <c r="BM148" i="3" l="1"/>
  <c r="AG148" i="3"/>
  <c r="AT147" i="3"/>
  <c r="AH148" i="3"/>
  <c r="X148" i="3"/>
  <c r="AW147" i="3"/>
  <c r="AY147" i="3" s="1"/>
  <c r="Y148" i="3"/>
  <c r="Z148" i="3" s="1"/>
  <c r="AT148" i="3"/>
  <c r="AQ149" i="3"/>
  <c r="A150" i="3"/>
  <c r="D149" i="3"/>
  <c r="B149" i="3"/>
  <c r="AR149" i="3"/>
  <c r="C149" i="3"/>
  <c r="F149" i="3"/>
  <c r="BM149" i="3" s="1"/>
  <c r="G149" i="3"/>
  <c r="H149" i="3" s="1"/>
  <c r="S149" i="3"/>
  <c r="Q149" i="3"/>
  <c r="O149" i="3"/>
  <c r="U149" i="3"/>
  <c r="AF149" i="3"/>
  <c r="AD149" i="3"/>
  <c r="M149" i="3"/>
  <c r="AE149" i="3"/>
  <c r="AG149" i="3" s="1"/>
  <c r="AK149" i="3"/>
  <c r="AM149" i="3"/>
  <c r="AN149" i="3" s="1"/>
  <c r="R149" i="3"/>
  <c r="P149" i="3"/>
  <c r="T149" i="3"/>
  <c r="V149" i="3"/>
  <c r="BD144" i="3"/>
  <c r="BG144" i="3"/>
  <c r="BH144" i="3" s="1"/>
  <c r="BI144" i="3" s="1"/>
  <c r="BN148" i="3"/>
  <c r="AO148" i="3"/>
  <c r="AU147" i="3"/>
  <c r="BB145" i="3"/>
  <c r="BQ145" i="3"/>
  <c r="BF145" i="3"/>
  <c r="BJ144" i="3" s="1"/>
  <c r="BK144" i="3" s="1"/>
  <c r="AV146" i="3"/>
  <c r="BC146" i="3" s="1"/>
  <c r="BA146" i="3"/>
  <c r="BN149" i="3" l="1"/>
  <c r="AV147" i="3"/>
  <c r="BC147" i="3"/>
  <c r="BD147" i="3"/>
  <c r="BG147" i="3"/>
  <c r="BH147" i="3" s="1"/>
  <c r="BI147" i="3" s="1"/>
  <c r="BF146" i="3"/>
  <c r="BJ145" i="3" s="1"/>
  <c r="BK145" i="3" s="1"/>
  <c r="BB146" i="3"/>
  <c r="BQ146" i="3"/>
  <c r="Y149" i="3"/>
  <c r="Z149" i="3" s="1"/>
  <c r="AO149" i="3"/>
  <c r="AW149" i="3" s="1"/>
  <c r="BD146" i="3"/>
  <c r="BG146" i="3"/>
  <c r="BH146" i="3" s="1"/>
  <c r="BI146" i="3" s="1"/>
  <c r="A151" i="3"/>
  <c r="AR150" i="3"/>
  <c r="B150" i="3"/>
  <c r="AQ150" i="3"/>
  <c r="C150" i="3"/>
  <c r="D150" i="3"/>
  <c r="G150" i="3"/>
  <c r="H150" i="3" s="1"/>
  <c r="BN150" i="3" s="1"/>
  <c r="F150" i="3"/>
  <c r="Q150" i="3"/>
  <c r="S150" i="3"/>
  <c r="O150" i="3"/>
  <c r="U150" i="3"/>
  <c r="AF150" i="3"/>
  <c r="AD150" i="3"/>
  <c r="M150" i="3"/>
  <c r="AK150" i="3"/>
  <c r="AM150" i="3"/>
  <c r="AE150" i="3"/>
  <c r="AG150" i="3" s="1"/>
  <c r="T150" i="3"/>
  <c r="V150" i="3"/>
  <c r="R150" i="3"/>
  <c r="P150" i="3"/>
  <c r="AH149" i="3"/>
  <c r="AU149" i="3"/>
  <c r="AT149" i="3"/>
  <c r="BA147" i="3"/>
  <c r="X149" i="3"/>
  <c r="AX148" i="3"/>
  <c r="AW148" i="3"/>
  <c r="AU148" i="3"/>
  <c r="AY148" i="3" l="1"/>
  <c r="X150" i="3"/>
  <c r="BA148" i="3"/>
  <c r="BQ148" i="3" s="1"/>
  <c r="AN150" i="3"/>
  <c r="AQ151" i="3"/>
  <c r="B151" i="3"/>
  <c r="A152" i="3"/>
  <c r="AR151" i="3"/>
  <c r="D151" i="3"/>
  <c r="C151" i="3"/>
  <c r="G151" i="3"/>
  <c r="H151" i="3" s="1"/>
  <c r="BN151" i="3" s="1"/>
  <c r="F151" i="3"/>
  <c r="BM151" i="3" s="1"/>
  <c r="Q151" i="3"/>
  <c r="S151" i="3"/>
  <c r="O151" i="3"/>
  <c r="U151" i="3"/>
  <c r="AF151" i="3"/>
  <c r="AE151" i="3"/>
  <c r="AD151" i="3"/>
  <c r="M151" i="3"/>
  <c r="AK151" i="3"/>
  <c r="AM151" i="3"/>
  <c r="R151" i="3"/>
  <c r="V151" i="3"/>
  <c r="P151" i="3"/>
  <c r="T151" i="3"/>
  <c r="AO150" i="3"/>
  <c r="Y150" i="3"/>
  <c r="Z150" i="3" s="1"/>
  <c r="AV148" i="3"/>
  <c r="BC148" i="3" s="1"/>
  <c r="AX149" i="3"/>
  <c r="AY149" i="3" s="1"/>
  <c r="AH150" i="3"/>
  <c r="AT150" i="3" s="1"/>
  <c r="BF147" i="3"/>
  <c r="BJ146" i="3" s="1"/>
  <c r="BK146" i="3" s="1"/>
  <c r="BB147" i="3"/>
  <c r="BQ147" i="3"/>
  <c r="AV149" i="3"/>
  <c r="BM150" i="3"/>
  <c r="AN151" i="3" l="1"/>
  <c r="BB148" i="3"/>
  <c r="BF148" i="3"/>
  <c r="AX150" i="3"/>
  <c r="AU150" i="3"/>
  <c r="AH151" i="3"/>
  <c r="AV150" i="3"/>
  <c r="Y151" i="3"/>
  <c r="Z151" i="3" s="1"/>
  <c r="BD148" i="3"/>
  <c r="BG148" i="3"/>
  <c r="BH148" i="3" s="1"/>
  <c r="BI148" i="3" s="1"/>
  <c r="A153" i="3"/>
  <c r="B152" i="3"/>
  <c r="AR152" i="3"/>
  <c r="AQ152" i="3"/>
  <c r="D152" i="3"/>
  <c r="C152" i="3"/>
  <c r="F152" i="3"/>
  <c r="G152" i="3"/>
  <c r="H152" i="3" s="1"/>
  <c r="Q152" i="3"/>
  <c r="S152" i="3"/>
  <c r="O152" i="3"/>
  <c r="U152" i="3"/>
  <c r="AD152" i="3"/>
  <c r="M152" i="3"/>
  <c r="AF152" i="3"/>
  <c r="AE152" i="3"/>
  <c r="AK152" i="3"/>
  <c r="AM152" i="3"/>
  <c r="V152" i="3"/>
  <c r="P152" i="3"/>
  <c r="R152" i="3"/>
  <c r="T152" i="3"/>
  <c r="BA149" i="3"/>
  <c r="AO151" i="3"/>
  <c r="BC149" i="3"/>
  <c r="AW150" i="3"/>
  <c r="AG151" i="3"/>
  <c r="X151" i="3"/>
  <c r="BJ147" i="3"/>
  <c r="BK147" i="3" s="1"/>
  <c r="AN152" i="3" l="1"/>
  <c r="AY150" i="3"/>
  <c r="AT151" i="3"/>
  <c r="BM152" i="3"/>
  <c r="AG152" i="3"/>
  <c r="BN152" i="3"/>
  <c r="AX151" i="3"/>
  <c r="Y152" i="3"/>
  <c r="Z152" i="3" s="1"/>
  <c r="AW151" i="3"/>
  <c r="X152" i="3"/>
  <c r="AH152" i="3"/>
  <c r="AT152" i="3" s="1"/>
  <c r="BC150" i="3"/>
  <c r="BQ149" i="3"/>
  <c r="BB149" i="3"/>
  <c r="BF149" i="3"/>
  <c r="BJ148" i="3" s="1"/>
  <c r="BK148" i="3" s="1"/>
  <c r="BA151" i="3"/>
  <c r="AO152" i="3"/>
  <c r="B153" i="3"/>
  <c r="AR153" i="3"/>
  <c r="AQ153" i="3"/>
  <c r="A154" i="3"/>
  <c r="C153" i="3"/>
  <c r="D153" i="3"/>
  <c r="F153" i="3"/>
  <c r="BM153" i="3" s="1"/>
  <c r="G153" i="3"/>
  <c r="H153" i="3" s="1"/>
  <c r="BN153" i="3" s="1"/>
  <c r="Q153" i="3"/>
  <c r="S153" i="3"/>
  <c r="O153" i="3"/>
  <c r="U153" i="3"/>
  <c r="M153" i="3"/>
  <c r="AE153" i="3"/>
  <c r="AD153" i="3"/>
  <c r="AF153" i="3"/>
  <c r="AM153" i="3"/>
  <c r="AK153" i="3"/>
  <c r="V153" i="3"/>
  <c r="R153" i="3"/>
  <c r="P153" i="3"/>
  <c r="T153" i="3"/>
  <c r="AU151" i="3"/>
  <c r="BD149" i="3"/>
  <c r="BG149" i="3"/>
  <c r="BH149" i="3" s="1"/>
  <c r="BI149" i="3" s="1"/>
  <c r="BA150" i="3"/>
  <c r="AV151" i="3" l="1"/>
  <c r="AY151" i="3"/>
  <c r="AN153" i="3"/>
  <c r="AG153" i="3"/>
  <c r="BQ151" i="3"/>
  <c r="BB151" i="3"/>
  <c r="BF151" i="3"/>
  <c r="X153" i="3"/>
  <c r="AV152" i="3"/>
  <c r="BQ150" i="3"/>
  <c r="BB150" i="3"/>
  <c r="BF150" i="3"/>
  <c r="BJ149" i="3" s="1"/>
  <c r="BK149" i="3" s="1"/>
  <c r="Y153" i="3"/>
  <c r="Z153" i="3" s="1"/>
  <c r="AH153" i="3"/>
  <c r="BD150" i="3"/>
  <c r="BG150" i="3"/>
  <c r="BH150" i="3" s="1"/>
  <c r="BI150" i="3" s="1"/>
  <c r="AX152" i="3"/>
  <c r="AW152" i="3"/>
  <c r="AU152" i="3"/>
  <c r="A155" i="3"/>
  <c r="C154" i="3"/>
  <c r="AR154" i="3"/>
  <c r="AQ154" i="3"/>
  <c r="B154" i="3"/>
  <c r="D154" i="3"/>
  <c r="F154" i="3"/>
  <c r="BM154" i="3" s="1"/>
  <c r="G154" i="3"/>
  <c r="H154" i="3" s="1"/>
  <c r="BN154" i="3" s="1"/>
  <c r="Q154" i="3"/>
  <c r="S154" i="3"/>
  <c r="O154" i="3"/>
  <c r="U154" i="3"/>
  <c r="AE154" i="3"/>
  <c r="AD154" i="3"/>
  <c r="M154" i="3"/>
  <c r="AF154" i="3"/>
  <c r="AM154" i="3"/>
  <c r="AK154" i="3"/>
  <c r="P154" i="3"/>
  <c r="V154" i="3"/>
  <c r="T154" i="3"/>
  <c r="R154" i="3"/>
  <c r="AO153" i="3"/>
  <c r="BC151" i="3" l="1"/>
  <c r="BG151" i="3"/>
  <c r="BH151" i="3" s="1"/>
  <c r="BI151" i="3" s="1"/>
  <c r="BD151" i="3"/>
  <c r="AO154" i="3"/>
  <c r="BA152" i="3"/>
  <c r="AX153" i="3"/>
  <c r="AY152" i="3"/>
  <c r="BC152" i="3" s="1"/>
  <c r="X154" i="3"/>
  <c r="AT153" i="3"/>
  <c r="AN154" i="3"/>
  <c r="BJ150" i="3"/>
  <c r="BK150" i="3" s="1"/>
  <c r="AU153" i="3"/>
  <c r="Y154" i="3"/>
  <c r="Z154" i="3" s="1"/>
  <c r="BF152" i="3"/>
  <c r="BJ151" i="3" s="1"/>
  <c r="BK151" i="3" s="1"/>
  <c r="BQ152" i="3"/>
  <c r="BB152" i="3"/>
  <c r="AQ155" i="3"/>
  <c r="B155" i="3"/>
  <c r="A156" i="3"/>
  <c r="AR155" i="3"/>
  <c r="C155" i="3"/>
  <c r="D155" i="3"/>
  <c r="F155" i="3"/>
  <c r="BM155" i="3" s="1"/>
  <c r="G155" i="3"/>
  <c r="H155" i="3" s="1"/>
  <c r="BN155" i="3" s="1"/>
  <c r="Q155" i="3"/>
  <c r="S155" i="3"/>
  <c r="O155" i="3"/>
  <c r="U155" i="3"/>
  <c r="M155" i="3"/>
  <c r="AD155" i="3"/>
  <c r="AF155" i="3"/>
  <c r="AK155" i="3"/>
  <c r="AE155" i="3"/>
  <c r="AM155" i="3"/>
  <c r="T155" i="3"/>
  <c r="R155" i="3"/>
  <c r="V155" i="3"/>
  <c r="P155" i="3"/>
  <c r="AH154" i="3"/>
  <c r="AU154" i="3" s="1"/>
  <c r="AG154" i="3"/>
  <c r="AW153" i="3"/>
  <c r="BD152" i="3" l="1"/>
  <c r="BG152" i="3"/>
  <c r="BH152" i="3" s="1"/>
  <c r="BI152" i="3" s="1"/>
  <c r="AY153" i="3"/>
  <c r="AW154" i="3"/>
  <c r="AG155" i="3"/>
  <c r="AO155" i="3"/>
  <c r="AN155" i="3"/>
  <c r="AH155" i="3"/>
  <c r="X155" i="3"/>
  <c r="AX154" i="3"/>
  <c r="AY154" i="3" s="1"/>
  <c r="AT154" i="3"/>
  <c r="AV153" i="3"/>
  <c r="BC153" i="3" s="1"/>
  <c r="BA153" i="3"/>
  <c r="AU155" i="3"/>
  <c r="Y155" i="3"/>
  <c r="Z155" i="3" s="1"/>
  <c r="AT155" i="3"/>
  <c r="A157" i="3"/>
  <c r="B156" i="3"/>
  <c r="AR156" i="3"/>
  <c r="AQ156" i="3"/>
  <c r="C156" i="3"/>
  <c r="D156" i="3"/>
  <c r="G156" i="3"/>
  <c r="H156" i="3" s="1"/>
  <c r="BN156" i="3" s="1"/>
  <c r="F156" i="3"/>
  <c r="BM156" i="3" s="1"/>
  <c r="Q156" i="3"/>
  <c r="S156" i="3"/>
  <c r="O156" i="3"/>
  <c r="U156" i="3"/>
  <c r="M156" i="3"/>
  <c r="AF156" i="3"/>
  <c r="AD156" i="3"/>
  <c r="AK156" i="3"/>
  <c r="AE156" i="3"/>
  <c r="AM156" i="3"/>
  <c r="T156" i="3"/>
  <c r="R156" i="3"/>
  <c r="P156" i="3"/>
  <c r="V156" i="3"/>
  <c r="AX155" i="3" l="1"/>
  <c r="AN156" i="3"/>
  <c r="AG156" i="3"/>
  <c r="AR157" i="3"/>
  <c r="A158" i="3"/>
  <c r="B157" i="3"/>
  <c r="AQ157" i="3"/>
  <c r="D157" i="3"/>
  <c r="C157" i="3"/>
  <c r="F157" i="3"/>
  <c r="G157" i="3"/>
  <c r="H157" i="3" s="1"/>
  <c r="BN157" i="3" s="1"/>
  <c r="Q157" i="3"/>
  <c r="S157" i="3"/>
  <c r="O157" i="3"/>
  <c r="U157" i="3"/>
  <c r="AD157" i="3"/>
  <c r="AE157" i="3"/>
  <c r="M157" i="3"/>
  <c r="AF157" i="3"/>
  <c r="AM157" i="3"/>
  <c r="AK157" i="3"/>
  <c r="P157" i="3"/>
  <c r="T157" i="3"/>
  <c r="R157" i="3"/>
  <c r="V157" i="3"/>
  <c r="AV155" i="3"/>
  <c r="BD153" i="3"/>
  <c r="BG153" i="3"/>
  <c r="BH153" i="3" s="1"/>
  <c r="BI153" i="3" s="1"/>
  <c r="AY155" i="3"/>
  <c r="AO156" i="3"/>
  <c r="X156" i="3"/>
  <c r="AH156" i="3"/>
  <c r="BB153" i="3"/>
  <c r="BF153" i="3"/>
  <c r="BJ152" i="3" s="1"/>
  <c r="BK152" i="3" s="1"/>
  <c r="BQ153" i="3"/>
  <c r="AV154" i="3"/>
  <c r="BC154" i="3" s="1"/>
  <c r="BA154" i="3"/>
  <c r="Y156" i="3"/>
  <c r="Z156" i="3" s="1"/>
  <c r="AW155" i="3"/>
  <c r="BA155" i="3" s="1"/>
  <c r="BM157" i="3" l="1"/>
  <c r="AO157" i="3"/>
  <c r="AX156" i="3"/>
  <c r="AH157" i="3"/>
  <c r="BB155" i="3"/>
  <c r="BQ155" i="3"/>
  <c r="BF155" i="3"/>
  <c r="AW156" i="3"/>
  <c r="AY156" i="3" s="1"/>
  <c r="AU156" i="3"/>
  <c r="AQ158" i="3"/>
  <c r="A159" i="3"/>
  <c r="AR158" i="3"/>
  <c r="B158" i="3"/>
  <c r="D158" i="3"/>
  <c r="C158" i="3"/>
  <c r="G158" i="3"/>
  <c r="H158" i="3" s="1"/>
  <c r="BN158" i="3" s="1"/>
  <c r="F158" i="3"/>
  <c r="Q158" i="3"/>
  <c r="S158" i="3"/>
  <c r="O158" i="3"/>
  <c r="U158" i="3"/>
  <c r="AD158" i="3"/>
  <c r="AF158" i="3"/>
  <c r="M158" i="3"/>
  <c r="AE158" i="3"/>
  <c r="AK158" i="3"/>
  <c r="AM158" i="3"/>
  <c r="P158" i="3"/>
  <c r="T158" i="3"/>
  <c r="V158" i="3"/>
  <c r="R158" i="3"/>
  <c r="AG157" i="3"/>
  <c r="AW157" i="3" s="1"/>
  <c r="X157" i="3"/>
  <c r="Y157" i="3"/>
  <c r="Z157" i="3" s="1"/>
  <c r="BC155" i="3"/>
  <c r="BQ154" i="3"/>
  <c r="BB154" i="3"/>
  <c r="BF154" i="3"/>
  <c r="BJ153" i="3" s="1"/>
  <c r="BK153" i="3" s="1"/>
  <c r="BD154" i="3"/>
  <c r="BG154" i="3"/>
  <c r="BH154" i="3" s="1"/>
  <c r="BI154" i="3" s="1"/>
  <c r="AN157" i="3"/>
  <c r="AT156" i="3"/>
  <c r="AG158" i="3" l="1"/>
  <c r="AN158" i="3"/>
  <c r="BM158" i="3"/>
  <c r="AX157" i="3"/>
  <c r="AY157" i="3" s="1"/>
  <c r="Y158" i="3"/>
  <c r="Z158" i="3" s="1"/>
  <c r="AQ159" i="3"/>
  <c r="B159" i="3"/>
  <c r="A160" i="3"/>
  <c r="AR159" i="3"/>
  <c r="C159" i="3"/>
  <c r="D159" i="3"/>
  <c r="F159" i="3"/>
  <c r="BM159" i="3" s="1"/>
  <c r="G159" i="3"/>
  <c r="H159" i="3" s="1"/>
  <c r="BN159" i="3" s="1"/>
  <c r="Q159" i="3"/>
  <c r="S159" i="3"/>
  <c r="O159" i="3"/>
  <c r="U159" i="3"/>
  <c r="AE159" i="3"/>
  <c r="AD159" i="3"/>
  <c r="M159" i="3"/>
  <c r="AF159" i="3"/>
  <c r="AM159" i="3"/>
  <c r="AK159" i="3"/>
  <c r="V159" i="3"/>
  <c r="P159" i="3"/>
  <c r="R159" i="3"/>
  <c r="T159" i="3"/>
  <c r="AO158" i="3"/>
  <c r="AH158" i="3"/>
  <c r="AU158" i="3" s="1"/>
  <c r="BJ154" i="3"/>
  <c r="BK154" i="3" s="1"/>
  <c r="BD155" i="3"/>
  <c r="BG155" i="3"/>
  <c r="BH155" i="3" s="1"/>
  <c r="BI155" i="3" s="1"/>
  <c r="BA156" i="3"/>
  <c r="AV156" i="3"/>
  <c r="BC156" i="3" s="1"/>
  <c r="AU157" i="3"/>
  <c r="X158" i="3"/>
  <c r="AT157" i="3"/>
  <c r="AO159" i="3" l="1"/>
  <c r="AG159" i="3"/>
  <c r="AH159" i="3"/>
  <c r="BB156" i="3"/>
  <c r="BQ156" i="3"/>
  <c r="BF156" i="3"/>
  <c r="BJ155" i="3" s="1"/>
  <c r="BK155" i="3" s="1"/>
  <c r="AV157" i="3"/>
  <c r="BC157" i="3" s="1"/>
  <c r="BA157" i="3"/>
  <c r="AU159" i="3"/>
  <c r="X159" i="3"/>
  <c r="AX158" i="3"/>
  <c r="AW158" i="3"/>
  <c r="AT159" i="3"/>
  <c r="Y159" i="3"/>
  <c r="Z159" i="3" s="1"/>
  <c r="A161" i="3"/>
  <c r="B160" i="3"/>
  <c r="AR160" i="3"/>
  <c r="AQ160" i="3"/>
  <c r="D160" i="3"/>
  <c r="C160" i="3"/>
  <c r="F160" i="3"/>
  <c r="BM160" i="3" s="1"/>
  <c r="G160" i="3"/>
  <c r="H160" i="3" s="1"/>
  <c r="S160" i="3"/>
  <c r="Q160" i="3"/>
  <c r="O160" i="3"/>
  <c r="U160" i="3"/>
  <c r="AM160" i="3"/>
  <c r="AE160" i="3"/>
  <c r="AD160" i="3"/>
  <c r="AF160" i="3"/>
  <c r="M160" i="3"/>
  <c r="AK160" i="3"/>
  <c r="AO160" i="3" s="1"/>
  <c r="R160" i="3"/>
  <c r="P160" i="3"/>
  <c r="V160" i="3"/>
  <c r="T160" i="3"/>
  <c r="AN159" i="3"/>
  <c r="BD156" i="3"/>
  <c r="BG156" i="3"/>
  <c r="BH156" i="3" s="1"/>
  <c r="BI156" i="3" s="1"/>
  <c r="AT158" i="3"/>
  <c r="AY158" i="3" l="1"/>
  <c r="BN160" i="3"/>
  <c r="AG160" i="3"/>
  <c r="BG157" i="3"/>
  <c r="BH157" i="3" s="1"/>
  <c r="BI157" i="3" s="1"/>
  <c r="BD157" i="3"/>
  <c r="AR161" i="3"/>
  <c r="AQ161" i="3"/>
  <c r="A162" i="3"/>
  <c r="B161" i="3"/>
  <c r="C161" i="3"/>
  <c r="D161" i="3"/>
  <c r="F161" i="3"/>
  <c r="BM161" i="3" s="1"/>
  <c r="G161" i="3"/>
  <c r="H161" i="3" s="1"/>
  <c r="BN161" i="3" s="1"/>
  <c r="Q161" i="3"/>
  <c r="S161" i="3"/>
  <c r="O161" i="3"/>
  <c r="U161" i="3"/>
  <c r="AD161" i="3"/>
  <c r="M161" i="3"/>
  <c r="AF161" i="3"/>
  <c r="AE161" i="3"/>
  <c r="AK161" i="3"/>
  <c r="AM161" i="3"/>
  <c r="R161" i="3"/>
  <c r="V161" i="3"/>
  <c r="P161" i="3"/>
  <c r="T161" i="3"/>
  <c r="AH160" i="3"/>
  <c r="AU160" i="3" s="1"/>
  <c r="AN160" i="3"/>
  <c r="X160" i="3"/>
  <c r="AV158" i="3"/>
  <c r="BC158" i="3" s="1"/>
  <c r="BA158" i="3"/>
  <c r="AX159" i="3"/>
  <c r="AV159" i="3"/>
  <c r="BF157" i="3"/>
  <c r="BJ156" i="3" s="1"/>
  <c r="BK156" i="3" s="1"/>
  <c r="BQ157" i="3"/>
  <c r="BB157" i="3"/>
  <c r="Y160" i="3"/>
  <c r="Z160" i="3" s="1"/>
  <c r="AW159" i="3"/>
  <c r="AH161" i="3" l="1"/>
  <c r="AN161" i="3"/>
  <c r="AY159" i="3"/>
  <c r="BD158" i="3"/>
  <c r="BG158" i="3"/>
  <c r="BH158" i="3" s="1"/>
  <c r="BI158" i="3" s="1"/>
  <c r="AW160" i="3"/>
  <c r="AX160" i="3"/>
  <c r="X161" i="3"/>
  <c r="Y161" i="3"/>
  <c r="Z161" i="3" s="1"/>
  <c r="AQ162" i="3"/>
  <c r="A163" i="3"/>
  <c r="D162" i="3"/>
  <c r="AR162" i="3"/>
  <c r="B162" i="3"/>
  <c r="C162" i="3"/>
  <c r="G162" i="3"/>
  <c r="H162" i="3" s="1"/>
  <c r="F162" i="3"/>
  <c r="Q162" i="3"/>
  <c r="S162" i="3"/>
  <c r="O162" i="3"/>
  <c r="U162" i="3"/>
  <c r="AE162" i="3"/>
  <c r="AD162" i="3"/>
  <c r="AF162" i="3"/>
  <c r="AM162" i="3"/>
  <c r="M162" i="3"/>
  <c r="AK162" i="3"/>
  <c r="V162" i="3"/>
  <c r="R162" i="3"/>
  <c r="P162" i="3"/>
  <c r="T162" i="3"/>
  <c r="AT161" i="3"/>
  <c r="BA159" i="3"/>
  <c r="BB158" i="3"/>
  <c r="BF158" i="3"/>
  <c r="BJ157" i="3" s="1"/>
  <c r="BK157" i="3" s="1"/>
  <c r="BQ158" i="3"/>
  <c r="AT160" i="3"/>
  <c r="AO161" i="3"/>
  <c r="AG161" i="3"/>
  <c r="BC159" i="3"/>
  <c r="AO162" i="3" l="1"/>
  <c r="AW161" i="3"/>
  <c r="BM162" i="3"/>
  <c r="AX161" i="3"/>
  <c r="BQ159" i="3"/>
  <c r="BF159" i="3"/>
  <c r="BB159" i="3"/>
  <c r="Y162" i="3"/>
  <c r="Z162" i="3" s="1"/>
  <c r="BD159" i="3"/>
  <c r="BG159" i="3"/>
  <c r="BH159" i="3" s="1"/>
  <c r="BI159" i="3" s="1"/>
  <c r="AQ163" i="3"/>
  <c r="B163" i="3"/>
  <c r="A164" i="3"/>
  <c r="AR163" i="3"/>
  <c r="C163" i="3"/>
  <c r="D163" i="3"/>
  <c r="G163" i="3"/>
  <c r="H163" i="3" s="1"/>
  <c r="BN163" i="3" s="1"/>
  <c r="F163" i="3"/>
  <c r="Q163" i="3"/>
  <c r="S163" i="3"/>
  <c r="O163" i="3"/>
  <c r="U163" i="3"/>
  <c r="AE163" i="3"/>
  <c r="AD163" i="3"/>
  <c r="M163" i="3"/>
  <c r="AF163" i="3"/>
  <c r="AM163" i="3"/>
  <c r="AK163" i="3"/>
  <c r="P163" i="3"/>
  <c r="T163" i="3"/>
  <c r="R163" i="3"/>
  <c r="V163" i="3"/>
  <c r="BA160" i="3"/>
  <c r="AV160" i="3"/>
  <c r="AY160" i="3"/>
  <c r="X162" i="3"/>
  <c r="AU161" i="3"/>
  <c r="BN162" i="3"/>
  <c r="AN162" i="3"/>
  <c r="AH162" i="3"/>
  <c r="AG162" i="3"/>
  <c r="AW162" i="3" s="1"/>
  <c r="AU162" i="3" l="1"/>
  <c r="BA161" i="3"/>
  <c r="AY161" i="3"/>
  <c r="AV161" i="3"/>
  <c r="AO163" i="3"/>
  <c r="AX162" i="3"/>
  <c r="AY162" i="3" s="1"/>
  <c r="BF161" i="3"/>
  <c r="BB161" i="3"/>
  <c r="BQ161" i="3"/>
  <c r="Y163" i="3"/>
  <c r="Z163" i="3" s="1"/>
  <c r="AG163" i="3"/>
  <c r="X163" i="3"/>
  <c r="BJ158" i="3"/>
  <c r="BK158" i="3" s="1"/>
  <c r="A165" i="3"/>
  <c r="AQ164" i="3"/>
  <c r="B164" i="3"/>
  <c r="AR164" i="3"/>
  <c r="C164" i="3"/>
  <c r="D164" i="3"/>
  <c r="G164" i="3"/>
  <c r="H164" i="3" s="1"/>
  <c r="BN164" i="3" s="1"/>
  <c r="F164" i="3"/>
  <c r="Q164" i="3"/>
  <c r="S164" i="3"/>
  <c r="O164" i="3"/>
  <c r="U164" i="3"/>
  <c r="M164" i="3"/>
  <c r="AE164" i="3"/>
  <c r="AF164" i="3"/>
  <c r="AD164" i="3"/>
  <c r="AH164" i="3" s="1"/>
  <c r="AK164" i="3"/>
  <c r="AM164" i="3"/>
  <c r="V164" i="3"/>
  <c r="P164" i="3"/>
  <c r="R164" i="3"/>
  <c r="T164" i="3"/>
  <c r="AN163" i="3"/>
  <c r="AT162" i="3"/>
  <c r="AH163" i="3"/>
  <c r="BC160" i="3"/>
  <c r="BQ160" i="3"/>
  <c r="BB160" i="3"/>
  <c r="BF160" i="3"/>
  <c r="BJ159" i="3" s="1"/>
  <c r="BK159" i="3" s="1"/>
  <c r="BM163" i="3"/>
  <c r="BC161" i="3" l="1"/>
  <c r="BM164" i="3"/>
  <c r="AN164" i="3"/>
  <c r="AW163" i="3"/>
  <c r="C165" i="3"/>
  <c r="AR165" i="3"/>
  <c r="AQ165" i="3"/>
  <c r="B165" i="3"/>
  <c r="A166" i="3"/>
  <c r="D165" i="3"/>
  <c r="G165" i="3"/>
  <c r="H165" i="3" s="1"/>
  <c r="BN165" i="3" s="1"/>
  <c r="F165" i="3"/>
  <c r="BM165" i="3" s="1"/>
  <c r="Q165" i="3"/>
  <c r="S165" i="3"/>
  <c r="O165" i="3"/>
  <c r="U165" i="3"/>
  <c r="AD165" i="3"/>
  <c r="AE165" i="3"/>
  <c r="M165" i="3"/>
  <c r="AF165" i="3"/>
  <c r="AK165" i="3"/>
  <c r="AM165" i="3"/>
  <c r="R165" i="3"/>
  <c r="V165" i="3"/>
  <c r="P165" i="3"/>
  <c r="T165" i="3"/>
  <c r="AX163" i="3"/>
  <c r="AY163" i="3" s="1"/>
  <c r="AT163" i="3"/>
  <c r="AO164" i="3"/>
  <c r="AU163" i="3"/>
  <c r="AG164" i="3"/>
  <c r="BD160" i="3"/>
  <c r="BG160" i="3"/>
  <c r="BH160" i="3" s="1"/>
  <c r="BI160" i="3" s="1"/>
  <c r="X164" i="3"/>
  <c r="AV162" i="3"/>
  <c r="BC162" i="3" s="1"/>
  <c r="BA162" i="3"/>
  <c r="Y164" i="3"/>
  <c r="Z164" i="3" s="1"/>
  <c r="BJ160" i="3"/>
  <c r="BK160" i="3" s="1"/>
  <c r="BG161" i="3" l="1"/>
  <c r="BH161" i="3" s="1"/>
  <c r="BI161" i="3" s="1"/>
  <c r="BD161" i="3"/>
  <c r="AG165" i="3"/>
  <c r="AN165" i="3"/>
  <c r="AW164" i="3"/>
  <c r="AX164" i="3"/>
  <c r="AH165" i="3"/>
  <c r="AU165" i="3" s="1"/>
  <c r="AU164" i="3"/>
  <c r="AY164" i="3"/>
  <c r="AR166" i="3"/>
  <c r="B166" i="3"/>
  <c r="AQ166" i="3"/>
  <c r="A167" i="3"/>
  <c r="D166" i="3"/>
  <c r="C166" i="3"/>
  <c r="F166" i="3"/>
  <c r="BM166" i="3" s="1"/>
  <c r="G166" i="3"/>
  <c r="H166" i="3" s="1"/>
  <c r="BN166" i="3" s="1"/>
  <c r="Q166" i="3"/>
  <c r="S166" i="3"/>
  <c r="O166" i="3"/>
  <c r="U166" i="3"/>
  <c r="AD166" i="3"/>
  <c r="M166" i="3"/>
  <c r="AF166" i="3"/>
  <c r="AE166" i="3"/>
  <c r="AG166" i="3" s="1"/>
  <c r="AM166" i="3"/>
  <c r="AK166" i="3"/>
  <c r="T166" i="3"/>
  <c r="V166" i="3"/>
  <c r="R166" i="3"/>
  <c r="P166" i="3"/>
  <c r="AW165" i="3"/>
  <c r="BA163" i="3"/>
  <c r="AV163" i="3"/>
  <c r="BC163" i="3" s="1"/>
  <c r="Y165" i="3"/>
  <c r="Z165" i="3" s="1"/>
  <c r="BQ162" i="3"/>
  <c r="BF162" i="3"/>
  <c r="BJ161" i="3" s="1"/>
  <c r="BK161" i="3" s="1"/>
  <c r="BB162" i="3"/>
  <c r="BD162" i="3"/>
  <c r="BG162" i="3"/>
  <c r="BH162" i="3" s="1"/>
  <c r="BI162" i="3" s="1"/>
  <c r="AT165" i="3"/>
  <c r="AO165" i="3"/>
  <c r="X165" i="3"/>
  <c r="AT164" i="3"/>
  <c r="AO166" i="3" l="1"/>
  <c r="X166" i="3"/>
  <c r="BD163" i="3"/>
  <c r="BG163" i="3"/>
  <c r="BH163" i="3" s="1"/>
  <c r="BI163" i="3" s="1"/>
  <c r="AV165" i="3"/>
  <c r="BQ163" i="3"/>
  <c r="BB163" i="3"/>
  <c r="BF163" i="3"/>
  <c r="BJ162" i="3" s="1"/>
  <c r="BK162" i="3" s="1"/>
  <c r="BA164" i="3"/>
  <c r="AV164" i="3"/>
  <c r="BC164" i="3" s="1"/>
  <c r="AX165" i="3"/>
  <c r="BA165" i="3" s="1"/>
  <c r="Y166" i="3"/>
  <c r="Z166" i="3" s="1"/>
  <c r="AQ167" i="3"/>
  <c r="B167" i="3"/>
  <c r="A168" i="3"/>
  <c r="AR167" i="3"/>
  <c r="C167" i="3"/>
  <c r="D167" i="3"/>
  <c r="G167" i="3"/>
  <c r="H167" i="3" s="1"/>
  <c r="F167" i="3"/>
  <c r="Q167" i="3"/>
  <c r="S167" i="3"/>
  <c r="O167" i="3"/>
  <c r="U167" i="3"/>
  <c r="AE167" i="3"/>
  <c r="M167" i="3"/>
  <c r="AD167" i="3"/>
  <c r="AF167" i="3"/>
  <c r="AM167" i="3"/>
  <c r="AK167" i="3"/>
  <c r="V167" i="3"/>
  <c r="P167" i="3"/>
  <c r="T167" i="3"/>
  <c r="R167" i="3"/>
  <c r="AN166" i="3"/>
  <c r="AH166" i="3"/>
  <c r="AX166" i="3" l="1"/>
  <c r="BM167" i="3"/>
  <c r="AN167" i="3"/>
  <c r="AH167" i="3"/>
  <c r="BF165" i="3"/>
  <c r="BQ165" i="3"/>
  <c r="BB165" i="3"/>
  <c r="AY165" i="3"/>
  <c r="BC165" i="3" s="1"/>
  <c r="BD164" i="3"/>
  <c r="BG164" i="3"/>
  <c r="BH164" i="3" s="1"/>
  <c r="BI164" i="3" s="1"/>
  <c r="AT166" i="3"/>
  <c r="AG167" i="3"/>
  <c r="AW166" i="3"/>
  <c r="AY166" i="3" s="1"/>
  <c r="BF164" i="3"/>
  <c r="BJ163" i="3" s="1"/>
  <c r="BK163" i="3" s="1"/>
  <c r="BB164" i="3"/>
  <c r="BQ164" i="3"/>
  <c r="X167" i="3"/>
  <c r="BN167" i="3"/>
  <c r="AU166" i="3"/>
  <c r="Y167" i="3"/>
  <c r="Z167" i="3" s="1"/>
  <c r="AR168" i="3"/>
  <c r="A169" i="3"/>
  <c r="B168" i="3"/>
  <c r="AQ168" i="3"/>
  <c r="C168" i="3"/>
  <c r="D168" i="3"/>
  <c r="F168" i="3"/>
  <c r="BM168" i="3" s="1"/>
  <c r="G168" i="3"/>
  <c r="H168" i="3" s="1"/>
  <c r="BN168" i="3" s="1"/>
  <c r="Q168" i="3"/>
  <c r="S168" i="3"/>
  <c r="O168" i="3"/>
  <c r="U168" i="3"/>
  <c r="AD168" i="3"/>
  <c r="AF168" i="3"/>
  <c r="M168" i="3"/>
  <c r="AE168" i="3"/>
  <c r="AM168" i="3"/>
  <c r="AK168" i="3"/>
  <c r="P168" i="3"/>
  <c r="R168" i="3"/>
  <c r="V168" i="3"/>
  <c r="T168" i="3"/>
  <c r="AO167" i="3"/>
  <c r="AU167" i="3" l="1"/>
  <c r="AO168" i="3"/>
  <c r="BG165" i="3"/>
  <c r="BH165" i="3" s="1"/>
  <c r="BI165" i="3" s="1"/>
  <c r="BD165" i="3"/>
  <c r="X168" i="3"/>
  <c r="AW167" i="3"/>
  <c r="AN168" i="3"/>
  <c r="AG168" i="3"/>
  <c r="AW168" i="3" s="1"/>
  <c r="AX167" i="3"/>
  <c r="AT167" i="3"/>
  <c r="Y168" i="3"/>
  <c r="Z168" i="3" s="1"/>
  <c r="BA166" i="3"/>
  <c r="AV166" i="3"/>
  <c r="BC166" i="3" s="1"/>
  <c r="AR169" i="3"/>
  <c r="AQ169" i="3"/>
  <c r="A170" i="3"/>
  <c r="B169" i="3"/>
  <c r="D169" i="3"/>
  <c r="C169" i="3"/>
  <c r="F169" i="3"/>
  <c r="G169" i="3"/>
  <c r="H169" i="3" s="1"/>
  <c r="Q169" i="3"/>
  <c r="S169" i="3"/>
  <c r="O169" i="3"/>
  <c r="U169" i="3"/>
  <c r="AK169" i="3"/>
  <c r="M169" i="3"/>
  <c r="AD169" i="3"/>
  <c r="AF169" i="3"/>
  <c r="AE169" i="3"/>
  <c r="AG169" i="3" s="1"/>
  <c r="AM169" i="3"/>
  <c r="V169" i="3"/>
  <c r="R169" i="3"/>
  <c r="P169" i="3"/>
  <c r="T169" i="3"/>
  <c r="AH168" i="3"/>
  <c r="BJ164" i="3"/>
  <c r="BK164" i="3" s="1"/>
  <c r="AN169" i="3" l="1"/>
  <c r="BN169" i="3"/>
  <c r="BM169" i="3"/>
  <c r="AR170" i="3"/>
  <c r="B170" i="3"/>
  <c r="AQ170" i="3"/>
  <c r="A171" i="3"/>
  <c r="C170" i="3"/>
  <c r="D170" i="3"/>
  <c r="F170" i="3"/>
  <c r="BM170" i="3" s="1"/>
  <c r="G170" i="3"/>
  <c r="H170" i="3" s="1"/>
  <c r="BN170" i="3" s="1"/>
  <c r="S170" i="3"/>
  <c r="Q170" i="3"/>
  <c r="O170" i="3"/>
  <c r="U170" i="3"/>
  <c r="AE170" i="3"/>
  <c r="AF170" i="3"/>
  <c r="AD170" i="3"/>
  <c r="M170" i="3"/>
  <c r="AK170" i="3"/>
  <c r="AM170" i="3"/>
  <c r="AN170" i="3" s="1"/>
  <c r="P170" i="3"/>
  <c r="T170" i="3"/>
  <c r="V170" i="3"/>
  <c r="R170" i="3"/>
  <c r="AH169" i="3"/>
  <c r="AX169" i="3" s="1"/>
  <c r="BD166" i="3"/>
  <c r="BG166" i="3"/>
  <c r="BH166" i="3" s="1"/>
  <c r="BI166" i="3" s="1"/>
  <c r="AV167" i="3"/>
  <c r="BC167" i="3" s="1"/>
  <c r="BA167" i="3"/>
  <c r="AU168" i="3"/>
  <c r="AW169" i="3"/>
  <c r="BF166" i="3"/>
  <c r="BJ165" i="3" s="1"/>
  <c r="BK165" i="3" s="1"/>
  <c r="BB166" i="3"/>
  <c r="BQ166" i="3"/>
  <c r="AO169" i="3"/>
  <c r="AY167" i="3"/>
  <c r="Y169" i="3"/>
  <c r="Z169" i="3" s="1"/>
  <c r="X169" i="3"/>
  <c r="AT168" i="3"/>
  <c r="AX168" i="3"/>
  <c r="AY168" i="3" s="1"/>
  <c r="AH170" i="3" l="1"/>
  <c r="X170" i="3"/>
  <c r="BA168" i="3"/>
  <c r="AV168" i="3"/>
  <c r="BC168" i="3" s="1"/>
  <c r="BF167" i="3"/>
  <c r="BJ166" i="3" s="1"/>
  <c r="BK166" i="3" s="1"/>
  <c r="BB167" i="3"/>
  <c r="BQ167" i="3"/>
  <c r="Y170" i="3"/>
  <c r="Z170" i="3" s="1"/>
  <c r="AG170" i="3"/>
  <c r="AW170" i="3" s="1"/>
  <c r="BD167" i="3"/>
  <c r="BG167" i="3"/>
  <c r="BH167" i="3" s="1"/>
  <c r="BI167" i="3" s="1"/>
  <c r="AY169" i="3"/>
  <c r="AT169" i="3"/>
  <c r="AQ171" i="3"/>
  <c r="B171" i="3"/>
  <c r="A172" i="3"/>
  <c r="AR171" i="3"/>
  <c r="C171" i="3"/>
  <c r="D171" i="3"/>
  <c r="G171" i="3"/>
  <c r="H171" i="3" s="1"/>
  <c r="BN171" i="3" s="1"/>
  <c r="F171" i="3"/>
  <c r="BM171" i="3" s="1"/>
  <c r="Q171" i="3"/>
  <c r="S171" i="3"/>
  <c r="O171" i="3"/>
  <c r="U171" i="3"/>
  <c r="AK171" i="3"/>
  <c r="AF171" i="3"/>
  <c r="AD171" i="3"/>
  <c r="AE171" i="3"/>
  <c r="M171" i="3"/>
  <c r="AM171" i="3"/>
  <c r="V171" i="3"/>
  <c r="R171" i="3"/>
  <c r="P171" i="3"/>
  <c r="T171" i="3"/>
  <c r="AU169" i="3"/>
  <c r="AO170" i="3"/>
  <c r="AG171" i="3" l="1"/>
  <c r="AO171" i="3"/>
  <c r="AH171" i="3"/>
  <c r="AU171" i="3" s="1"/>
  <c r="AT170" i="3"/>
  <c r="X171" i="3"/>
  <c r="BD168" i="3"/>
  <c r="BG168" i="3"/>
  <c r="BH168" i="3" s="1"/>
  <c r="BI168" i="3" s="1"/>
  <c r="AT171" i="3"/>
  <c r="BB168" i="3"/>
  <c r="BQ168" i="3"/>
  <c r="BF168" i="3"/>
  <c r="BJ167" i="3" s="1"/>
  <c r="BK167" i="3" s="1"/>
  <c r="Y171" i="3"/>
  <c r="Z171" i="3" s="1"/>
  <c r="B172" i="3"/>
  <c r="A173" i="3"/>
  <c r="AR172" i="3"/>
  <c r="AQ172" i="3"/>
  <c r="C172" i="3"/>
  <c r="D172" i="3"/>
  <c r="F172" i="3"/>
  <c r="BM172" i="3" s="1"/>
  <c r="G172" i="3"/>
  <c r="H172" i="3" s="1"/>
  <c r="BN172" i="3" s="1"/>
  <c r="Q172" i="3"/>
  <c r="S172" i="3"/>
  <c r="O172" i="3"/>
  <c r="U172" i="3"/>
  <c r="AF172" i="3"/>
  <c r="AD172" i="3"/>
  <c r="M172" i="3"/>
  <c r="AK172" i="3"/>
  <c r="AM172" i="3"/>
  <c r="AE172" i="3"/>
  <c r="AG172" i="3" s="1"/>
  <c r="P172" i="3"/>
  <c r="R172" i="3"/>
  <c r="V172" i="3"/>
  <c r="T172" i="3"/>
  <c r="AV169" i="3"/>
  <c r="BC169" i="3" s="1"/>
  <c r="BA169" i="3"/>
  <c r="AU170" i="3"/>
  <c r="AN171" i="3"/>
  <c r="AX170" i="3"/>
  <c r="AY170" i="3" s="1"/>
  <c r="AO172" i="3" l="1"/>
  <c r="A174" i="3"/>
  <c r="C173" i="3"/>
  <c r="B173" i="3"/>
  <c r="AQ173" i="3"/>
  <c r="AR173" i="3"/>
  <c r="D173" i="3"/>
  <c r="G173" i="3"/>
  <c r="H173" i="3" s="1"/>
  <c r="BN173" i="3" s="1"/>
  <c r="F173" i="3"/>
  <c r="BM173" i="3" s="1"/>
  <c r="Q173" i="3"/>
  <c r="S173" i="3"/>
  <c r="O173" i="3"/>
  <c r="U173" i="3"/>
  <c r="M173" i="3"/>
  <c r="AD173" i="3"/>
  <c r="AF173" i="3"/>
  <c r="AE173" i="3"/>
  <c r="AK173" i="3"/>
  <c r="AM173" i="3"/>
  <c r="V173" i="3"/>
  <c r="P173" i="3"/>
  <c r="T173" i="3"/>
  <c r="R173" i="3"/>
  <c r="AV171" i="3"/>
  <c r="BD169" i="3"/>
  <c r="BG169" i="3"/>
  <c r="BH169" i="3" s="1"/>
  <c r="BI169" i="3" s="1"/>
  <c r="AN172" i="3"/>
  <c r="AH172" i="3"/>
  <c r="X172" i="3"/>
  <c r="BQ169" i="3"/>
  <c r="BB169" i="3"/>
  <c r="BF169" i="3"/>
  <c r="BJ168" i="3" s="1"/>
  <c r="BK168" i="3" s="1"/>
  <c r="AV170" i="3"/>
  <c r="BC170" i="3" s="1"/>
  <c r="BA170" i="3"/>
  <c r="Y172" i="3"/>
  <c r="Z172" i="3" s="1"/>
  <c r="AX171" i="3"/>
  <c r="AW171" i="3"/>
  <c r="AX172" i="3" l="1"/>
  <c r="AN173" i="3"/>
  <c r="AY171" i="3"/>
  <c r="X173" i="3"/>
  <c r="AW172" i="3"/>
  <c r="AY172" i="3" s="1"/>
  <c r="AH173" i="3"/>
  <c r="AU172" i="3"/>
  <c r="Y173" i="3"/>
  <c r="Z173" i="3" s="1"/>
  <c r="BB170" i="3"/>
  <c r="BQ170" i="3"/>
  <c r="BF170" i="3"/>
  <c r="BJ169" i="3" s="1"/>
  <c r="BK169" i="3" s="1"/>
  <c r="BC171" i="3"/>
  <c r="AO173" i="3"/>
  <c r="AR174" i="3"/>
  <c r="B174" i="3"/>
  <c r="AQ174" i="3"/>
  <c r="A175" i="3"/>
  <c r="C174" i="3"/>
  <c r="D174" i="3"/>
  <c r="G174" i="3"/>
  <c r="H174" i="3" s="1"/>
  <c r="F174" i="3"/>
  <c r="Q174" i="3"/>
  <c r="S174" i="3"/>
  <c r="O174" i="3"/>
  <c r="U174" i="3"/>
  <c r="AF174" i="3"/>
  <c r="M174" i="3"/>
  <c r="AD174" i="3"/>
  <c r="AM174" i="3"/>
  <c r="AE174" i="3"/>
  <c r="AK174" i="3"/>
  <c r="V174" i="3"/>
  <c r="R174" i="3"/>
  <c r="P174" i="3"/>
  <c r="T174" i="3"/>
  <c r="BA171" i="3"/>
  <c r="BD170" i="3"/>
  <c r="BG170" i="3"/>
  <c r="BH170" i="3" s="1"/>
  <c r="BI170" i="3" s="1"/>
  <c r="AG173" i="3"/>
  <c r="AT172" i="3"/>
  <c r="AO174" i="3" l="1"/>
  <c r="AG174" i="3"/>
  <c r="BN174" i="3"/>
  <c r="BD171" i="3"/>
  <c r="BG171" i="3"/>
  <c r="BH171" i="3" s="1"/>
  <c r="BI171" i="3" s="1"/>
  <c r="Y174" i="3"/>
  <c r="Z174" i="3" s="1"/>
  <c r="AH174" i="3"/>
  <c r="AT174" i="3" s="1"/>
  <c r="AW173" i="3"/>
  <c r="AQ175" i="3"/>
  <c r="B175" i="3"/>
  <c r="AR175" i="3"/>
  <c r="A176" i="3"/>
  <c r="C175" i="3"/>
  <c r="D175" i="3"/>
  <c r="F175" i="3"/>
  <c r="G175" i="3"/>
  <c r="H175" i="3" s="1"/>
  <c r="BN175" i="3" s="1"/>
  <c r="Q175" i="3"/>
  <c r="S175" i="3"/>
  <c r="O175" i="3"/>
  <c r="U175" i="3"/>
  <c r="AF175" i="3"/>
  <c r="AE175" i="3"/>
  <c r="M175" i="3"/>
  <c r="AD175" i="3"/>
  <c r="AH175" i="3" s="1"/>
  <c r="AK175" i="3"/>
  <c r="AM175" i="3"/>
  <c r="T175" i="3"/>
  <c r="R175" i="3"/>
  <c r="V175" i="3"/>
  <c r="P175" i="3"/>
  <c r="AN174" i="3"/>
  <c r="X174" i="3"/>
  <c r="BM174" i="3"/>
  <c r="AX173" i="3"/>
  <c r="BA172" i="3"/>
  <c r="AV172" i="3"/>
  <c r="BC172" i="3" s="1"/>
  <c r="AU173" i="3"/>
  <c r="BF171" i="3"/>
  <c r="BJ170" i="3" s="1"/>
  <c r="BK170" i="3" s="1"/>
  <c r="BB171" i="3"/>
  <c r="BQ171" i="3"/>
  <c r="AT173" i="3"/>
  <c r="AN175" i="3" l="1"/>
  <c r="BM175" i="3"/>
  <c r="AY173" i="3"/>
  <c r="AO175" i="3"/>
  <c r="AG175" i="3"/>
  <c r="AW175" i="3" s="1"/>
  <c r="Y175" i="3"/>
  <c r="Z175" i="3" s="1"/>
  <c r="A177" i="3"/>
  <c r="B176" i="3"/>
  <c r="AR176" i="3"/>
  <c r="AQ176" i="3"/>
  <c r="C176" i="3"/>
  <c r="D176" i="3"/>
  <c r="F176" i="3"/>
  <c r="BM176" i="3" s="1"/>
  <c r="G176" i="3"/>
  <c r="H176" i="3" s="1"/>
  <c r="Q176" i="3"/>
  <c r="S176" i="3"/>
  <c r="O176" i="3"/>
  <c r="U176" i="3"/>
  <c r="AF176" i="3"/>
  <c r="AD176" i="3"/>
  <c r="M176" i="3"/>
  <c r="AE176" i="3"/>
  <c r="AG176" i="3" s="1"/>
  <c r="AK176" i="3"/>
  <c r="AM176" i="3"/>
  <c r="V176" i="3"/>
  <c r="P176" i="3"/>
  <c r="R176" i="3"/>
  <c r="T176" i="3"/>
  <c r="AV173" i="3"/>
  <c r="BC173" i="3" s="1"/>
  <c r="BA173" i="3"/>
  <c r="AX174" i="3"/>
  <c r="BD172" i="3"/>
  <c r="BG172" i="3"/>
  <c r="BH172" i="3" s="1"/>
  <c r="BI172" i="3" s="1"/>
  <c r="BF172" i="3"/>
  <c r="BJ171" i="3" s="1"/>
  <c r="BK171" i="3" s="1"/>
  <c r="BB172" i="3"/>
  <c r="BQ172" i="3"/>
  <c r="X175" i="3"/>
  <c r="AW174" i="3"/>
  <c r="AU174" i="3"/>
  <c r="AV174" i="3" s="1"/>
  <c r="AO176" i="3" l="1"/>
  <c r="Y176" i="3"/>
  <c r="Z176" i="3" s="1"/>
  <c r="X176" i="3"/>
  <c r="BD173" i="3"/>
  <c r="BG173" i="3"/>
  <c r="BH173" i="3" s="1"/>
  <c r="BI173" i="3" s="1"/>
  <c r="AQ177" i="3"/>
  <c r="A178" i="3"/>
  <c r="AR177" i="3"/>
  <c r="B177" i="3"/>
  <c r="C177" i="3"/>
  <c r="D177" i="3"/>
  <c r="G177" i="3"/>
  <c r="H177" i="3" s="1"/>
  <c r="BN177" i="3" s="1"/>
  <c r="F177" i="3"/>
  <c r="Q177" i="3"/>
  <c r="S177" i="3"/>
  <c r="O177" i="3"/>
  <c r="U177" i="3"/>
  <c r="M177" i="3"/>
  <c r="AF177" i="3"/>
  <c r="AD177" i="3"/>
  <c r="AE177" i="3"/>
  <c r="AK177" i="3"/>
  <c r="AM177" i="3"/>
  <c r="P177" i="3"/>
  <c r="V177" i="3"/>
  <c r="R177" i="3"/>
  <c r="T177" i="3"/>
  <c r="AH176" i="3"/>
  <c r="BA174" i="3"/>
  <c r="AN176" i="3"/>
  <c r="AX175" i="3"/>
  <c r="AY175" i="3" s="1"/>
  <c r="AT175" i="3"/>
  <c r="AU175" i="3"/>
  <c r="AY174" i="3"/>
  <c r="BC174" i="3" s="1"/>
  <c r="BQ173" i="3"/>
  <c r="BB173" i="3"/>
  <c r="BF173" i="3"/>
  <c r="BJ172" i="3" s="1"/>
  <c r="BK172" i="3" s="1"/>
  <c r="BN176" i="3"/>
  <c r="AN177" i="3" l="1"/>
  <c r="BM177" i="3"/>
  <c r="AX176" i="3"/>
  <c r="AH177" i="3"/>
  <c r="BD174" i="3"/>
  <c r="BG174" i="3"/>
  <c r="BH174" i="3" s="1"/>
  <c r="BI174" i="3" s="1"/>
  <c r="BF174" i="3"/>
  <c r="BJ173" i="3" s="1"/>
  <c r="BK173" i="3" s="1"/>
  <c r="BQ174" i="3"/>
  <c r="BB174" i="3"/>
  <c r="AU176" i="3"/>
  <c r="Y177" i="3"/>
  <c r="Z177" i="3" s="1"/>
  <c r="AT177" i="3"/>
  <c r="AR178" i="3"/>
  <c r="B178" i="3"/>
  <c r="AQ178" i="3"/>
  <c r="A179" i="3"/>
  <c r="D178" i="3"/>
  <c r="C178" i="3"/>
  <c r="F178" i="3"/>
  <c r="G178" i="3"/>
  <c r="H178" i="3" s="1"/>
  <c r="Q178" i="3"/>
  <c r="S178" i="3"/>
  <c r="O178" i="3"/>
  <c r="U178" i="3"/>
  <c r="AE178" i="3"/>
  <c r="AF178" i="3"/>
  <c r="AD178" i="3"/>
  <c r="AM178" i="3"/>
  <c r="M178" i="3"/>
  <c r="AK178" i="3"/>
  <c r="P178" i="3"/>
  <c r="V178" i="3"/>
  <c r="R178" i="3"/>
  <c r="T178" i="3"/>
  <c r="BA175" i="3"/>
  <c r="AV175" i="3"/>
  <c r="BC175" i="3" s="1"/>
  <c r="AO177" i="3"/>
  <c r="AG177" i="3"/>
  <c r="AW177" i="3" s="1"/>
  <c r="AT176" i="3"/>
  <c r="X177" i="3"/>
  <c r="AW176" i="3"/>
  <c r="AY176" i="3" s="1"/>
  <c r="AO178" i="3" l="1"/>
  <c r="AH178" i="3"/>
  <c r="BN178" i="3"/>
  <c r="BM178" i="3"/>
  <c r="AX177" i="3"/>
  <c r="AN178" i="3"/>
  <c r="Y178" i="3"/>
  <c r="Z178" i="3" s="1"/>
  <c r="AV176" i="3"/>
  <c r="BC176" i="3" s="1"/>
  <c r="BA176" i="3"/>
  <c r="AY177" i="3"/>
  <c r="AU177" i="3"/>
  <c r="BA177" i="3" s="1"/>
  <c r="AQ179" i="3"/>
  <c r="AR179" i="3"/>
  <c r="B179" i="3"/>
  <c r="A180" i="3"/>
  <c r="D179" i="3"/>
  <c r="C179" i="3"/>
  <c r="F179" i="3"/>
  <c r="BM179" i="3" s="1"/>
  <c r="G179" i="3"/>
  <c r="H179" i="3" s="1"/>
  <c r="Q179" i="3"/>
  <c r="S179" i="3"/>
  <c r="O179" i="3"/>
  <c r="U179" i="3"/>
  <c r="AF179" i="3"/>
  <c r="AE179" i="3"/>
  <c r="M179" i="3"/>
  <c r="AD179" i="3"/>
  <c r="AK179" i="3"/>
  <c r="AM179" i="3"/>
  <c r="V179" i="3"/>
  <c r="P179" i="3"/>
  <c r="R179" i="3"/>
  <c r="T179" i="3"/>
  <c r="AG178" i="3"/>
  <c r="AT178" i="3" s="1"/>
  <c r="X178" i="3"/>
  <c r="BD175" i="3"/>
  <c r="BG175" i="3"/>
  <c r="BH175" i="3" s="1"/>
  <c r="BI175" i="3" s="1"/>
  <c r="BQ175" i="3"/>
  <c r="BB175" i="3"/>
  <c r="BF175" i="3"/>
  <c r="BJ174" i="3" s="1"/>
  <c r="BK174" i="3" s="1"/>
  <c r="AO179" i="3" l="1"/>
  <c r="AX178" i="3"/>
  <c r="AW178" i="3"/>
  <c r="BB177" i="3"/>
  <c r="BQ177" i="3"/>
  <c r="BF177" i="3"/>
  <c r="AH179" i="3"/>
  <c r="A181" i="3"/>
  <c r="B180" i="3"/>
  <c r="AR180" i="3"/>
  <c r="AQ180" i="3"/>
  <c r="C180" i="3"/>
  <c r="D180" i="3"/>
  <c r="F180" i="3"/>
  <c r="BM180" i="3" s="1"/>
  <c r="G180" i="3"/>
  <c r="H180" i="3" s="1"/>
  <c r="BN180" i="3" s="1"/>
  <c r="Q180" i="3"/>
  <c r="S180" i="3"/>
  <c r="O180" i="3"/>
  <c r="U180" i="3"/>
  <c r="AD180" i="3"/>
  <c r="AE180" i="3"/>
  <c r="AF180" i="3"/>
  <c r="M180" i="3"/>
  <c r="AM180" i="3"/>
  <c r="AK180" i="3"/>
  <c r="V180" i="3"/>
  <c r="P180" i="3"/>
  <c r="R180" i="3"/>
  <c r="T180" i="3"/>
  <c r="Y179" i="3"/>
  <c r="Z179" i="3" s="1"/>
  <c r="AG179" i="3"/>
  <c r="AU179" i="3" s="1"/>
  <c r="X179" i="3"/>
  <c r="BN179" i="3"/>
  <c r="AU178" i="3"/>
  <c r="AV177" i="3"/>
  <c r="BC177" i="3" s="1"/>
  <c r="AN179" i="3"/>
  <c r="BB176" i="3"/>
  <c r="BF176" i="3"/>
  <c r="BJ175" i="3" s="1"/>
  <c r="BK175" i="3" s="1"/>
  <c r="BQ176" i="3"/>
  <c r="BD176" i="3"/>
  <c r="BG176" i="3"/>
  <c r="BH176" i="3" s="1"/>
  <c r="BI176" i="3" s="1"/>
  <c r="BA178" i="3" l="1"/>
  <c r="AT179" i="3"/>
  <c r="AO180" i="3"/>
  <c r="AY178" i="3"/>
  <c r="BQ178" i="3"/>
  <c r="BB178" i="3"/>
  <c r="BF178" i="3"/>
  <c r="BJ177" i="3" s="1"/>
  <c r="BK177" i="3" s="1"/>
  <c r="AV179" i="3"/>
  <c r="Y180" i="3"/>
  <c r="Z180" i="3" s="1"/>
  <c r="B181" i="3"/>
  <c r="AQ181" i="3"/>
  <c r="A182" i="3"/>
  <c r="D181" i="3"/>
  <c r="AR181" i="3"/>
  <c r="C181" i="3"/>
  <c r="F181" i="3"/>
  <c r="BM181" i="3" s="1"/>
  <c r="G181" i="3"/>
  <c r="H181" i="3" s="1"/>
  <c r="Q181" i="3"/>
  <c r="S181" i="3"/>
  <c r="O181" i="3"/>
  <c r="U181" i="3"/>
  <c r="AE181" i="3"/>
  <c r="M181" i="3"/>
  <c r="AF181" i="3"/>
  <c r="AD181" i="3"/>
  <c r="AM181" i="3"/>
  <c r="AK181" i="3"/>
  <c r="T181" i="3"/>
  <c r="P181" i="3"/>
  <c r="V181" i="3"/>
  <c r="R181" i="3"/>
  <c r="AG180" i="3"/>
  <c r="AH180" i="3"/>
  <c r="AV178" i="3"/>
  <c r="AX179" i="3"/>
  <c r="AW179" i="3"/>
  <c r="AN180" i="3"/>
  <c r="BJ176" i="3"/>
  <c r="BK176" i="3" s="1"/>
  <c r="BD177" i="3"/>
  <c r="BG177" i="3"/>
  <c r="BH177" i="3" s="1"/>
  <c r="BI177" i="3" s="1"/>
  <c r="X180" i="3"/>
  <c r="AO181" i="3" l="1"/>
  <c r="BN181" i="3"/>
  <c r="AY179" i="3"/>
  <c r="BC179" i="3" s="1"/>
  <c r="AW180" i="3"/>
  <c r="BC178" i="3"/>
  <c r="BD178" i="3" s="1"/>
  <c r="Y181" i="3"/>
  <c r="Z181" i="3" s="1"/>
  <c r="AR182" i="3"/>
  <c r="B182" i="3"/>
  <c r="AQ182" i="3"/>
  <c r="A183" i="3"/>
  <c r="D182" i="3"/>
  <c r="C182" i="3"/>
  <c r="F182" i="3"/>
  <c r="BM182" i="3" s="1"/>
  <c r="G182" i="3"/>
  <c r="H182" i="3" s="1"/>
  <c r="BN182" i="3" s="1"/>
  <c r="Q182" i="3"/>
  <c r="S182" i="3"/>
  <c r="O182" i="3"/>
  <c r="U182" i="3"/>
  <c r="AD182" i="3"/>
  <c r="M182" i="3"/>
  <c r="AF182" i="3"/>
  <c r="AE182" i="3"/>
  <c r="AM182" i="3"/>
  <c r="AK182" i="3"/>
  <c r="V182" i="3"/>
  <c r="R182" i="3"/>
  <c r="P182" i="3"/>
  <c r="T182" i="3"/>
  <c r="AN181" i="3"/>
  <c r="AG181" i="3"/>
  <c r="AT180" i="3"/>
  <c r="AH181" i="3"/>
  <c r="AU180" i="3"/>
  <c r="BA179" i="3"/>
  <c r="X181" i="3"/>
  <c r="AX180" i="3"/>
  <c r="AY180" i="3" l="1"/>
  <c r="AO182" i="3"/>
  <c r="BG178" i="3"/>
  <c r="BH178" i="3" s="1"/>
  <c r="BI178" i="3" s="1"/>
  <c r="BD179" i="3"/>
  <c r="BG179" i="3"/>
  <c r="BH179" i="3" s="1"/>
  <c r="BI179" i="3" s="1"/>
  <c r="AH182" i="3"/>
  <c r="AX181" i="3"/>
  <c r="AT181" i="3"/>
  <c r="AU181" i="3"/>
  <c r="AV180" i="3"/>
  <c r="BC180" i="3" s="1"/>
  <c r="BA180" i="3"/>
  <c r="X182" i="3"/>
  <c r="AN182" i="3"/>
  <c r="AG182" i="3"/>
  <c r="AW182" i="3" s="1"/>
  <c r="AW181" i="3"/>
  <c r="AY181" i="3" s="1"/>
  <c r="Y182" i="3"/>
  <c r="Z182" i="3" s="1"/>
  <c r="A184" i="3"/>
  <c r="AQ183" i="3"/>
  <c r="B183" i="3"/>
  <c r="AR183" i="3"/>
  <c r="C183" i="3"/>
  <c r="D183" i="3"/>
  <c r="G183" i="3"/>
  <c r="H183" i="3" s="1"/>
  <c r="BN183" i="3" s="1"/>
  <c r="F183" i="3"/>
  <c r="BM183" i="3" s="1"/>
  <c r="Q183" i="3"/>
  <c r="S183" i="3"/>
  <c r="O183" i="3"/>
  <c r="U183" i="3"/>
  <c r="AF183" i="3"/>
  <c r="AD183" i="3"/>
  <c r="M183" i="3"/>
  <c r="AE183" i="3"/>
  <c r="AG183" i="3" s="1"/>
  <c r="AK183" i="3"/>
  <c r="AM183" i="3"/>
  <c r="V183" i="3"/>
  <c r="P183" i="3"/>
  <c r="T183" i="3"/>
  <c r="R183" i="3"/>
  <c r="BQ179" i="3"/>
  <c r="BB179" i="3"/>
  <c r="BF179" i="3"/>
  <c r="BJ178" i="3" s="1"/>
  <c r="BK178" i="3" s="1"/>
  <c r="AN183" i="3" l="1"/>
  <c r="Y183" i="3"/>
  <c r="Z183" i="3" s="1"/>
  <c r="AX182" i="3"/>
  <c r="A185" i="3"/>
  <c r="B184" i="3"/>
  <c r="AR184" i="3"/>
  <c r="AQ184" i="3"/>
  <c r="C184" i="3"/>
  <c r="D184" i="3"/>
  <c r="F184" i="3"/>
  <c r="G184" i="3"/>
  <c r="H184" i="3" s="1"/>
  <c r="BN184" i="3" s="1"/>
  <c r="Q184" i="3"/>
  <c r="S184" i="3"/>
  <c r="O184" i="3"/>
  <c r="U184" i="3"/>
  <c r="AF184" i="3"/>
  <c r="M184" i="3"/>
  <c r="AD184" i="3"/>
  <c r="AM184" i="3"/>
  <c r="AE184" i="3"/>
  <c r="AK184" i="3"/>
  <c r="P184" i="3"/>
  <c r="R184" i="3"/>
  <c r="V184" i="3"/>
  <c r="T184" i="3"/>
  <c r="X183" i="3"/>
  <c r="AO183" i="3"/>
  <c r="AH183" i="3"/>
  <c r="AY182" i="3"/>
  <c r="AU182" i="3"/>
  <c r="BB180" i="3"/>
  <c r="BF180" i="3"/>
  <c r="BJ179" i="3" s="1"/>
  <c r="BK179" i="3" s="1"/>
  <c r="BQ180" i="3"/>
  <c r="AT182" i="3"/>
  <c r="BD180" i="3"/>
  <c r="BG180" i="3"/>
  <c r="BH180" i="3" s="1"/>
  <c r="BI180" i="3" s="1"/>
  <c r="BA181" i="3"/>
  <c r="AV181" i="3"/>
  <c r="BC181" i="3" s="1"/>
  <c r="AW183" i="3" l="1"/>
  <c r="AX183" i="3"/>
  <c r="AY183" i="3" s="1"/>
  <c r="BM184" i="3"/>
  <c r="AO184" i="3"/>
  <c r="AH184" i="3"/>
  <c r="BF181" i="3"/>
  <c r="BJ180" i="3" s="1"/>
  <c r="BK180" i="3" s="1"/>
  <c r="BB181" i="3"/>
  <c r="BQ181" i="3"/>
  <c r="AT183" i="3"/>
  <c r="AG184" i="3"/>
  <c r="AR185" i="3"/>
  <c r="B185" i="3"/>
  <c r="AQ185" i="3"/>
  <c r="A186" i="3"/>
  <c r="C185" i="3"/>
  <c r="D185" i="3"/>
  <c r="G185" i="3"/>
  <c r="H185" i="3" s="1"/>
  <c r="F185" i="3"/>
  <c r="Q185" i="3"/>
  <c r="S185" i="3"/>
  <c r="O185" i="3"/>
  <c r="U185" i="3"/>
  <c r="AD185" i="3"/>
  <c r="AF185" i="3"/>
  <c r="M185" i="3"/>
  <c r="AE185" i="3"/>
  <c r="AK185" i="3"/>
  <c r="AM185" i="3"/>
  <c r="T185" i="3"/>
  <c r="R185" i="3"/>
  <c r="P185" i="3"/>
  <c r="V185" i="3"/>
  <c r="X184" i="3"/>
  <c r="BD181" i="3"/>
  <c r="BG181" i="3"/>
  <c r="BH181" i="3" s="1"/>
  <c r="BI181" i="3" s="1"/>
  <c r="Y184" i="3"/>
  <c r="Z184" i="3" s="1"/>
  <c r="AV182" i="3"/>
  <c r="BC182" i="3" s="1"/>
  <c r="BA182" i="3"/>
  <c r="AN184" i="3"/>
  <c r="AU183" i="3"/>
  <c r="AG185" i="3" l="1"/>
  <c r="AW184" i="3"/>
  <c r="BN185" i="3"/>
  <c r="AN185" i="3"/>
  <c r="AX184" i="3"/>
  <c r="AY184" i="3" s="1"/>
  <c r="AO185" i="3"/>
  <c r="AR186" i="3"/>
  <c r="B186" i="3"/>
  <c r="AQ186" i="3"/>
  <c r="A187" i="3"/>
  <c r="C186" i="3"/>
  <c r="D186" i="3"/>
  <c r="F186" i="3"/>
  <c r="BM186" i="3" s="1"/>
  <c r="G186" i="3"/>
  <c r="H186" i="3" s="1"/>
  <c r="BN186" i="3" s="1"/>
  <c r="Q186" i="3"/>
  <c r="S186" i="3"/>
  <c r="O186" i="3"/>
  <c r="U186" i="3"/>
  <c r="AE186" i="3"/>
  <c r="AF186" i="3"/>
  <c r="AD186" i="3"/>
  <c r="AK186" i="3"/>
  <c r="M186" i="3"/>
  <c r="AM186" i="3"/>
  <c r="V186" i="3"/>
  <c r="P186" i="3"/>
  <c r="R186" i="3"/>
  <c r="T186" i="3"/>
  <c r="AT184" i="3"/>
  <c r="AW185" i="3"/>
  <c r="AY185" i="3" s="1"/>
  <c r="AV183" i="3"/>
  <c r="BC183" i="3" s="1"/>
  <c r="BA183" i="3"/>
  <c r="AU184" i="3"/>
  <c r="BB182" i="3"/>
  <c r="BF182" i="3"/>
  <c r="BJ181" i="3" s="1"/>
  <c r="BK181" i="3" s="1"/>
  <c r="BQ182" i="3"/>
  <c r="Y185" i="3"/>
  <c r="Z185" i="3" s="1"/>
  <c r="AH185" i="3"/>
  <c r="AX185" i="3" s="1"/>
  <c r="X185" i="3"/>
  <c r="BD182" i="3"/>
  <c r="BG182" i="3"/>
  <c r="BH182" i="3" s="1"/>
  <c r="BI182" i="3" s="1"/>
  <c r="BM185" i="3"/>
  <c r="AH186" i="3" l="1"/>
  <c r="X186" i="3"/>
  <c r="AU185" i="3"/>
  <c r="AN186" i="3"/>
  <c r="AV184" i="3"/>
  <c r="BC184" i="3" s="1"/>
  <c r="BA184" i="3"/>
  <c r="B187" i="3"/>
  <c r="A188" i="3"/>
  <c r="AR187" i="3"/>
  <c r="AQ187" i="3"/>
  <c r="C187" i="3"/>
  <c r="D187" i="3"/>
  <c r="F187" i="3"/>
  <c r="G187" i="3"/>
  <c r="H187" i="3" s="1"/>
  <c r="BN187" i="3" s="1"/>
  <c r="Q187" i="3"/>
  <c r="S187" i="3"/>
  <c r="O187" i="3"/>
  <c r="U187" i="3"/>
  <c r="M187" i="3"/>
  <c r="AF187" i="3"/>
  <c r="AD187" i="3"/>
  <c r="AE187" i="3"/>
  <c r="AK187" i="3"/>
  <c r="AM187" i="3"/>
  <c r="P187" i="3"/>
  <c r="R187" i="3"/>
  <c r="V187" i="3"/>
  <c r="T187" i="3"/>
  <c r="BD183" i="3"/>
  <c r="BG183" i="3"/>
  <c r="BH183" i="3" s="1"/>
  <c r="BI183" i="3" s="1"/>
  <c r="AG186" i="3"/>
  <c r="BQ183" i="3"/>
  <c r="BF183" i="3"/>
  <c r="BJ182" i="3" s="1"/>
  <c r="BK182" i="3" s="1"/>
  <c r="BB183" i="3"/>
  <c r="Y186" i="3"/>
  <c r="Z186" i="3" s="1"/>
  <c r="AO186" i="3"/>
  <c r="AT185" i="3"/>
  <c r="X187" i="3" l="1"/>
  <c r="AW186" i="3"/>
  <c r="AG187" i="3"/>
  <c r="AO187" i="3"/>
  <c r="Y187" i="3"/>
  <c r="Z187" i="3" s="1"/>
  <c r="BD184" i="3"/>
  <c r="BG184" i="3"/>
  <c r="BH184" i="3" s="1"/>
  <c r="BI184" i="3" s="1"/>
  <c r="BM187" i="3"/>
  <c r="BA185" i="3"/>
  <c r="AV185" i="3"/>
  <c r="BC185" i="3" s="1"/>
  <c r="AN187" i="3"/>
  <c r="AQ188" i="3"/>
  <c r="A189" i="3"/>
  <c r="B188" i="3"/>
  <c r="AR188" i="3"/>
  <c r="C188" i="3"/>
  <c r="D188" i="3"/>
  <c r="F188" i="3"/>
  <c r="G188" i="3"/>
  <c r="H188" i="3" s="1"/>
  <c r="BN188" i="3" s="1"/>
  <c r="Q188" i="3"/>
  <c r="S188" i="3"/>
  <c r="O188" i="3"/>
  <c r="U188" i="3"/>
  <c r="AF188" i="3"/>
  <c r="AD188" i="3"/>
  <c r="AE188" i="3"/>
  <c r="AG188" i="3" s="1"/>
  <c r="M188" i="3"/>
  <c r="AK188" i="3"/>
  <c r="AM188" i="3"/>
  <c r="V188" i="3"/>
  <c r="R188" i="3"/>
  <c r="P188" i="3"/>
  <c r="T188" i="3"/>
  <c r="AT186" i="3"/>
  <c r="BF184" i="3"/>
  <c r="BJ183" i="3" s="1"/>
  <c r="BK183" i="3" s="1"/>
  <c r="BQ184" i="3"/>
  <c r="BB184" i="3"/>
  <c r="AU186" i="3"/>
  <c r="AH187" i="3"/>
  <c r="AX186" i="3"/>
  <c r="AY186" i="3" l="1"/>
  <c r="AN188" i="3"/>
  <c r="AR189" i="3"/>
  <c r="B189" i="3"/>
  <c r="AQ189" i="3"/>
  <c r="A190" i="3"/>
  <c r="D189" i="3"/>
  <c r="C189" i="3"/>
  <c r="F189" i="3"/>
  <c r="BM189" i="3" s="1"/>
  <c r="G189" i="3"/>
  <c r="H189" i="3" s="1"/>
  <c r="BN189" i="3" s="1"/>
  <c r="Q189" i="3"/>
  <c r="S189" i="3"/>
  <c r="O189" i="3"/>
  <c r="U189" i="3"/>
  <c r="AD189" i="3"/>
  <c r="AE189" i="3"/>
  <c r="AF189" i="3"/>
  <c r="M189" i="3"/>
  <c r="AK189" i="3"/>
  <c r="AM189" i="3"/>
  <c r="T189" i="3"/>
  <c r="P189" i="3"/>
  <c r="V189" i="3"/>
  <c r="R189" i="3"/>
  <c r="BD185" i="3"/>
  <c r="BG185" i="3"/>
  <c r="BH185" i="3" s="1"/>
  <c r="BI185" i="3" s="1"/>
  <c r="AO188" i="3"/>
  <c r="AT188" i="3"/>
  <c r="AW188" i="3"/>
  <c r="BQ185" i="3"/>
  <c r="BF185" i="3"/>
  <c r="BJ184" i="3" s="1"/>
  <c r="BK184" i="3" s="1"/>
  <c r="BB185" i="3"/>
  <c r="AX187" i="3"/>
  <c r="AW187" i="3"/>
  <c r="BA186" i="3"/>
  <c r="AV186" i="3"/>
  <c r="BC186" i="3" s="1"/>
  <c r="Y188" i="3"/>
  <c r="Z188" i="3" s="1"/>
  <c r="AH188" i="3"/>
  <c r="AU188" i="3" s="1"/>
  <c r="AU187" i="3"/>
  <c r="X188" i="3"/>
  <c r="AT187" i="3"/>
  <c r="BM188" i="3"/>
  <c r="AN189" i="3" l="1"/>
  <c r="AY187" i="3"/>
  <c r="AG189" i="3"/>
  <c r="X189" i="3"/>
  <c r="BA187" i="3"/>
  <c r="AV187" i="3"/>
  <c r="AR190" i="3"/>
  <c r="B190" i="3"/>
  <c r="AQ190" i="3"/>
  <c r="A191" i="3"/>
  <c r="C190" i="3"/>
  <c r="D190" i="3"/>
  <c r="G190" i="3"/>
  <c r="H190" i="3" s="1"/>
  <c r="BN190" i="3" s="1"/>
  <c r="F190" i="3"/>
  <c r="BM190" i="3" s="1"/>
  <c r="Q190" i="3"/>
  <c r="S190" i="3"/>
  <c r="O190" i="3"/>
  <c r="U190" i="3"/>
  <c r="AD190" i="3"/>
  <c r="AF190" i="3"/>
  <c r="M190" i="3"/>
  <c r="AE190" i="3"/>
  <c r="AG190" i="3" s="1"/>
  <c r="AK190" i="3"/>
  <c r="AM190" i="3"/>
  <c r="R190" i="3"/>
  <c r="T190" i="3"/>
  <c r="V190" i="3"/>
  <c r="P190" i="3"/>
  <c r="AH189" i="3"/>
  <c r="AV188" i="3"/>
  <c r="AX188" i="3"/>
  <c r="AY188" i="3" s="1"/>
  <c r="Y189" i="3"/>
  <c r="Z189" i="3" s="1"/>
  <c r="BD186" i="3"/>
  <c r="BG186" i="3"/>
  <c r="BH186" i="3" s="1"/>
  <c r="BI186" i="3" s="1"/>
  <c r="BQ186" i="3"/>
  <c r="BB186" i="3"/>
  <c r="BF186" i="3"/>
  <c r="BJ185" i="3" s="1"/>
  <c r="BK185" i="3" s="1"/>
  <c r="AO189" i="3"/>
  <c r="AX189" i="3" l="1"/>
  <c r="BC187" i="3"/>
  <c r="BD187" i="3" s="1"/>
  <c r="Y190" i="3"/>
  <c r="Z190" i="3" s="1"/>
  <c r="AO190" i="3"/>
  <c r="BA188" i="3"/>
  <c r="AQ191" i="3"/>
  <c r="AR191" i="3"/>
  <c r="B191" i="3"/>
  <c r="A192" i="3"/>
  <c r="D191" i="3"/>
  <c r="C191" i="3"/>
  <c r="F191" i="3"/>
  <c r="BM191" i="3" s="1"/>
  <c r="G191" i="3"/>
  <c r="H191" i="3" s="1"/>
  <c r="BN191" i="3" s="1"/>
  <c r="Q191" i="3"/>
  <c r="S191" i="3"/>
  <c r="O191" i="3"/>
  <c r="U191" i="3"/>
  <c r="AD191" i="3"/>
  <c r="AE191" i="3"/>
  <c r="AF191" i="3"/>
  <c r="M191" i="3"/>
  <c r="AM191" i="3"/>
  <c r="AK191" i="3"/>
  <c r="R191" i="3"/>
  <c r="T191" i="3"/>
  <c r="P191" i="3"/>
  <c r="V191" i="3"/>
  <c r="AT189" i="3"/>
  <c r="BC188" i="3"/>
  <c r="X190" i="3"/>
  <c r="AN190" i="3"/>
  <c r="AH190" i="3"/>
  <c r="BF187" i="3"/>
  <c r="BJ186" i="3" s="1"/>
  <c r="BK186" i="3" s="1"/>
  <c r="BB187" i="3"/>
  <c r="BQ187" i="3"/>
  <c r="AU189" i="3"/>
  <c r="AW189" i="3"/>
  <c r="BG187" i="3" l="1"/>
  <c r="BH187" i="3" s="1"/>
  <c r="BI187" i="3" s="1"/>
  <c r="X191" i="3"/>
  <c r="AY189" i="3"/>
  <c r="AX190" i="3"/>
  <c r="AO191" i="3"/>
  <c r="Y191" i="3"/>
  <c r="Z191" i="3" s="1"/>
  <c r="AG191" i="3"/>
  <c r="AV189" i="3"/>
  <c r="BA189" i="3"/>
  <c r="AR192" i="3"/>
  <c r="AQ192" i="3"/>
  <c r="A193" i="3"/>
  <c r="B192" i="3"/>
  <c r="D192" i="3"/>
  <c r="C192" i="3"/>
  <c r="G192" i="3"/>
  <c r="H192" i="3" s="1"/>
  <c r="BN192" i="3" s="1"/>
  <c r="F192" i="3"/>
  <c r="BM192" i="3" s="1"/>
  <c r="Q192" i="3"/>
  <c r="S192" i="3"/>
  <c r="O192" i="3"/>
  <c r="U192" i="3"/>
  <c r="AE192" i="3"/>
  <c r="M192" i="3"/>
  <c r="AD192" i="3"/>
  <c r="AF192" i="3"/>
  <c r="AK192" i="3"/>
  <c r="AM192" i="3"/>
  <c r="V192" i="3"/>
  <c r="T192" i="3"/>
  <c r="P192" i="3"/>
  <c r="R192" i="3"/>
  <c r="AW190" i="3"/>
  <c r="AY190" i="3" s="1"/>
  <c r="AT190" i="3"/>
  <c r="BD188" i="3"/>
  <c r="BG188" i="3"/>
  <c r="BH188" i="3" s="1"/>
  <c r="BI188" i="3" s="1"/>
  <c r="AU190" i="3"/>
  <c r="AN191" i="3"/>
  <c r="AH191" i="3"/>
  <c r="BF188" i="3"/>
  <c r="BJ187" i="3" s="1"/>
  <c r="BK187" i="3" s="1"/>
  <c r="BB188" i="3"/>
  <c r="BQ188" i="3"/>
  <c r="BC189" i="3" l="1"/>
  <c r="BD189" i="3" s="1"/>
  <c r="AN192" i="3"/>
  <c r="AT191" i="3"/>
  <c r="AU191" i="3"/>
  <c r="AV191" i="3" s="1"/>
  <c r="AX191" i="3"/>
  <c r="AW191" i="3"/>
  <c r="AG192" i="3"/>
  <c r="X192" i="3"/>
  <c r="BA190" i="3"/>
  <c r="AV190" i="3"/>
  <c r="BC190" i="3" s="1"/>
  <c r="AR193" i="3"/>
  <c r="B193" i="3"/>
  <c r="AQ193" i="3"/>
  <c r="A194" i="3"/>
  <c r="C193" i="3"/>
  <c r="D193" i="3"/>
  <c r="G193" i="3"/>
  <c r="H193" i="3" s="1"/>
  <c r="BN193" i="3" s="1"/>
  <c r="F193" i="3"/>
  <c r="Q193" i="3"/>
  <c r="S193" i="3"/>
  <c r="O193" i="3"/>
  <c r="U193" i="3"/>
  <c r="AF193" i="3"/>
  <c r="M193" i="3"/>
  <c r="AE193" i="3"/>
  <c r="AD193" i="3"/>
  <c r="AM193" i="3"/>
  <c r="AK193" i="3"/>
  <c r="T193" i="3"/>
  <c r="V193" i="3"/>
  <c r="R193" i="3"/>
  <c r="P193" i="3"/>
  <c r="BB189" i="3"/>
  <c r="BQ189" i="3"/>
  <c r="BF189" i="3"/>
  <c r="BJ188" i="3" s="1"/>
  <c r="BK188" i="3" s="1"/>
  <c r="Y192" i="3"/>
  <c r="Z192" i="3" s="1"/>
  <c r="AO192" i="3"/>
  <c r="AH192" i="3"/>
  <c r="BG189" i="3" l="1"/>
  <c r="BH189" i="3" s="1"/>
  <c r="BI189" i="3" s="1"/>
  <c r="AO193" i="3"/>
  <c r="AH193" i="3"/>
  <c r="AT192" i="3"/>
  <c r="AX192" i="3"/>
  <c r="AY191" i="3"/>
  <c r="BC191" i="3" s="1"/>
  <c r="AU192" i="3"/>
  <c r="BM193" i="3"/>
  <c r="BA191" i="3"/>
  <c r="BQ191" i="3" s="1"/>
  <c r="AR194" i="3"/>
  <c r="B194" i="3"/>
  <c r="D194" i="3"/>
  <c r="AQ194" i="3"/>
  <c r="A195" i="3"/>
  <c r="C194" i="3"/>
  <c r="G194" i="3"/>
  <c r="H194" i="3" s="1"/>
  <c r="BN194" i="3" s="1"/>
  <c r="F194" i="3"/>
  <c r="BM194" i="3" s="1"/>
  <c r="Q194" i="3"/>
  <c r="S194" i="3"/>
  <c r="O194" i="3"/>
  <c r="U194" i="3"/>
  <c r="AD194" i="3"/>
  <c r="AE194" i="3"/>
  <c r="AF194" i="3"/>
  <c r="M194" i="3"/>
  <c r="AK194" i="3"/>
  <c r="AM194" i="3"/>
  <c r="AN194" i="3" s="1"/>
  <c r="T194" i="3"/>
  <c r="R194" i="3"/>
  <c r="P194" i="3"/>
  <c r="V194" i="3"/>
  <c r="AV192" i="3"/>
  <c r="AN193" i="3"/>
  <c r="BD190" i="3"/>
  <c r="BG190" i="3"/>
  <c r="BH190" i="3" s="1"/>
  <c r="BI190" i="3" s="1"/>
  <c r="BQ190" i="3"/>
  <c r="BF190" i="3"/>
  <c r="BJ189" i="3" s="1"/>
  <c r="BK189" i="3" s="1"/>
  <c r="BB190" i="3"/>
  <c r="X193" i="3"/>
  <c r="Y193" i="3"/>
  <c r="Z193" i="3" s="1"/>
  <c r="AG193" i="3"/>
  <c r="AU193" i="3" s="1"/>
  <c r="AW192" i="3"/>
  <c r="AY192" i="3" s="1"/>
  <c r="BB191" i="3" l="1"/>
  <c r="BF191" i="3"/>
  <c r="AX193" i="3"/>
  <c r="AT193" i="3"/>
  <c r="AG194" i="3"/>
  <c r="AO194" i="3"/>
  <c r="BJ190" i="3"/>
  <c r="BK190" i="3" s="1"/>
  <c r="AV193" i="3"/>
  <c r="AW193" i="3"/>
  <c r="AY193" i="3" s="1"/>
  <c r="AH194" i="3"/>
  <c r="BD191" i="3"/>
  <c r="BG191" i="3"/>
  <c r="BH191" i="3" s="1"/>
  <c r="BI191" i="3" s="1"/>
  <c r="AQ195" i="3"/>
  <c r="A196" i="3"/>
  <c r="AR195" i="3"/>
  <c r="B195" i="3"/>
  <c r="C195" i="3"/>
  <c r="D195" i="3"/>
  <c r="F195" i="3"/>
  <c r="BM195" i="3" s="1"/>
  <c r="G195" i="3"/>
  <c r="H195" i="3" s="1"/>
  <c r="Q195" i="3"/>
  <c r="S195" i="3"/>
  <c r="O195" i="3"/>
  <c r="U195" i="3"/>
  <c r="AD195" i="3"/>
  <c r="M195" i="3"/>
  <c r="AE195" i="3"/>
  <c r="AF195" i="3"/>
  <c r="AM195" i="3"/>
  <c r="AK195" i="3"/>
  <c r="R195" i="3"/>
  <c r="P195" i="3"/>
  <c r="V195" i="3"/>
  <c r="T195" i="3"/>
  <c r="X194" i="3"/>
  <c r="BA192" i="3"/>
  <c r="BC192" i="3"/>
  <c r="Y194" i="3"/>
  <c r="Z194" i="3" s="1"/>
  <c r="AO195" i="3" l="1"/>
  <c r="AX194" i="3"/>
  <c r="AG195" i="3"/>
  <c r="B196" i="3"/>
  <c r="AR196" i="3"/>
  <c r="AQ196" i="3"/>
  <c r="A197" i="3"/>
  <c r="D196" i="3"/>
  <c r="C196" i="3"/>
  <c r="F196" i="3"/>
  <c r="BM196" i="3" s="1"/>
  <c r="G196" i="3"/>
  <c r="H196" i="3" s="1"/>
  <c r="BN196" i="3" s="1"/>
  <c r="Q196" i="3"/>
  <c r="S196" i="3"/>
  <c r="O196" i="3"/>
  <c r="U196" i="3"/>
  <c r="AE196" i="3"/>
  <c r="AF196" i="3"/>
  <c r="AD196" i="3"/>
  <c r="AM196" i="3"/>
  <c r="AK196" i="3"/>
  <c r="M196" i="3"/>
  <c r="R196" i="3"/>
  <c r="P196" i="3"/>
  <c r="V196" i="3"/>
  <c r="T196" i="3"/>
  <c r="AH195" i="3"/>
  <c r="AT194" i="3"/>
  <c r="X195" i="3"/>
  <c r="AU194" i="3"/>
  <c r="BA193" i="3"/>
  <c r="BC193" i="3"/>
  <c r="AT195" i="3"/>
  <c r="BG192" i="3"/>
  <c r="BH192" i="3" s="1"/>
  <c r="BI192" i="3" s="1"/>
  <c r="BD192" i="3"/>
  <c r="Y195" i="3"/>
  <c r="Z195" i="3" s="1"/>
  <c r="AN195" i="3"/>
  <c r="AW194" i="3"/>
  <c r="AY194" i="3" s="1"/>
  <c r="BQ192" i="3"/>
  <c r="BF192" i="3"/>
  <c r="BJ191" i="3" s="1"/>
  <c r="BK191" i="3" s="1"/>
  <c r="BB192" i="3"/>
  <c r="BN195" i="3"/>
  <c r="AH196" i="3" l="1"/>
  <c r="AN196" i="3"/>
  <c r="BF193" i="3"/>
  <c r="BJ192" i="3" s="1"/>
  <c r="BK192" i="3" s="1"/>
  <c r="BB193" i="3"/>
  <c r="BQ193" i="3"/>
  <c r="AV194" i="3"/>
  <c r="BC194" i="3" s="1"/>
  <c r="BA194" i="3"/>
  <c r="AW195" i="3"/>
  <c r="AX195" i="3"/>
  <c r="AU195" i="3"/>
  <c r="AV195" i="3" s="1"/>
  <c r="BD193" i="3"/>
  <c r="BG193" i="3"/>
  <c r="BH193" i="3" s="1"/>
  <c r="BI193" i="3" s="1"/>
  <c r="X196" i="3"/>
  <c r="Y196" i="3"/>
  <c r="Z196" i="3" s="1"/>
  <c r="AR197" i="3"/>
  <c r="B197" i="3"/>
  <c r="AQ197" i="3"/>
  <c r="A198" i="3"/>
  <c r="C197" i="3"/>
  <c r="D197" i="3"/>
  <c r="F197" i="3"/>
  <c r="BM197" i="3" s="1"/>
  <c r="G197" i="3"/>
  <c r="H197" i="3" s="1"/>
  <c r="BN197" i="3" s="1"/>
  <c r="Q197" i="3"/>
  <c r="S197" i="3"/>
  <c r="O197" i="3"/>
  <c r="U197" i="3"/>
  <c r="AD197" i="3"/>
  <c r="M197" i="3"/>
  <c r="AE197" i="3"/>
  <c r="AF197" i="3"/>
  <c r="AK197" i="3"/>
  <c r="AM197" i="3"/>
  <c r="P197" i="3"/>
  <c r="V197" i="3"/>
  <c r="R197" i="3"/>
  <c r="T197" i="3"/>
  <c r="AG196" i="3"/>
  <c r="AO196" i="3"/>
  <c r="AY195" i="3" l="1"/>
  <c r="BA195" i="3"/>
  <c r="AN197" i="3"/>
  <c r="BC195" i="3"/>
  <c r="BD195" i="3" s="1"/>
  <c r="AH197" i="3"/>
  <c r="BD194" i="3"/>
  <c r="BG194" i="3"/>
  <c r="BH194" i="3" s="1"/>
  <c r="BI194" i="3" s="1"/>
  <c r="AW196" i="3"/>
  <c r="AT196" i="3"/>
  <c r="AG197" i="3"/>
  <c r="BF195" i="3"/>
  <c r="BQ195" i="3"/>
  <c r="BB195" i="3"/>
  <c r="Y197" i="3"/>
  <c r="Z197" i="3" s="1"/>
  <c r="AU196" i="3"/>
  <c r="BB194" i="3"/>
  <c r="BQ194" i="3"/>
  <c r="BF194" i="3"/>
  <c r="BJ193" i="3" s="1"/>
  <c r="BK193" i="3" s="1"/>
  <c r="X197" i="3"/>
  <c r="BG195" i="3"/>
  <c r="BH195" i="3" s="1"/>
  <c r="BI195" i="3" s="1"/>
  <c r="AX196" i="3"/>
  <c r="AQ198" i="3"/>
  <c r="AR198" i="3"/>
  <c r="B198" i="3"/>
  <c r="A199" i="3"/>
  <c r="D198" i="3"/>
  <c r="C198" i="3"/>
  <c r="G198" i="3"/>
  <c r="H198" i="3" s="1"/>
  <c r="BN198" i="3" s="1"/>
  <c r="F198" i="3"/>
  <c r="BM198" i="3" s="1"/>
  <c r="S198" i="3"/>
  <c r="Q198" i="3"/>
  <c r="O198" i="3"/>
  <c r="U198" i="3"/>
  <c r="AD198" i="3"/>
  <c r="M198" i="3"/>
  <c r="AE198" i="3"/>
  <c r="AF198" i="3"/>
  <c r="AK198" i="3"/>
  <c r="AM198" i="3"/>
  <c r="R198" i="3"/>
  <c r="T198" i="3"/>
  <c r="P198" i="3"/>
  <c r="V198" i="3"/>
  <c r="AU197" i="3"/>
  <c r="AO197" i="3"/>
  <c r="AT197" i="3"/>
  <c r="AH198" i="3" l="1"/>
  <c r="AO198" i="3"/>
  <c r="X198" i="3"/>
  <c r="AV197" i="3"/>
  <c r="AQ199" i="3"/>
  <c r="B199" i="3"/>
  <c r="A200" i="3"/>
  <c r="AR199" i="3"/>
  <c r="C199" i="3"/>
  <c r="D199" i="3"/>
  <c r="F199" i="3"/>
  <c r="BM199" i="3" s="1"/>
  <c r="G199" i="3"/>
  <c r="H199" i="3" s="1"/>
  <c r="BN199" i="3" s="1"/>
  <c r="Q199" i="3"/>
  <c r="S199" i="3"/>
  <c r="O199" i="3"/>
  <c r="U199" i="3"/>
  <c r="AE199" i="3"/>
  <c r="AD199" i="3"/>
  <c r="M199" i="3"/>
  <c r="AF199" i="3"/>
  <c r="AK199" i="3"/>
  <c r="AM199" i="3"/>
  <c r="T199" i="3"/>
  <c r="R199" i="3"/>
  <c r="V199" i="3"/>
  <c r="P199" i="3"/>
  <c r="Y198" i="3"/>
  <c r="Z198" i="3" s="1"/>
  <c r="AG198" i="3"/>
  <c r="AT198" i="3" s="1"/>
  <c r="BJ194" i="3"/>
  <c r="BK194" i="3" s="1"/>
  <c r="AW197" i="3"/>
  <c r="AY197" i="3" s="1"/>
  <c r="AN198" i="3"/>
  <c r="AX198" i="3" s="1"/>
  <c r="BA196" i="3"/>
  <c r="AV196" i="3"/>
  <c r="AY196" i="3"/>
  <c r="AX197" i="3"/>
  <c r="AO199" i="3" l="1"/>
  <c r="AH199" i="3"/>
  <c r="AW198" i="3"/>
  <c r="AY198" i="3" s="1"/>
  <c r="AN199" i="3"/>
  <c r="AU198" i="3"/>
  <c r="AG199" i="3"/>
  <c r="BA197" i="3"/>
  <c r="X199" i="3"/>
  <c r="Y199" i="3"/>
  <c r="Z199" i="3" s="1"/>
  <c r="A201" i="3"/>
  <c r="B200" i="3"/>
  <c r="AR200" i="3"/>
  <c r="AQ200" i="3"/>
  <c r="C200" i="3"/>
  <c r="D200" i="3"/>
  <c r="F200" i="3"/>
  <c r="G200" i="3"/>
  <c r="H200" i="3" s="1"/>
  <c r="S200" i="3"/>
  <c r="Q200" i="3"/>
  <c r="O200" i="3"/>
  <c r="U200" i="3"/>
  <c r="AE200" i="3"/>
  <c r="AD200" i="3"/>
  <c r="AF200" i="3"/>
  <c r="AK200" i="3"/>
  <c r="AM200" i="3"/>
  <c r="AN200" i="3" s="1"/>
  <c r="M200" i="3"/>
  <c r="R200" i="3"/>
  <c r="T200" i="3"/>
  <c r="V200" i="3"/>
  <c r="P200" i="3"/>
  <c r="BC196" i="3"/>
  <c r="BF196" i="3"/>
  <c r="BJ195" i="3" s="1"/>
  <c r="BK195" i="3" s="1"/>
  <c r="BQ196" i="3"/>
  <c r="BB196" i="3"/>
  <c r="BC197" i="3"/>
  <c r="BA198" i="3" l="1"/>
  <c r="AW199" i="3"/>
  <c r="BN200" i="3"/>
  <c r="BB198" i="3"/>
  <c r="BF198" i="3"/>
  <c r="BQ198" i="3"/>
  <c r="AR201" i="3"/>
  <c r="B201" i="3"/>
  <c r="AQ201" i="3"/>
  <c r="A202" i="3"/>
  <c r="D201" i="3"/>
  <c r="C201" i="3"/>
  <c r="F201" i="3"/>
  <c r="BM201" i="3" s="1"/>
  <c r="G201" i="3"/>
  <c r="H201" i="3" s="1"/>
  <c r="BN201" i="3" s="1"/>
  <c r="Q201" i="3"/>
  <c r="S201" i="3"/>
  <c r="O201" i="3"/>
  <c r="U201" i="3"/>
  <c r="AF201" i="3"/>
  <c r="AD201" i="3"/>
  <c r="M201" i="3"/>
  <c r="AE201" i="3"/>
  <c r="AM201" i="3"/>
  <c r="AK201" i="3"/>
  <c r="P201" i="3"/>
  <c r="R201" i="3"/>
  <c r="V201" i="3"/>
  <c r="T201" i="3"/>
  <c r="AO200" i="3"/>
  <c r="AG200" i="3"/>
  <c r="BD197" i="3"/>
  <c r="BG197" i="3"/>
  <c r="BH197" i="3" s="1"/>
  <c r="BI197" i="3" s="1"/>
  <c r="BM200" i="3"/>
  <c r="AV198" i="3"/>
  <c r="BC198" i="3" s="1"/>
  <c r="AH200" i="3"/>
  <c r="BB197" i="3"/>
  <c r="BQ197" i="3"/>
  <c r="BF197" i="3"/>
  <c r="BJ196" i="3" s="1"/>
  <c r="BK196" i="3" s="1"/>
  <c r="X200" i="3"/>
  <c r="AT199" i="3"/>
  <c r="BD196" i="3"/>
  <c r="BG196" i="3"/>
  <c r="BH196" i="3" s="1"/>
  <c r="BI196" i="3" s="1"/>
  <c r="AX199" i="3"/>
  <c r="AY199" i="3" s="1"/>
  <c r="AU199" i="3"/>
  <c r="Y200" i="3"/>
  <c r="Z200" i="3" s="1"/>
  <c r="AO201" i="3" l="1"/>
  <c r="AG201" i="3"/>
  <c r="AW200" i="3"/>
  <c r="AT200" i="3"/>
  <c r="Y201" i="3"/>
  <c r="Z201" i="3" s="1"/>
  <c r="AQ202" i="3"/>
  <c r="AR202" i="3"/>
  <c r="B202" i="3"/>
  <c r="A203" i="3"/>
  <c r="C202" i="3"/>
  <c r="D202" i="3"/>
  <c r="G202" i="3"/>
  <c r="H202" i="3" s="1"/>
  <c r="BN202" i="3" s="1"/>
  <c r="F202" i="3"/>
  <c r="BM202" i="3" s="1"/>
  <c r="Q202" i="3"/>
  <c r="S202" i="3"/>
  <c r="O202" i="3"/>
  <c r="U202" i="3"/>
  <c r="AF202" i="3"/>
  <c r="AD202" i="3"/>
  <c r="AE202" i="3"/>
  <c r="AK202" i="3"/>
  <c r="AM202" i="3"/>
  <c r="M202" i="3"/>
  <c r="T202" i="3"/>
  <c r="P202" i="3"/>
  <c r="V202" i="3"/>
  <c r="R202" i="3"/>
  <c r="AX200" i="3"/>
  <c r="X201" i="3"/>
  <c r="AV199" i="3"/>
  <c r="BC199" i="3" s="1"/>
  <c r="BA199" i="3"/>
  <c r="AN201" i="3"/>
  <c r="AU200" i="3"/>
  <c r="BD198" i="3"/>
  <c r="BG198" i="3"/>
  <c r="BH198" i="3" s="1"/>
  <c r="BI198" i="3" s="1"/>
  <c r="AH201" i="3"/>
  <c r="BJ197" i="3"/>
  <c r="BK197" i="3" s="1"/>
  <c r="AG202" i="3" l="1"/>
  <c r="X202" i="3"/>
  <c r="AN202" i="3"/>
  <c r="BF199" i="3"/>
  <c r="BJ198" i="3" s="1"/>
  <c r="BK198" i="3" s="1"/>
  <c r="BB199" i="3"/>
  <c r="BQ199" i="3"/>
  <c r="Y202" i="3"/>
  <c r="Z202" i="3" s="1"/>
  <c r="AR203" i="3"/>
  <c r="AQ203" i="3"/>
  <c r="A204" i="3"/>
  <c r="B203" i="3"/>
  <c r="C203" i="3"/>
  <c r="D203" i="3"/>
  <c r="G203" i="3"/>
  <c r="H203" i="3" s="1"/>
  <c r="BN203" i="3" s="1"/>
  <c r="F203" i="3"/>
  <c r="BM203" i="3" s="1"/>
  <c r="Q203" i="3"/>
  <c r="S203" i="3"/>
  <c r="O203" i="3"/>
  <c r="U203" i="3"/>
  <c r="M203" i="3"/>
  <c r="AD203" i="3"/>
  <c r="AF203" i="3"/>
  <c r="AE203" i="3"/>
  <c r="AG203" i="3" s="1"/>
  <c r="AM203" i="3"/>
  <c r="AK203" i="3"/>
  <c r="P203" i="3"/>
  <c r="R203" i="3"/>
  <c r="T203" i="3"/>
  <c r="V203" i="3"/>
  <c r="AW201" i="3"/>
  <c r="AX201" i="3"/>
  <c r="BG199" i="3"/>
  <c r="BH199" i="3" s="1"/>
  <c r="BI199" i="3" s="1"/>
  <c r="BD199" i="3"/>
  <c r="AO202" i="3"/>
  <c r="AV200" i="3"/>
  <c r="BA200" i="3"/>
  <c r="AT201" i="3"/>
  <c r="AH202" i="3"/>
  <c r="AT202" i="3" s="1"/>
  <c r="AY200" i="3"/>
  <c r="AU201" i="3"/>
  <c r="AO203" i="3" l="1"/>
  <c r="AX202" i="3"/>
  <c r="AY201" i="3"/>
  <c r="Y203" i="3"/>
  <c r="Z203" i="3" s="1"/>
  <c r="AN203" i="3"/>
  <c r="AW202" i="3"/>
  <c r="AY202" i="3" s="1"/>
  <c r="A205" i="3"/>
  <c r="B204" i="3"/>
  <c r="AR204" i="3"/>
  <c r="AQ204" i="3"/>
  <c r="D204" i="3"/>
  <c r="C204" i="3"/>
  <c r="G204" i="3"/>
  <c r="H204" i="3" s="1"/>
  <c r="BN204" i="3" s="1"/>
  <c r="F204" i="3"/>
  <c r="BM204" i="3" s="1"/>
  <c r="Q204" i="3"/>
  <c r="S204" i="3"/>
  <c r="O204" i="3"/>
  <c r="U204" i="3"/>
  <c r="AM204" i="3"/>
  <c r="AD204" i="3"/>
  <c r="AF204" i="3"/>
  <c r="AE204" i="3"/>
  <c r="AK204" i="3"/>
  <c r="AO204" i="3" s="1"/>
  <c r="M204" i="3"/>
  <c r="R204" i="3"/>
  <c r="P204" i="3"/>
  <c r="T204" i="3"/>
  <c r="V204" i="3"/>
  <c r="AU203" i="3"/>
  <c r="BA201" i="3"/>
  <c r="AV201" i="3"/>
  <c r="BC201" i="3" s="1"/>
  <c r="AT203" i="3"/>
  <c r="BQ200" i="3"/>
  <c r="BB200" i="3"/>
  <c r="BF200" i="3"/>
  <c r="BJ199" i="3" s="1"/>
  <c r="BK199" i="3" s="1"/>
  <c r="BC200" i="3"/>
  <c r="AH203" i="3"/>
  <c r="AU202" i="3"/>
  <c r="AV202" i="3" s="1"/>
  <c r="X203" i="3"/>
  <c r="BC202" i="3" l="1"/>
  <c r="BD202" i="3"/>
  <c r="BG202" i="3"/>
  <c r="BH202" i="3" s="1"/>
  <c r="BI202" i="3" s="1"/>
  <c r="BB201" i="3"/>
  <c r="BF201" i="3"/>
  <c r="BJ200" i="3" s="1"/>
  <c r="BK200" i="3" s="1"/>
  <c r="BQ201" i="3"/>
  <c r="Y204" i="3"/>
  <c r="Z204" i="3" s="1"/>
  <c r="AW203" i="3"/>
  <c r="AX203" i="3"/>
  <c r="BA203" i="3" s="1"/>
  <c r="BA202" i="3"/>
  <c r="AH204" i="3"/>
  <c r="AU204" i="3" s="1"/>
  <c r="AN204" i="3"/>
  <c r="AT204" i="3"/>
  <c r="AR205" i="3"/>
  <c r="B205" i="3"/>
  <c r="AQ205" i="3"/>
  <c r="A206" i="3"/>
  <c r="D205" i="3"/>
  <c r="C205" i="3"/>
  <c r="F205" i="3"/>
  <c r="BM205" i="3" s="1"/>
  <c r="G205" i="3"/>
  <c r="H205" i="3" s="1"/>
  <c r="BN205" i="3" s="1"/>
  <c r="Q205" i="3"/>
  <c r="S205" i="3"/>
  <c r="O205" i="3"/>
  <c r="U205" i="3"/>
  <c r="AF205" i="3"/>
  <c r="AD205" i="3"/>
  <c r="AE205" i="3"/>
  <c r="AK205" i="3"/>
  <c r="M205" i="3"/>
  <c r="AM205" i="3"/>
  <c r="P205" i="3"/>
  <c r="V205" i="3"/>
  <c r="R205" i="3"/>
  <c r="T205" i="3"/>
  <c r="AG204" i="3"/>
  <c r="BD200" i="3"/>
  <c r="BG200" i="3"/>
  <c r="BH200" i="3" s="1"/>
  <c r="BI200" i="3" s="1"/>
  <c r="BD201" i="3"/>
  <c r="BG201" i="3"/>
  <c r="BH201" i="3" s="1"/>
  <c r="BI201" i="3" s="1"/>
  <c r="X204" i="3"/>
  <c r="AV203" i="3"/>
  <c r="AY203" i="3" l="1"/>
  <c r="AN205" i="3"/>
  <c r="AG205" i="3"/>
  <c r="BC203" i="3"/>
  <c r="BD203" i="3" s="1"/>
  <c r="BQ203" i="3"/>
  <c r="BF203" i="3"/>
  <c r="BB203" i="3"/>
  <c r="AO205" i="3"/>
  <c r="AH205" i="3"/>
  <c r="X205" i="3"/>
  <c r="Y205" i="3"/>
  <c r="Z205" i="3" s="1"/>
  <c r="AR206" i="3"/>
  <c r="B206" i="3"/>
  <c r="A207" i="3"/>
  <c r="AQ206" i="3"/>
  <c r="C206" i="3"/>
  <c r="D206" i="3"/>
  <c r="F206" i="3"/>
  <c r="G206" i="3"/>
  <c r="H206" i="3" s="1"/>
  <c r="Q206" i="3"/>
  <c r="S206" i="3"/>
  <c r="O206" i="3"/>
  <c r="U206" i="3"/>
  <c r="AF206" i="3"/>
  <c r="AD206" i="3"/>
  <c r="M206" i="3"/>
  <c r="AK206" i="3"/>
  <c r="AE206" i="3"/>
  <c r="AG206" i="3" s="1"/>
  <c r="AM206" i="3"/>
  <c r="T206" i="3"/>
  <c r="R206" i="3"/>
  <c r="P206" i="3"/>
  <c r="V206" i="3"/>
  <c r="AV204" i="3"/>
  <c r="AW204" i="3"/>
  <c r="AX204" i="3"/>
  <c r="BF202" i="3"/>
  <c r="BJ201" i="3" s="1"/>
  <c r="BK201" i="3" s="1"/>
  <c r="BB202" i="3"/>
  <c r="BQ202" i="3"/>
  <c r="AN206" i="3" l="1"/>
  <c r="AX205" i="3"/>
  <c r="AW205" i="3"/>
  <c r="AU205" i="3"/>
  <c r="BN206" i="3"/>
  <c r="AT205" i="3"/>
  <c r="BM206" i="3"/>
  <c r="BA204" i="3"/>
  <c r="BB204" i="3" s="1"/>
  <c r="BG203" i="3"/>
  <c r="BH203" i="3" s="1"/>
  <c r="BI203" i="3" s="1"/>
  <c r="AY204" i="3"/>
  <c r="BC204" i="3" s="1"/>
  <c r="AY205" i="3"/>
  <c r="Y206" i="3"/>
  <c r="Z206" i="3" s="1"/>
  <c r="AV205" i="3"/>
  <c r="BC205" i="3" s="1"/>
  <c r="BA205" i="3"/>
  <c r="BQ204" i="3"/>
  <c r="BF204" i="3"/>
  <c r="BJ203" i="3" s="1"/>
  <c r="BK203" i="3" s="1"/>
  <c r="AH206" i="3"/>
  <c r="AO206" i="3"/>
  <c r="BJ202" i="3"/>
  <c r="BK202" i="3" s="1"/>
  <c r="A208" i="3"/>
  <c r="AR207" i="3"/>
  <c r="AQ207" i="3"/>
  <c r="B207" i="3"/>
  <c r="C207" i="3"/>
  <c r="D207" i="3"/>
  <c r="F207" i="3"/>
  <c r="BM207" i="3" s="1"/>
  <c r="G207" i="3"/>
  <c r="H207" i="3" s="1"/>
  <c r="BN207" i="3" s="1"/>
  <c r="S207" i="3"/>
  <c r="Q207" i="3"/>
  <c r="O207" i="3"/>
  <c r="U207" i="3"/>
  <c r="AD207" i="3"/>
  <c r="M207" i="3"/>
  <c r="AF207" i="3"/>
  <c r="AK207" i="3"/>
  <c r="AE207" i="3"/>
  <c r="AM207" i="3"/>
  <c r="V207" i="3"/>
  <c r="R207" i="3"/>
  <c r="T207" i="3"/>
  <c r="P207" i="3"/>
  <c r="X206" i="3"/>
  <c r="AN207" i="3" l="1"/>
  <c r="AG207" i="3"/>
  <c r="AW206" i="3"/>
  <c r="A209" i="3"/>
  <c r="B208" i="3"/>
  <c r="AR208" i="3"/>
  <c r="AQ208" i="3"/>
  <c r="C208" i="3"/>
  <c r="D208" i="3"/>
  <c r="G208" i="3"/>
  <c r="H208" i="3" s="1"/>
  <c r="BN208" i="3" s="1"/>
  <c r="F208" i="3"/>
  <c r="BM208" i="3" s="1"/>
  <c r="Q208" i="3"/>
  <c r="S208" i="3"/>
  <c r="O208" i="3"/>
  <c r="U208" i="3"/>
  <c r="AD208" i="3"/>
  <c r="M208" i="3"/>
  <c r="AE208" i="3"/>
  <c r="AF208" i="3"/>
  <c r="AK208" i="3"/>
  <c r="AM208" i="3"/>
  <c r="R208" i="3"/>
  <c r="V208" i="3"/>
  <c r="P208" i="3"/>
  <c r="T208" i="3"/>
  <c r="AX206" i="3"/>
  <c r="AY206" i="3" s="1"/>
  <c r="AU206" i="3"/>
  <c r="AO207" i="3"/>
  <c r="AH207" i="3"/>
  <c r="AU207" i="3" s="1"/>
  <c r="AT206" i="3"/>
  <c r="BD204" i="3"/>
  <c r="BG204" i="3"/>
  <c r="BH204" i="3" s="1"/>
  <c r="BI204" i="3" s="1"/>
  <c r="Y207" i="3"/>
  <c r="Z207" i="3" s="1"/>
  <c r="BQ205" i="3"/>
  <c r="BF205" i="3"/>
  <c r="BJ204" i="3" s="1"/>
  <c r="BK204" i="3" s="1"/>
  <c r="BB205" i="3"/>
  <c r="X207" i="3"/>
  <c r="BD205" i="3"/>
  <c r="BG205" i="3"/>
  <c r="BH205" i="3" s="1"/>
  <c r="BI205" i="3" s="1"/>
  <c r="AN208" i="3" l="1"/>
  <c r="X208" i="3"/>
  <c r="AR209" i="3"/>
  <c r="B209" i="3"/>
  <c r="AQ209" i="3"/>
  <c r="A210" i="3"/>
  <c r="D209" i="3"/>
  <c r="C209" i="3"/>
  <c r="G209" i="3"/>
  <c r="H209" i="3" s="1"/>
  <c r="BN209" i="3" s="1"/>
  <c r="F209" i="3"/>
  <c r="BM209" i="3" s="1"/>
  <c r="Q209" i="3"/>
  <c r="S209" i="3"/>
  <c r="O209" i="3"/>
  <c r="U209" i="3"/>
  <c r="AF209" i="3"/>
  <c r="AD209" i="3"/>
  <c r="M209" i="3"/>
  <c r="AM209" i="3"/>
  <c r="AK209" i="3"/>
  <c r="AE209" i="3"/>
  <c r="T209" i="3"/>
  <c r="R209" i="3"/>
  <c r="P209" i="3"/>
  <c r="V209" i="3"/>
  <c r="BA206" i="3"/>
  <c r="AV206" i="3"/>
  <c r="BC206" i="3" s="1"/>
  <c r="Y208" i="3"/>
  <c r="Z208" i="3" s="1"/>
  <c r="AO208" i="3"/>
  <c r="AH208" i="3"/>
  <c r="AX208" i="3" s="1"/>
  <c r="AW207" i="3"/>
  <c r="AX207" i="3"/>
  <c r="AU208" i="3"/>
  <c r="AT207" i="3"/>
  <c r="AG208" i="3"/>
  <c r="AY207" i="3" l="1"/>
  <c r="AO209" i="3"/>
  <c r="AH209" i="3"/>
  <c r="AG209" i="3"/>
  <c r="AU209" i="3" s="1"/>
  <c r="BD206" i="3"/>
  <c r="BG206" i="3"/>
  <c r="BH206" i="3" s="1"/>
  <c r="BI206" i="3" s="1"/>
  <c r="BQ206" i="3"/>
  <c r="BF206" i="3"/>
  <c r="BJ205" i="3" s="1"/>
  <c r="BK205" i="3" s="1"/>
  <c r="BB206" i="3"/>
  <c r="Y209" i="3"/>
  <c r="Z209" i="3" s="1"/>
  <c r="AR210" i="3"/>
  <c r="B210" i="3"/>
  <c r="AQ210" i="3"/>
  <c r="A211" i="3"/>
  <c r="D210" i="3"/>
  <c r="C210" i="3"/>
  <c r="F210" i="3"/>
  <c r="G210" i="3"/>
  <c r="H210" i="3" s="1"/>
  <c r="Q210" i="3"/>
  <c r="S210" i="3"/>
  <c r="O210" i="3"/>
  <c r="U210" i="3"/>
  <c r="AF210" i="3"/>
  <c r="AD210" i="3"/>
  <c r="AE210" i="3"/>
  <c r="AG210" i="3" s="1"/>
  <c r="AM210" i="3"/>
  <c r="AK210" i="3"/>
  <c r="M210" i="3"/>
  <c r="V210" i="3"/>
  <c r="T210" i="3"/>
  <c r="R210" i="3"/>
  <c r="P210" i="3"/>
  <c r="AW208" i="3"/>
  <c r="AY208" i="3" s="1"/>
  <c r="X209" i="3"/>
  <c r="BA207" i="3"/>
  <c r="AV207" i="3"/>
  <c r="BC207" i="3" s="1"/>
  <c r="AN209" i="3"/>
  <c r="AX209" i="3" s="1"/>
  <c r="AT208" i="3"/>
  <c r="BM210" i="3" l="1"/>
  <c r="AO210" i="3"/>
  <c r="Y210" i="3"/>
  <c r="Z210" i="3" s="1"/>
  <c r="BB207" i="3"/>
  <c r="BQ207" i="3"/>
  <c r="BF207" i="3"/>
  <c r="B211" i="3"/>
  <c r="A212" i="3"/>
  <c r="AR211" i="3"/>
  <c r="AQ211" i="3"/>
  <c r="D211" i="3"/>
  <c r="C211" i="3"/>
  <c r="F211" i="3"/>
  <c r="G211" i="3"/>
  <c r="H211" i="3" s="1"/>
  <c r="BN211" i="3" s="1"/>
  <c r="Q211" i="3"/>
  <c r="S211" i="3"/>
  <c r="O211" i="3"/>
  <c r="U211" i="3"/>
  <c r="AE211" i="3"/>
  <c r="AD211" i="3"/>
  <c r="AF211" i="3"/>
  <c r="AM211" i="3"/>
  <c r="M211" i="3"/>
  <c r="AK211" i="3"/>
  <c r="R211" i="3"/>
  <c r="V211" i="3"/>
  <c r="P211" i="3"/>
  <c r="T211" i="3"/>
  <c r="BD207" i="3"/>
  <c r="BG207" i="3"/>
  <c r="BH207" i="3" s="1"/>
  <c r="BI207" i="3" s="1"/>
  <c r="X210" i="3"/>
  <c r="AN210" i="3"/>
  <c r="BA208" i="3"/>
  <c r="AV208" i="3"/>
  <c r="BC208" i="3" s="1"/>
  <c r="AH210" i="3"/>
  <c r="AT210" i="3" s="1"/>
  <c r="AW209" i="3"/>
  <c r="AY209" i="3" s="1"/>
  <c r="AT209" i="3"/>
  <c r="BN210" i="3"/>
  <c r="AO211" i="3" l="1"/>
  <c r="BM211" i="3"/>
  <c r="AX210" i="3"/>
  <c r="Y211" i="3"/>
  <c r="Z211" i="3" s="1"/>
  <c r="AH211" i="3"/>
  <c r="A213" i="3"/>
  <c r="B212" i="3"/>
  <c r="AR212" i="3"/>
  <c r="AQ212" i="3"/>
  <c r="C212" i="3"/>
  <c r="D212" i="3"/>
  <c r="F212" i="3"/>
  <c r="BM212" i="3" s="1"/>
  <c r="G212" i="3"/>
  <c r="H212" i="3" s="1"/>
  <c r="BN212" i="3" s="1"/>
  <c r="Q212" i="3"/>
  <c r="S212" i="3"/>
  <c r="O212" i="3"/>
  <c r="U212" i="3"/>
  <c r="M212" i="3"/>
  <c r="AF212" i="3"/>
  <c r="AE212" i="3"/>
  <c r="AD212" i="3"/>
  <c r="AK212" i="3"/>
  <c r="AM212" i="3"/>
  <c r="P212" i="3"/>
  <c r="V212" i="3"/>
  <c r="R212" i="3"/>
  <c r="T212" i="3"/>
  <c r="BA209" i="3"/>
  <c r="AV209" i="3"/>
  <c r="BC209" i="3" s="1"/>
  <c r="AN211" i="3"/>
  <c r="BJ206" i="3"/>
  <c r="BK206" i="3" s="1"/>
  <c r="BD208" i="3"/>
  <c r="BG208" i="3"/>
  <c r="BH208" i="3" s="1"/>
  <c r="BI208" i="3" s="1"/>
  <c r="BF208" i="3"/>
  <c r="BJ207" i="3" s="1"/>
  <c r="BK207" i="3" s="1"/>
  <c r="BB208" i="3"/>
  <c r="BQ208" i="3"/>
  <c r="AG211" i="3"/>
  <c r="X211" i="3"/>
  <c r="AW210" i="3"/>
  <c r="AY210" i="3" s="1"/>
  <c r="AU210" i="3"/>
  <c r="AH212" i="3" l="1"/>
  <c r="BA210" i="3"/>
  <c r="AN212" i="3"/>
  <c r="BF210" i="3"/>
  <c r="BQ210" i="3"/>
  <c r="BB210" i="3"/>
  <c r="BD209" i="3"/>
  <c r="BG209" i="3"/>
  <c r="BH209" i="3" s="1"/>
  <c r="BI209" i="3" s="1"/>
  <c r="AT212" i="3"/>
  <c r="AW211" i="3"/>
  <c r="AY211" i="3" s="1"/>
  <c r="AR213" i="3"/>
  <c r="A214" i="3"/>
  <c r="AQ213" i="3"/>
  <c r="C213" i="3"/>
  <c r="B213" i="3"/>
  <c r="D213" i="3"/>
  <c r="G213" i="3"/>
  <c r="H213" i="3" s="1"/>
  <c r="BN213" i="3" s="1"/>
  <c r="F213" i="3"/>
  <c r="Q213" i="3"/>
  <c r="S213" i="3"/>
  <c r="O213" i="3"/>
  <c r="U213" i="3"/>
  <c r="AD213" i="3"/>
  <c r="AE213" i="3"/>
  <c r="AF213" i="3"/>
  <c r="M213" i="3"/>
  <c r="AM213" i="3"/>
  <c r="AK213" i="3"/>
  <c r="P213" i="3"/>
  <c r="V213" i="3"/>
  <c r="R213" i="3"/>
  <c r="T213" i="3"/>
  <c r="BQ209" i="3"/>
  <c r="BF209" i="3"/>
  <c r="BJ208" i="3" s="1"/>
  <c r="BK208" i="3" s="1"/>
  <c r="BB209" i="3"/>
  <c r="AG212" i="3"/>
  <c r="Y212" i="3"/>
  <c r="Z212" i="3" s="1"/>
  <c r="AO212" i="3"/>
  <c r="AX211" i="3"/>
  <c r="AU211" i="3"/>
  <c r="AV210" i="3"/>
  <c r="BC210" i="3" s="1"/>
  <c r="X212" i="3"/>
  <c r="AT211" i="3"/>
  <c r="AO213" i="3" l="1"/>
  <c r="BM213" i="3"/>
  <c r="AN213" i="3"/>
  <c r="AR214" i="3"/>
  <c r="B214" i="3"/>
  <c r="AQ214" i="3"/>
  <c r="A215" i="3"/>
  <c r="C214" i="3"/>
  <c r="D214" i="3"/>
  <c r="F214" i="3"/>
  <c r="BM214" i="3" s="1"/>
  <c r="G214" i="3"/>
  <c r="H214" i="3" s="1"/>
  <c r="BN214" i="3" s="1"/>
  <c r="Q214" i="3"/>
  <c r="S214" i="3"/>
  <c r="O214" i="3"/>
  <c r="U214" i="3"/>
  <c r="AE214" i="3"/>
  <c r="AD214" i="3"/>
  <c r="M214" i="3"/>
  <c r="AF214" i="3"/>
  <c r="AK214" i="3"/>
  <c r="AM214" i="3"/>
  <c r="T214" i="3"/>
  <c r="V214" i="3"/>
  <c r="R214" i="3"/>
  <c r="P214" i="3"/>
  <c r="Y213" i="3"/>
  <c r="Z213" i="3" s="1"/>
  <c r="BD210" i="3"/>
  <c r="BG210" i="3"/>
  <c r="BH210" i="3" s="1"/>
  <c r="BI210" i="3" s="1"/>
  <c r="AV212" i="3"/>
  <c r="AW212" i="3"/>
  <c r="BA212" i="3" s="1"/>
  <c r="BA211" i="3"/>
  <c r="AV211" i="3"/>
  <c r="BC211" i="3" s="1"/>
  <c r="AG213" i="3"/>
  <c r="AH213" i="3"/>
  <c r="X213" i="3"/>
  <c r="AU212" i="3"/>
  <c r="AX212" i="3"/>
  <c r="BJ209" i="3"/>
  <c r="BK209" i="3" s="1"/>
  <c r="AN214" i="3" l="1"/>
  <c r="AX213" i="3"/>
  <c r="AG214" i="3"/>
  <c r="BB212" i="3"/>
  <c r="BF212" i="3"/>
  <c r="BQ212" i="3"/>
  <c r="BD211" i="3"/>
  <c r="BG211" i="3"/>
  <c r="BH211" i="3" s="1"/>
  <c r="BI211" i="3" s="1"/>
  <c r="AH214" i="3"/>
  <c r="AT214" i="3" s="1"/>
  <c r="X214" i="3"/>
  <c r="AQ215" i="3"/>
  <c r="B215" i="3"/>
  <c r="A216" i="3"/>
  <c r="AR215" i="3"/>
  <c r="D215" i="3"/>
  <c r="C215" i="3"/>
  <c r="F215" i="3"/>
  <c r="BM215" i="3" s="1"/>
  <c r="G215" i="3"/>
  <c r="H215" i="3" s="1"/>
  <c r="Q215" i="3"/>
  <c r="S215" i="3"/>
  <c r="O215" i="3"/>
  <c r="U215" i="3"/>
  <c r="M215" i="3"/>
  <c r="AD215" i="3"/>
  <c r="AF215" i="3"/>
  <c r="AM215" i="3"/>
  <c r="AE215" i="3"/>
  <c r="AG215" i="3" s="1"/>
  <c r="AK215" i="3"/>
  <c r="P215" i="3"/>
  <c r="T215" i="3"/>
  <c r="R215" i="3"/>
  <c r="V215" i="3"/>
  <c r="AW213" i="3"/>
  <c r="AU213" i="3"/>
  <c r="BB211" i="3"/>
  <c r="BF211" i="3"/>
  <c r="BJ210" i="3" s="1"/>
  <c r="BK210" i="3" s="1"/>
  <c r="BQ211" i="3"/>
  <c r="Y214" i="3"/>
  <c r="Z214" i="3" s="1"/>
  <c r="AY212" i="3"/>
  <c r="BC212" i="3" s="1"/>
  <c r="AO214" i="3"/>
  <c r="AT213" i="3"/>
  <c r="AO215" i="3" l="1"/>
  <c r="AY213" i="3"/>
  <c r="AW214" i="3"/>
  <c r="AU214" i="3"/>
  <c r="BD212" i="3"/>
  <c r="BG212" i="3"/>
  <c r="BH212" i="3" s="1"/>
  <c r="BI212" i="3" s="1"/>
  <c r="AQ216" i="3"/>
  <c r="A217" i="3"/>
  <c r="B216" i="3"/>
  <c r="AR216" i="3"/>
  <c r="D216" i="3"/>
  <c r="C216" i="3"/>
  <c r="G216" i="3"/>
  <c r="H216" i="3" s="1"/>
  <c r="F216" i="3"/>
  <c r="BM216" i="3" s="1"/>
  <c r="Q216" i="3"/>
  <c r="S216" i="3"/>
  <c r="O216" i="3"/>
  <c r="U216" i="3"/>
  <c r="AD216" i="3"/>
  <c r="AF216" i="3"/>
  <c r="M216" i="3"/>
  <c r="AE216" i="3"/>
  <c r="AK216" i="3"/>
  <c r="AM216" i="3"/>
  <c r="P216" i="3"/>
  <c r="R216" i="3"/>
  <c r="V216" i="3"/>
  <c r="T216" i="3"/>
  <c r="BA214" i="3"/>
  <c r="AV214" i="3"/>
  <c r="X215" i="3"/>
  <c r="AH215" i="3"/>
  <c r="AX215" i="3" s="1"/>
  <c r="BJ211" i="3"/>
  <c r="BK211" i="3" s="1"/>
  <c r="Y215" i="3"/>
  <c r="Z215" i="3" s="1"/>
  <c r="AV213" i="3"/>
  <c r="BC213" i="3" s="1"/>
  <c r="BA213" i="3"/>
  <c r="AN215" i="3"/>
  <c r="AX214" i="3"/>
  <c r="AY214" i="3" s="1"/>
  <c r="BN215" i="3"/>
  <c r="X216" i="3" l="1"/>
  <c r="AN216" i="3"/>
  <c r="AH216" i="3"/>
  <c r="AT215" i="3"/>
  <c r="BB214" i="3"/>
  <c r="BF214" i="3"/>
  <c r="BQ214" i="3"/>
  <c r="Y216" i="3"/>
  <c r="Z216" i="3" s="1"/>
  <c r="AW215" i="3"/>
  <c r="AY215" i="3" s="1"/>
  <c r="BC214" i="3"/>
  <c r="BN216" i="3"/>
  <c r="AT216" i="3"/>
  <c r="AR217" i="3"/>
  <c r="B217" i="3"/>
  <c r="AQ217" i="3"/>
  <c r="A218" i="3"/>
  <c r="D217" i="3"/>
  <c r="C217" i="3"/>
  <c r="G217" i="3"/>
  <c r="H217" i="3" s="1"/>
  <c r="F217" i="3"/>
  <c r="Q217" i="3"/>
  <c r="S217" i="3"/>
  <c r="O217" i="3"/>
  <c r="U217" i="3"/>
  <c r="AD217" i="3"/>
  <c r="M217" i="3"/>
  <c r="AF217" i="3"/>
  <c r="AK217" i="3"/>
  <c r="AM217" i="3"/>
  <c r="AE217" i="3"/>
  <c r="AG217" i="3" s="1"/>
  <c r="V217" i="3"/>
  <c r="R217" i="3"/>
  <c r="P217" i="3"/>
  <c r="T217" i="3"/>
  <c r="AU215" i="3"/>
  <c r="AO216" i="3"/>
  <c r="BQ213" i="3"/>
  <c r="BB213" i="3"/>
  <c r="BF213" i="3"/>
  <c r="BJ212" i="3" s="1"/>
  <c r="BK212" i="3" s="1"/>
  <c r="AG216" i="3"/>
  <c r="BD213" i="3"/>
  <c r="BG213" i="3"/>
  <c r="BH213" i="3" s="1"/>
  <c r="BI213" i="3" s="1"/>
  <c r="AN217" i="3" l="1"/>
  <c r="AW216" i="3"/>
  <c r="BM217" i="3"/>
  <c r="BN217" i="3"/>
  <c r="Y217" i="3"/>
  <c r="Z217" i="3" s="1"/>
  <c r="AO217" i="3"/>
  <c r="B218" i="3"/>
  <c r="AQ218" i="3"/>
  <c r="A219" i="3"/>
  <c r="C218" i="3"/>
  <c r="AR218" i="3"/>
  <c r="D218" i="3"/>
  <c r="F218" i="3"/>
  <c r="BM218" i="3" s="1"/>
  <c r="G218" i="3"/>
  <c r="H218" i="3" s="1"/>
  <c r="Q218" i="3"/>
  <c r="S218" i="3"/>
  <c r="O218" i="3"/>
  <c r="U218" i="3"/>
  <c r="M218" i="3"/>
  <c r="AF218" i="3"/>
  <c r="AE218" i="3"/>
  <c r="AD218" i="3"/>
  <c r="AK218" i="3"/>
  <c r="AM218" i="3"/>
  <c r="P218" i="3"/>
  <c r="T218" i="3"/>
  <c r="R218" i="3"/>
  <c r="V218" i="3"/>
  <c r="X217" i="3"/>
  <c r="AH217" i="3"/>
  <c r="AX217" i="3" s="1"/>
  <c r="AU216" i="3"/>
  <c r="AX216" i="3"/>
  <c r="AY216" i="3" s="1"/>
  <c r="BD214" i="3"/>
  <c r="BG214" i="3"/>
  <c r="BH214" i="3" s="1"/>
  <c r="BI214" i="3" s="1"/>
  <c r="BJ213" i="3"/>
  <c r="BK213" i="3" s="1"/>
  <c r="AV215" i="3"/>
  <c r="BC215" i="3" s="1"/>
  <c r="BA215" i="3"/>
  <c r="BN218" i="3" l="1"/>
  <c r="AN218" i="3"/>
  <c r="BA216" i="3"/>
  <c r="AG218" i="3"/>
  <c r="BQ216" i="3"/>
  <c r="BB216" i="3"/>
  <c r="BF216" i="3"/>
  <c r="AV216" i="3"/>
  <c r="BC216" i="3" s="1"/>
  <c r="AT217" i="3"/>
  <c r="AH218" i="3"/>
  <c r="AU218" i="3" s="1"/>
  <c r="BQ215" i="3"/>
  <c r="BB215" i="3"/>
  <c r="BF215" i="3"/>
  <c r="BJ214" i="3" s="1"/>
  <c r="BK214" i="3" s="1"/>
  <c r="X218" i="3"/>
  <c r="AU217" i="3"/>
  <c r="Y218" i="3"/>
  <c r="Z218" i="3" s="1"/>
  <c r="BG215" i="3"/>
  <c r="BH215" i="3" s="1"/>
  <c r="BI215" i="3" s="1"/>
  <c r="BD215" i="3"/>
  <c r="AQ219" i="3"/>
  <c r="B219" i="3"/>
  <c r="AR219" i="3"/>
  <c r="A220" i="3"/>
  <c r="C219" i="3"/>
  <c r="D219" i="3"/>
  <c r="G219" i="3"/>
  <c r="H219" i="3" s="1"/>
  <c r="BN219" i="3" s="1"/>
  <c r="F219" i="3"/>
  <c r="BM219" i="3" s="1"/>
  <c r="Q219" i="3"/>
  <c r="S219" i="3"/>
  <c r="O219" i="3"/>
  <c r="U219" i="3"/>
  <c r="AD219" i="3"/>
  <c r="AE219" i="3"/>
  <c r="AF219" i="3"/>
  <c r="M219" i="3"/>
  <c r="AM219" i="3"/>
  <c r="AK219" i="3"/>
  <c r="R219" i="3"/>
  <c r="T219" i="3"/>
  <c r="V219" i="3"/>
  <c r="P219" i="3"/>
  <c r="AO218" i="3"/>
  <c r="AW217" i="3"/>
  <c r="AY217" i="3" s="1"/>
  <c r="AW218" i="3" l="1"/>
  <c r="AN219" i="3"/>
  <c r="AG219" i="3"/>
  <c r="X219" i="3"/>
  <c r="AH219" i="3"/>
  <c r="AX219" i="3" s="1"/>
  <c r="BA217" i="3"/>
  <c r="AV217" i="3"/>
  <c r="BC217" i="3" s="1"/>
  <c r="AX218" i="3"/>
  <c r="AY218" i="3" s="1"/>
  <c r="Y219" i="3"/>
  <c r="Z219" i="3" s="1"/>
  <c r="AR220" i="3"/>
  <c r="AQ220" i="3"/>
  <c r="A221" i="3"/>
  <c r="B220" i="3"/>
  <c r="C220" i="3"/>
  <c r="D220" i="3"/>
  <c r="F220" i="3"/>
  <c r="BM220" i="3" s="1"/>
  <c r="G220" i="3"/>
  <c r="H220" i="3" s="1"/>
  <c r="Q220" i="3"/>
  <c r="S220" i="3"/>
  <c r="O220" i="3"/>
  <c r="U220" i="3"/>
  <c r="AD220" i="3"/>
  <c r="AE220" i="3"/>
  <c r="AF220" i="3"/>
  <c r="M220" i="3"/>
  <c r="AK220" i="3"/>
  <c r="AM220" i="3"/>
  <c r="P220" i="3"/>
  <c r="R220" i="3"/>
  <c r="V220" i="3"/>
  <c r="T220" i="3"/>
  <c r="AT219" i="3"/>
  <c r="BD216" i="3"/>
  <c r="BG216" i="3"/>
  <c r="BH216" i="3" s="1"/>
  <c r="BI216" i="3" s="1"/>
  <c r="AO219" i="3"/>
  <c r="BJ215" i="3"/>
  <c r="BK215" i="3" s="1"/>
  <c r="AT218" i="3"/>
  <c r="BN220" i="3" l="1"/>
  <c r="AU219" i="3"/>
  <c r="AV219" i="3" s="1"/>
  <c r="AO220" i="3"/>
  <c r="AH220" i="3"/>
  <c r="AG220" i="3"/>
  <c r="AR221" i="3"/>
  <c r="B221" i="3"/>
  <c r="AQ221" i="3"/>
  <c r="D221" i="3"/>
  <c r="C221" i="3"/>
  <c r="A222" i="3"/>
  <c r="G221" i="3"/>
  <c r="H221" i="3" s="1"/>
  <c r="BN221" i="3" s="1"/>
  <c r="F221" i="3"/>
  <c r="BM221" i="3" s="1"/>
  <c r="Q221" i="3"/>
  <c r="S221" i="3"/>
  <c r="O221" i="3"/>
  <c r="U221" i="3"/>
  <c r="AF221" i="3"/>
  <c r="AD221" i="3"/>
  <c r="M221" i="3"/>
  <c r="AE221" i="3"/>
  <c r="AG221" i="3" s="1"/>
  <c r="AM221" i="3"/>
  <c r="AK221" i="3"/>
  <c r="T221" i="3"/>
  <c r="R221" i="3"/>
  <c r="V221" i="3"/>
  <c r="P221" i="3"/>
  <c r="AN220" i="3"/>
  <c r="AX220" i="3" s="1"/>
  <c r="BA218" i="3"/>
  <c r="AV218" i="3"/>
  <c r="BC218" i="3" s="1"/>
  <c r="BA219" i="3"/>
  <c r="X220" i="3"/>
  <c r="Y220" i="3"/>
  <c r="Z220" i="3" s="1"/>
  <c r="BD217" i="3"/>
  <c r="BG217" i="3"/>
  <c r="BH217" i="3" s="1"/>
  <c r="BI217" i="3" s="1"/>
  <c r="BB217" i="3"/>
  <c r="BQ217" i="3"/>
  <c r="BF217" i="3"/>
  <c r="BJ216" i="3" s="1"/>
  <c r="BK216" i="3" s="1"/>
  <c r="AW219" i="3"/>
  <c r="AY219" i="3" s="1"/>
  <c r="AO221" i="3" l="1"/>
  <c r="AT220" i="3"/>
  <c r="AU220" i="3"/>
  <c r="BC219" i="3"/>
  <c r="AW220" i="3"/>
  <c r="AY220" i="3" s="1"/>
  <c r="BF219" i="3"/>
  <c r="BB219" i="3"/>
  <c r="BQ219" i="3"/>
  <c r="Y221" i="3"/>
  <c r="Z221" i="3" s="1"/>
  <c r="BD219" i="3"/>
  <c r="BG219" i="3"/>
  <c r="BH219" i="3" s="1"/>
  <c r="BI219" i="3" s="1"/>
  <c r="BD218" i="3"/>
  <c r="BG218" i="3"/>
  <c r="BH218" i="3" s="1"/>
  <c r="BI218" i="3" s="1"/>
  <c r="AH221" i="3"/>
  <c r="AX221" i="3" s="1"/>
  <c r="X221" i="3"/>
  <c r="BF218" i="3"/>
  <c r="BJ217" i="3" s="1"/>
  <c r="BK217" i="3" s="1"/>
  <c r="BQ218" i="3"/>
  <c r="BB218" i="3"/>
  <c r="AR222" i="3"/>
  <c r="B222" i="3"/>
  <c r="C222" i="3"/>
  <c r="D222" i="3"/>
  <c r="A223" i="3"/>
  <c r="AQ222" i="3"/>
  <c r="F222" i="3"/>
  <c r="BM222" i="3" s="1"/>
  <c r="G222" i="3"/>
  <c r="H222" i="3" s="1"/>
  <c r="BN222" i="3" s="1"/>
  <c r="Q222" i="3"/>
  <c r="S222" i="3"/>
  <c r="O222" i="3"/>
  <c r="U222" i="3"/>
  <c r="AF222" i="3"/>
  <c r="M222" i="3"/>
  <c r="AD222" i="3"/>
  <c r="AE222" i="3"/>
  <c r="AM222" i="3"/>
  <c r="AK222" i="3"/>
  <c r="P222" i="3"/>
  <c r="V222" i="3"/>
  <c r="T222" i="3"/>
  <c r="R222" i="3"/>
  <c r="AV220" i="3"/>
  <c r="BA220" i="3"/>
  <c r="AN221" i="3"/>
  <c r="AG222" i="3" l="1"/>
  <c r="BC220" i="3"/>
  <c r="AN222" i="3"/>
  <c r="BB220" i="3"/>
  <c r="BQ220" i="3"/>
  <c r="BF220" i="3"/>
  <c r="BJ219" i="3" s="1"/>
  <c r="BK219" i="3" s="1"/>
  <c r="AH222" i="3"/>
  <c r="AU221" i="3"/>
  <c r="X222" i="3"/>
  <c r="AW222" i="3"/>
  <c r="AT221" i="3"/>
  <c r="BD220" i="3"/>
  <c r="BG220" i="3"/>
  <c r="BH220" i="3" s="1"/>
  <c r="BI220" i="3" s="1"/>
  <c r="AU222" i="3"/>
  <c r="A224" i="3"/>
  <c r="AR223" i="3"/>
  <c r="C223" i="3"/>
  <c r="D223" i="3"/>
  <c r="AQ223" i="3"/>
  <c r="B223" i="3"/>
  <c r="G223" i="3"/>
  <c r="H223" i="3" s="1"/>
  <c r="F223" i="3"/>
  <c r="Q223" i="3"/>
  <c r="S223" i="3"/>
  <c r="O223" i="3"/>
  <c r="U223" i="3"/>
  <c r="AE223" i="3"/>
  <c r="AD223" i="3"/>
  <c r="AF223" i="3"/>
  <c r="AK223" i="3"/>
  <c r="M223" i="3"/>
  <c r="AM223" i="3"/>
  <c r="AN223" i="3" s="1"/>
  <c r="V223" i="3"/>
  <c r="R223" i="3"/>
  <c r="P223" i="3"/>
  <c r="T223" i="3"/>
  <c r="Y222" i="3"/>
  <c r="Z222" i="3" s="1"/>
  <c r="BJ218" i="3"/>
  <c r="BK218" i="3" s="1"/>
  <c r="AO222" i="3"/>
  <c r="AW221" i="3"/>
  <c r="AY221" i="3" s="1"/>
  <c r="BN223" i="3" l="1"/>
  <c r="AG223" i="3"/>
  <c r="Y223" i="3"/>
  <c r="Z223" i="3" s="1"/>
  <c r="AO223" i="3"/>
  <c r="AH223" i="3"/>
  <c r="BM223" i="3"/>
  <c r="A225" i="3"/>
  <c r="AR224" i="3"/>
  <c r="AQ224" i="3"/>
  <c r="C224" i="3"/>
  <c r="D224" i="3"/>
  <c r="B224" i="3"/>
  <c r="G224" i="3"/>
  <c r="H224" i="3" s="1"/>
  <c r="F224" i="3"/>
  <c r="BM224" i="3" s="1"/>
  <c r="Q224" i="3"/>
  <c r="S224" i="3"/>
  <c r="O224" i="3"/>
  <c r="U224" i="3"/>
  <c r="AD224" i="3"/>
  <c r="AF224" i="3"/>
  <c r="M224" i="3"/>
  <c r="AM224" i="3"/>
  <c r="AK224" i="3"/>
  <c r="AE224" i="3"/>
  <c r="AG224" i="3" s="1"/>
  <c r="R224" i="3"/>
  <c r="V224" i="3"/>
  <c r="T224" i="3"/>
  <c r="P224" i="3"/>
  <c r="AV221" i="3"/>
  <c r="BC221" i="3" s="1"/>
  <c r="BA221" i="3"/>
  <c r="X223" i="3"/>
  <c r="AX222" i="3"/>
  <c r="AY222" i="3" s="1"/>
  <c r="AT222" i="3"/>
  <c r="AX223" i="3" l="1"/>
  <c r="AO224" i="3"/>
  <c r="BN224" i="3"/>
  <c r="AU223" i="3"/>
  <c r="BF221" i="3"/>
  <c r="BJ220" i="3" s="1"/>
  <c r="BK220" i="3" s="1"/>
  <c r="BQ221" i="3"/>
  <c r="BB221" i="3"/>
  <c r="BD221" i="3"/>
  <c r="BG221" i="3"/>
  <c r="BH221" i="3" s="1"/>
  <c r="BI221" i="3" s="1"/>
  <c r="AR225" i="3"/>
  <c r="B225" i="3"/>
  <c r="AQ225" i="3"/>
  <c r="A226" i="3"/>
  <c r="C225" i="3"/>
  <c r="D225" i="3"/>
  <c r="G225" i="3"/>
  <c r="H225" i="3" s="1"/>
  <c r="F225" i="3"/>
  <c r="BM225" i="3" s="1"/>
  <c r="Q225" i="3"/>
  <c r="S225" i="3"/>
  <c r="O225" i="3"/>
  <c r="U225" i="3"/>
  <c r="AD225" i="3"/>
  <c r="AF225" i="3"/>
  <c r="M225" i="3"/>
  <c r="AE225" i="3"/>
  <c r="AG225" i="3" s="1"/>
  <c r="AK225" i="3"/>
  <c r="AM225" i="3"/>
  <c r="AN225" i="3" s="1"/>
  <c r="P225" i="3"/>
  <c r="R225" i="3"/>
  <c r="V225" i="3"/>
  <c r="T225" i="3"/>
  <c r="Y224" i="3"/>
  <c r="Z224" i="3" s="1"/>
  <c r="AN224" i="3"/>
  <c r="AH224" i="3"/>
  <c r="AT224" i="3" s="1"/>
  <c r="AT223" i="3"/>
  <c r="BA222" i="3"/>
  <c r="AV222" i="3"/>
  <c r="BC222" i="3" s="1"/>
  <c r="X224" i="3"/>
  <c r="AW223" i="3"/>
  <c r="AY223" i="3" s="1"/>
  <c r="BN225" i="3" l="1"/>
  <c r="AU224" i="3"/>
  <c r="AR226" i="3"/>
  <c r="B226" i="3"/>
  <c r="AQ226" i="3"/>
  <c r="A227" i="3"/>
  <c r="C226" i="3"/>
  <c r="D226" i="3"/>
  <c r="G226" i="3"/>
  <c r="H226" i="3" s="1"/>
  <c r="BN226" i="3" s="1"/>
  <c r="F226" i="3"/>
  <c r="BM226" i="3" s="1"/>
  <c r="Q226" i="3"/>
  <c r="S226" i="3"/>
  <c r="O226" i="3"/>
  <c r="U226" i="3"/>
  <c r="AE226" i="3"/>
  <c r="AD226" i="3"/>
  <c r="M226" i="3"/>
  <c r="AF226" i="3"/>
  <c r="AK226" i="3"/>
  <c r="AM226" i="3"/>
  <c r="T226" i="3"/>
  <c r="P226" i="3"/>
  <c r="R226" i="3"/>
  <c r="V226" i="3"/>
  <c r="AU225" i="3"/>
  <c r="AT225" i="3"/>
  <c r="BA223" i="3"/>
  <c r="AV223" i="3"/>
  <c r="BC223" i="3" s="1"/>
  <c r="Y225" i="3"/>
  <c r="Z225" i="3" s="1"/>
  <c r="AO225" i="3"/>
  <c r="AV224" i="3"/>
  <c r="BA224" i="3"/>
  <c r="BD222" i="3"/>
  <c r="BG222" i="3"/>
  <c r="BH222" i="3" s="1"/>
  <c r="BI222" i="3" s="1"/>
  <c r="BF222" i="3"/>
  <c r="BJ221" i="3" s="1"/>
  <c r="BK221" i="3" s="1"/>
  <c r="BB222" i="3"/>
  <c r="BQ222" i="3"/>
  <c r="AH225" i="3"/>
  <c r="X225" i="3"/>
  <c r="AW224" i="3"/>
  <c r="AX224" i="3"/>
  <c r="AY224" i="3" l="1"/>
  <c r="BC224" i="3" s="1"/>
  <c r="AH226" i="3"/>
  <c r="AO226" i="3"/>
  <c r="Y226" i="3"/>
  <c r="Z226" i="3" s="1"/>
  <c r="BQ223" i="3"/>
  <c r="BF223" i="3"/>
  <c r="BJ222" i="3" s="1"/>
  <c r="BK222" i="3" s="1"/>
  <c r="BB223" i="3"/>
  <c r="AV225" i="3"/>
  <c r="BB224" i="3"/>
  <c r="BQ224" i="3"/>
  <c r="BF224" i="3"/>
  <c r="AQ227" i="3"/>
  <c r="B227" i="3"/>
  <c r="A228" i="3"/>
  <c r="AR227" i="3"/>
  <c r="D227" i="3"/>
  <c r="C227" i="3"/>
  <c r="F227" i="3"/>
  <c r="G227" i="3"/>
  <c r="H227" i="3" s="1"/>
  <c r="S227" i="3"/>
  <c r="Q227" i="3"/>
  <c r="O227" i="3"/>
  <c r="U227" i="3"/>
  <c r="AD227" i="3"/>
  <c r="M227" i="3"/>
  <c r="AF227" i="3"/>
  <c r="AE227" i="3"/>
  <c r="AM227" i="3"/>
  <c r="AK227" i="3"/>
  <c r="R227" i="3"/>
  <c r="T227" i="3"/>
  <c r="P227" i="3"/>
  <c r="V227" i="3"/>
  <c r="AW225" i="3"/>
  <c r="AX225" i="3"/>
  <c r="AG226" i="3"/>
  <c r="BG223" i="3"/>
  <c r="BH223" i="3" s="1"/>
  <c r="BI223" i="3" s="1"/>
  <c r="BD223" i="3"/>
  <c r="X226" i="3"/>
  <c r="AU226" i="3"/>
  <c r="AN226" i="3"/>
  <c r="AX226" i="3" s="1"/>
  <c r="AT226" i="3"/>
  <c r="BG224" i="3" l="1"/>
  <c r="BH224" i="3" s="1"/>
  <c r="BI224" i="3" s="1"/>
  <c r="BD224" i="3"/>
  <c r="AG227" i="3"/>
  <c r="AY225" i="3"/>
  <c r="AO227" i="3"/>
  <c r="BA225" i="3"/>
  <c r="BF225" i="3" s="1"/>
  <c r="BJ224" i="3" s="1"/>
  <c r="BK224" i="3" s="1"/>
  <c r="BJ223" i="3"/>
  <c r="BK223" i="3" s="1"/>
  <c r="Y227" i="3"/>
  <c r="Z227" i="3" s="1"/>
  <c r="AN227" i="3"/>
  <c r="AV226" i="3"/>
  <c r="X227" i="3"/>
  <c r="AH227" i="3"/>
  <c r="AX227" i="3" s="1"/>
  <c r="AW226" i="3"/>
  <c r="AY226" i="3" s="1"/>
  <c r="BC225" i="3"/>
  <c r="BN227" i="3"/>
  <c r="D228" i="3"/>
  <c r="C228" i="3"/>
  <c r="AR228" i="3"/>
  <c r="AQ228" i="3"/>
  <c r="B228" i="3"/>
  <c r="A229" i="3"/>
  <c r="G228" i="3"/>
  <c r="H228" i="3" s="1"/>
  <c r="F228" i="3"/>
  <c r="Q228" i="3"/>
  <c r="S228" i="3"/>
  <c r="O228" i="3"/>
  <c r="U228" i="3"/>
  <c r="M228" i="3"/>
  <c r="AD228" i="3"/>
  <c r="AF228" i="3"/>
  <c r="AK228" i="3"/>
  <c r="AE228" i="3"/>
  <c r="AM228" i="3"/>
  <c r="V228" i="3"/>
  <c r="R228" i="3"/>
  <c r="T228" i="3"/>
  <c r="P228" i="3"/>
  <c r="BM227" i="3"/>
  <c r="BB225" i="3" l="1"/>
  <c r="BQ225" i="3"/>
  <c r="BM228" i="3"/>
  <c r="BN228" i="3"/>
  <c r="AO228" i="3"/>
  <c r="X228" i="3"/>
  <c r="BC226" i="3"/>
  <c r="AR229" i="3"/>
  <c r="B229" i="3"/>
  <c r="AQ229" i="3"/>
  <c r="C229" i="3"/>
  <c r="D229" i="3"/>
  <c r="A230" i="3"/>
  <c r="F229" i="3"/>
  <c r="BM229" i="3" s="1"/>
  <c r="G229" i="3"/>
  <c r="H229" i="3" s="1"/>
  <c r="BN229" i="3" s="1"/>
  <c r="Q229" i="3"/>
  <c r="S229" i="3"/>
  <c r="O229" i="3"/>
  <c r="U229" i="3"/>
  <c r="AF229" i="3"/>
  <c r="M229" i="3"/>
  <c r="AD229" i="3"/>
  <c r="AE229" i="3"/>
  <c r="AK229" i="3"/>
  <c r="AM229" i="3"/>
  <c r="R229" i="3"/>
  <c r="V229" i="3"/>
  <c r="T229" i="3"/>
  <c r="P229" i="3"/>
  <c r="AU227" i="3"/>
  <c r="AH228" i="3"/>
  <c r="AT228" i="3" s="1"/>
  <c r="BD225" i="3"/>
  <c r="BG225" i="3"/>
  <c r="BH225" i="3" s="1"/>
  <c r="BI225" i="3" s="1"/>
  <c r="AW227" i="3"/>
  <c r="AY227" i="3" s="1"/>
  <c r="AN228" i="3"/>
  <c r="AT227" i="3"/>
  <c r="BA226" i="3"/>
  <c r="Y228" i="3"/>
  <c r="Z228" i="3" s="1"/>
  <c r="AG228" i="3"/>
  <c r="AN229" i="3" l="1"/>
  <c r="AU228" i="3"/>
  <c r="AH229" i="3"/>
  <c r="AV228" i="3"/>
  <c r="Y229" i="3"/>
  <c r="Z229" i="3" s="1"/>
  <c r="AV227" i="3"/>
  <c r="BC227" i="3" s="1"/>
  <c r="BA227" i="3"/>
  <c r="X229" i="3"/>
  <c r="AX228" i="3"/>
  <c r="AW228" i="3"/>
  <c r="AO229" i="3"/>
  <c r="AT229" i="3"/>
  <c r="AR230" i="3"/>
  <c r="B230" i="3"/>
  <c r="AQ230" i="3"/>
  <c r="A231" i="3"/>
  <c r="C230" i="3"/>
  <c r="D230" i="3"/>
  <c r="G230" i="3"/>
  <c r="H230" i="3" s="1"/>
  <c r="BN230" i="3" s="1"/>
  <c r="F230" i="3"/>
  <c r="BM230" i="3" s="1"/>
  <c r="Q230" i="3"/>
  <c r="S230" i="3"/>
  <c r="O230" i="3"/>
  <c r="U230" i="3"/>
  <c r="AF230" i="3"/>
  <c r="AE230" i="3"/>
  <c r="AD230" i="3"/>
  <c r="M230" i="3"/>
  <c r="AM230" i="3"/>
  <c r="AK230" i="3"/>
  <c r="P230" i="3"/>
  <c r="T230" i="3"/>
  <c r="R230" i="3"/>
  <c r="V230" i="3"/>
  <c r="BF226" i="3"/>
  <c r="BJ225" i="3" s="1"/>
  <c r="BK225" i="3" s="1"/>
  <c r="BQ226" i="3"/>
  <c r="BB226" i="3"/>
  <c r="AG229" i="3"/>
  <c r="AU229" i="3" s="1"/>
  <c r="BD226" i="3"/>
  <c r="BG226" i="3"/>
  <c r="BH226" i="3" s="1"/>
  <c r="BI226" i="3" s="1"/>
  <c r="AY228" i="3" l="1"/>
  <c r="AG230" i="3"/>
  <c r="AN230" i="3"/>
  <c r="AH230" i="3"/>
  <c r="BD227" i="3"/>
  <c r="BG227" i="3"/>
  <c r="BH227" i="3" s="1"/>
  <c r="BI227" i="3" s="1"/>
  <c r="AU230" i="3"/>
  <c r="AO230" i="3"/>
  <c r="AW230" i="3" s="1"/>
  <c r="BC228" i="3"/>
  <c r="AW229" i="3"/>
  <c r="BA229" i="3" s="1"/>
  <c r="BA228" i="3"/>
  <c r="AT230" i="3"/>
  <c r="AV229" i="3"/>
  <c r="X230" i="3"/>
  <c r="BB227" i="3"/>
  <c r="BQ227" i="3"/>
  <c r="BF227" i="3"/>
  <c r="Y230" i="3"/>
  <c r="Z230" i="3" s="1"/>
  <c r="A232" i="3"/>
  <c r="AR231" i="3"/>
  <c r="C231" i="3"/>
  <c r="D231" i="3"/>
  <c r="AQ231" i="3"/>
  <c r="B231" i="3"/>
  <c r="G231" i="3"/>
  <c r="H231" i="3" s="1"/>
  <c r="BN231" i="3" s="1"/>
  <c r="F231" i="3"/>
  <c r="BM231" i="3" s="1"/>
  <c r="Q231" i="3"/>
  <c r="S231" i="3"/>
  <c r="O231" i="3"/>
  <c r="U231" i="3"/>
  <c r="M231" i="3"/>
  <c r="AE231" i="3"/>
  <c r="AF231" i="3"/>
  <c r="AD231" i="3"/>
  <c r="AM231" i="3"/>
  <c r="AK231" i="3"/>
  <c r="P231" i="3"/>
  <c r="V231" i="3"/>
  <c r="R231" i="3"/>
  <c r="T231" i="3"/>
  <c r="AX229" i="3"/>
  <c r="AO231" i="3" l="1"/>
  <c r="AG231" i="3"/>
  <c r="AY229" i="3"/>
  <c r="BC229" i="3" s="1"/>
  <c r="BF228" i="3"/>
  <c r="BB228" i="3"/>
  <c r="BQ228" i="3"/>
  <c r="BD228" i="3"/>
  <c r="BG228" i="3"/>
  <c r="BH228" i="3" s="1"/>
  <c r="BI228" i="3" s="1"/>
  <c r="X231" i="3"/>
  <c r="AH231" i="3"/>
  <c r="BQ229" i="3"/>
  <c r="BB229" i="3"/>
  <c r="BF229" i="3"/>
  <c r="BJ228" i="3" s="1"/>
  <c r="BK228" i="3" s="1"/>
  <c r="AV230" i="3"/>
  <c r="Y231" i="3"/>
  <c r="Z231" i="3" s="1"/>
  <c r="AN231" i="3"/>
  <c r="A233" i="3"/>
  <c r="AR232" i="3"/>
  <c r="AQ232" i="3"/>
  <c r="C232" i="3"/>
  <c r="D232" i="3"/>
  <c r="B232" i="3"/>
  <c r="G232" i="3"/>
  <c r="H232" i="3" s="1"/>
  <c r="BN232" i="3" s="1"/>
  <c r="F232" i="3"/>
  <c r="BM232" i="3" s="1"/>
  <c r="Q232" i="3"/>
  <c r="S232" i="3"/>
  <c r="O232" i="3"/>
  <c r="U232" i="3"/>
  <c r="AK232" i="3"/>
  <c r="AD232" i="3"/>
  <c r="AF232" i="3"/>
  <c r="AE232" i="3"/>
  <c r="AM232" i="3"/>
  <c r="M232" i="3"/>
  <c r="P232" i="3"/>
  <c r="R232" i="3"/>
  <c r="T232" i="3"/>
  <c r="V232" i="3"/>
  <c r="BJ227" i="3"/>
  <c r="BK227" i="3" s="1"/>
  <c r="BJ226" i="3"/>
  <c r="BK226" i="3" s="1"/>
  <c r="AX230" i="3"/>
  <c r="AY230" i="3" s="1"/>
  <c r="AX231" i="3" l="1"/>
  <c r="BD229" i="3"/>
  <c r="BG229" i="3"/>
  <c r="BH229" i="3" s="1"/>
  <c r="BI229" i="3" s="1"/>
  <c r="BC230" i="3"/>
  <c r="AN232" i="3"/>
  <c r="AG232" i="3"/>
  <c r="X232" i="3"/>
  <c r="AT231" i="3"/>
  <c r="BD230" i="3"/>
  <c r="BG230" i="3"/>
  <c r="BH230" i="3" s="1"/>
  <c r="BI230" i="3" s="1"/>
  <c r="Y232" i="3"/>
  <c r="Z232" i="3" s="1"/>
  <c r="AR233" i="3"/>
  <c r="B233" i="3"/>
  <c r="AQ233" i="3"/>
  <c r="A234" i="3"/>
  <c r="D233" i="3"/>
  <c r="C233" i="3"/>
  <c r="F233" i="3"/>
  <c r="BM233" i="3" s="1"/>
  <c r="G233" i="3"/>
  <c r="H233" i="3" s="1"/>
  <c r="Q233" i="3"/>
  <c r="S233" i="3"/>
  <c r="O233" i="3"/>
  <c r="U233" i="3"/>
  <c r="AM233" i="3"/>
  <c r="AD233" i="3"/>
  <c r="AF233" i="3"/>
  <c r="AE233" i="3"/>
  <c r="AG233" i="3" s="1"/>
  <c r="AK233" i="3"/>
  <c r="AO233" i="3" s="1"/>
  <c r="M233" i="3"/>
  <c r="P233" i="3"/>
  <c r="R233" i="3"/>
  <c r="V233" i="3"/>
  <c r="T233" i="3"/>
  <c r="AH232" i="3"/>
  <c r="AU231" i="3"/>
  <c r="AO232" i="3"/>
  <c r="BA230" i="3"/>
  <c r="AW231" i="3"/>
  <c r="AY231" i="3" l="1"/>
  <c r="AX232" i="3"/>
  <c r="AH233" i="3"/>
  <c r="AU233" i="3" s="1"/>
  <c r="AU232" i="3"/>
  <c r="BF230" i="3"/>
  <c r="BJ229" i="3" s="1"/>
  <c r="BK229" i="3" s="1"/>
  <c r="BB230" i="3"/>
  <c r="BQ230" i="3"/>
  <c r="Y233" i="3"/>
  <c r="Z233" i="3" s="1"/>
  <c r="AR234" i="3"/>
  <c r="B234" i="3"/>
  <c r="AQ234" i="3"/>
  <c r="A235" i="3"/>
  <c r="D234" i="3"/>
  <c r="C234" i="3"/>
  <c r="G234" i="3"/>
  <c r="H234" i="3" s="1"/>
  <c r="F234" i="3"/>
  <c r="Q234" i="3"/>
  <c r="S234" i="3"/>
  <c r="O234" i="3"/>
  <c r="U234" i="3"/>
  <c r="AD234" i="3"/>
  <c r="AF234" i="3"/>
  <c r="M234" i="3"/>
  <c r="AM234" i="3"/>
  <c r="AE234" i="3"/>
  <c r="AG234" i="3" s="1"/>
  <c r="AK234" i="3"/>
  <c r="P234" i="3"/>
  <c r="R234" i="3"/>
  <c r="V234" i="3"/>
  <c r="T234" i="3"/>
  <c r="AT232" i="3"/>
  <c r="AN233" i="3"/>
  <c r="X233" i="3"/>
  <c r="AW232" i="3"/>
  <c r="BA231" i="3"/>
  <c r="AV231" i="3"/>
  <c r="BC231" i="3" s="1"/>
  <c r="BN233" i="3"/>
  <c r="AY232" i="3" l="1"/>
  <c r="AT233" i="3"/>
  <c r="AO234" i="3"/>
  <c r="AX233" i="3"/>
  <c r="AQ235" i="3"/>
  <c r="B235" i="3"/>
  <c r="A236" i="3"/>
  <c r="AR235" i="3"/>
  <c r="D235" i="3"/>
  <c r="C235" i="3"/>
  <c r="G235" i="3"/>
  <c r="H235" i="3" s="1"/>
  <c r="BN235" i="3" s="1"/>
  <c r="F235" i="3"/>
  <c r="BM235" i="3" s="1"/>
  <c r="Q235" i="3"/>
  <c r="S235" i="3"/>
  <c r="O235" i="3"/>
  <c r="U235" i="3"/>
  <c r="AD235" i="3"/>
  <c r="M235" i="3"/>
  <c r="AE235" i="3"/>
  <c r="AF235" i="3"/>
  <c r="AK235" i="3"/>
  <c r="AM235" i="3"/>
  <c r="V235" i="3"/>
  <c r="R235" i="3"/>
  <c r="P235" i="3"/>
  <c r="T235" i="3"/>
  <c r="AW234" i="3"/>
  <c r="BD231" i="3"/>
  <c r="BG231" i="3"/>
  <c r="BH231" i="3" s="1"/>
  <c r="BI231" i="3" s="1"/>
  <c r="Y234" i="3"/>
  <c r="Z234" i="3" s="1"/>
  <c r="AT234" i="3"/>
  <c r="BA233" i="3"/>
  <c r="AV233" i="3"/>
  <c r="BF231" i="3"/>
  <c r="BJ230" i="3" s="1"/>
  <c r="BK230" i="3" s="1"/>
  <c r="BB231" i="3"/>
  <c r="BQ231" i="3"/>
  <c r="AH234" i="3"/>
  <c r="X234" i="3"/>
  <c r="AN234" i="3"/>
  <c r="BM234" i="3"/>
  <c r="AW233" i="3"/>
  <c r="AY233" i="3" s="1"/>
  <c r="AV232" i="3"/>
  <c r="BC232" i="3" s="1"/>
  <c r="BA232" i="3"/>
  <c r="BN234" i="3"/>
  <c r="BC233" i="3" l="1"/>
  <c r="AN235" i="3"/>
  <c r="X235" i="3"/>
  <c r="BD232" i="3"/>
  <c r="BG232" i="3"/>
  <c r="BH232" i="3" s="1"/>
  <c r="BI232" i="3" s="1"/>
  <c r="AG235" i="3"/>
  <c r="BD233" i="3"/>
  <c r="BG233" i="3"/>
  <c r="BH233" i="3" s="1"/>
  <c r="BI233" i="3" s="1"/>
  <c r="Y235" i="3"/>
  <c r="Z235" i="3" s="1"/>
  <c r="C236" i="3"/>
  <c r="D236" i="3"/>
  <c r="A237" i="3"/>
  <c r="B236" i="3"/>
  <c r="AR236" i="3"/>
  <c r="AQ236" i="3"/>
  <c r="G236" i="3"/>
  <c r="H236" i="3" s="1"/>
  <c r="F236" i="3"/>
  <c r="Q236" i="3"/>
  <c r="S236" i="3"/>
  <c r="O236" i="3"/>
  <c r="U236" i="3"/>
  <c r="AF236" i="3"/>
  <c r="AD236" i="3"/>
  <c r="AE236" i="3"/>
  <c r="M236" i="3"/>
  <c r="AK236" i="3"/>
  <c r="AM236" i="3"/>
  <c r="AN236" i="3" s="1"/>
  <c r="P236" i="3"/>
  <c r="R236" i="3"/>
  <c r="V236" i="3"/>
  <c r="T236" i="3"/>
  <c r="AH235" i="3"/>
  <c r="AU235" i="3" s="1"/>
  <c r="BB233" i="3"/>
  <c r="BQ233" i="3"/>
  <c r="BF233" i="3"/>
  <c r="BB232" i="3"/>
  <c r="BF232" i="3"/>
  <c r="BJ231" i="3" s="1"/>
  <c r="BK231" i="3" s="1"/>
  <c r="BQ232" i="3"/>
  <c r="AX234" i="3"/>
  <c r="AY234" i="3" s="1"/>
  <c r="AU234" i="3"/>
  <c r="AO235" i="3"/>
  <c r="BA234" i="3" l="1"/>
  <c r="AT235" i="3"/>
  <c r="AH236" i="3"/>
  <c r="BQ234" i="3"/>
  <c r="BF234" i="3"/>
  <c r="BJ233" i="3" s="1"/>
  <c r="BK233" i="3" s="1"/>
  <c r="BB234" i="3"/>
  <c r="AU236" i="3"/>
  <c r="AV234" i="3"/>
  <c r="BC234" i="3" s="1"/>
  <c r="Y236" i="3"/>
  <c r="Z236" i="3" s="1"/>
  <c r="AV235" i="3"/>
  <c r="AT236" i="3"/>
  <c r="AR237" i="3"/>
  <c r="B237" i="3"/>
  <c r="AQ237" i="3"/>
  <c r="C237" i="3"/>
  <c r="D237" i="3"/>
  <c r="A238" i="3"/>
  <c r="G237" i="3"/>
  <c r="H237" i="3" s="1"/>
  <c r="F237" i="3"/>
  <c r="Q237" i="3"/>
  <c r="S237" i="3"/>
  <c r="O237" i="3"/>
  <c r="U237" i="3"/>
  <c r="AD237" i="3"/>
  <c r="AE237" i="3"/>
  <c r="M237" i="3"/>
  <c r="AF237" i="3"/>
  <c r="AM237" i="3"/>
  <c r="AK237" i="3"/>
  <c r="V237" i="3"/>
  <c r="R237" i="3"/>
  <c r="P237" i="3"/>
  <c r="T237" i="3"/>
  <c r="AG236" i="3"/>
  <c r="AW235" i="3"/>
  <c r="AO236" i="3"/>
  <c r="AW236" i="3" s="1"/>
  <c r="BJ232" i="3"/>
  <c r="BK232" i="3" s="1"/>
  <c r="BM236" i="3"/>
  <c r="X236" i="3"/>
  <c r="AX235" i="3"/>
  <c r="BA235" i="3" s="1"/>
  <c r="BN236" i="3"/>
  <c r="AO237" i="3" l="1"/>
  <c r="X237" i="3"/>
  <c r="BN237" i="3"/>
  <c r="BF235" i="3"/>
  <c r="BJ234" i="3" s="1"/>
  <c r="BK234" i="3" s="1"/>
  <c r="BQ235" i="3"/>
  <c r="BB235" i="3"/>
  <c r="AV236" i="3"/>
  <c r="AN237" i="3"/>
  <c r="AH237" i="3"/>
  <c r="AG237" i="3"/>
  <c r="AW237" i="3" s="1"/>
  <c r="BM237" i="3"/>
  <c r="BD234" i="3"/>
  <c r="BG234" i="3"/>
  <c r="BH234" i="3" s="1"/>
  <c r="BI234" i="3" s="1"/>
  <c r="AX236" i="3"/>
  <c r="AY236" i="3" s="1"/>
  <c r="AY235" i="3"/>
  <c r="BC235" i="3" s="1"/>
  <c r="AR238" i="3"/>
  <c r="B238" i="3"/>
  <c r="AQ238" i="3"/>
  <c r="C238" i="3"/>
  <c r="A239" i="3"/>
  <c r="D238" i="3"/>
  <c r="F238" i="3"/>
  <c r="BM238" i="3" s="1"/>
  <c r="G238" i="3"/>
  <c r="H238" i="3" s="1"/>
  <c r="BN238" i="3" s="1"/>
  <c r="Q238" i="3"/>
  <c r="S238" i="3"/>
  <c r="O238" i="3"/>
  <c r="U238" i="3"/>
  <c r="M238" i="3"/>
  <c r="AF238" i="3"/>
  <c r="AE238" i="3"/>
  <c r="AD238" i="3"/>
  <c r="AK238" i="3"/>
  <c r="AM238" i="3"/>
  <c r="P238" i="3"/>
  <c r="R238" i="3"/>
  <c r="V238" i="3"/>
  <c r="T238" i="3"/>
  <c r="Y237" i="3"/>
  <c r="Z237" i="3" s="1"/>
  <c r="AN238" i="3" l="1"/>
  <c r="AH238" i="3"/>
  <c r="AT237" i="3"/>
  <c r="AG238" i="3"/>
  <c r="BD235" i="3"/>
  <c r="BG235" i="3"/>
  <c r="BH235" i="3" s="1"/>
  <c r="BI235" i="3" s="1"/>
  <c r="AX237" i="3"/>
  <c r="AY237" i="3" s="1"/>
  <c r="AU237" i="3"/>
  <c r="AV237" i="3" s="1"/>
  <c r="AU238" i="3"/>
  <c r="Y238" i="3"/>
  <c r="Z238" i="3" s="1"/>
  <c r="A240" i="3"/>
  <c r="AR239" i="3"/>
  <c r="D239" i="3"/>
  <c r="C239" i="3"/>
  <c r="B239" i="3"/>
  <c r="AQ239" i="3"/>
  <c r="G239" i="3"/>
  <c r="H239" i="3" s="1"/>
  <c r="F239" i="3"/>
  <c r="Q239" i="3"/>
  <c r="S239" i="3"/>
  <c r="O239" i="3"/>
  <c r="U239" i="3"/>
  <c r="M239" i="3"/>
  <c r="AF239" i="3"/>
  <c r="AD239" i="3"/>
  <c r="AM239" i="3"/>
  <c r="AK239" i="3"/>
  <c r="AE239" i="3"/>
  <c r="AG239" i="3" s="1"/>
  <c r="P239" i="3"/>
  <c r="R239" i="3"/>
  <c r="V239" i="3"/>
  <c r="T239" i="3"/>
  <c r="BA236" i="3"/>
  <c r="X238" i="3"/>
  <c r="BC236" i="3"/>
  <c r="AO238" i="3"/>
  <c r="AX238" i="3" s="1"/>
  <c r="AT238" i="3"/>
  <c r="AO239" i="3" l="1"/>
  <c r="BC237" i="3"/>
  <c r="AN239" i="3"/>
  <c r="BD237" i="3"/>
  <c r="BG237" i="3"/>
  <c r="BH237" i="3" s="1"/>
  <c r="BI237" i="3" s="1"/>
  <c r="Y239" i="3"/>
  <c r="Z239" i="3" s="1"/>
  <c r="A241" i="3"/>
  <c r="AR240" i="3"/>
  <c r="AQ240" i="3"/>
  <c r="D240" i="3"/>
  <c r="C240" i="3"/>
  <c r="B240" i="3"/>
  <c r="F240" i="3"/>
  <c r="BM240" i="3" s="1"/>
  <c r="G240" i="3"/>
  <c r="H240" i="3" s="1"/>
  <c r="BN240" i="3" s="1"/>
  <c r="Q240" i="3"/>
  <c r="S240" i="3"/>
  <c r="O240" i="3"/>
  <c r="U240" i="3"/>
  <c r="AF240" i="3"/>
  <c r="M240" i="3"/>
  <c r="AK240" i="3"/>
  <c r="AD240" i="3"/>
  <c r="AE240" i="3"/>
  <c r="AG240" i="3" s="1"/>
  <c r="AM240" i="3"/>
  <c r="AN240" i="3" s="1"/>
  <c r="P240" i="3"/>
  <c r="R240" i="3"/>
  <c r="T240" i="3"/>
  <c r="V240" i="3"/>
  <c r="AH239" i="3"/>
  <c r="AX239" i="3" s="1"/>
  <c r="BM239" i="3"/>
  <c r="BN239" i="3"/>
  <c r="BA237" i="3"/>
  <c r="X239" i="3"/>
  <c r="AW238" i="3"/>
  <c r="AY238" i="3" s="1"/>
  <c r="AV238" i="3"/>
  <c r="BD236" i="3"/>
  <c r="BG236" i="3"/>
  <c r="BH236" i="3" s="1"/>
  <c r="BI236" i="3" s="1"/>
  <c r="BF236" i="3"/>
  <c r="BJ235" i="3" s="1"/>
  <c r="BK235" i="3" s="1"/>
  <c r="BQ236" i="3"/>
  <c r="BB236" i="3"/>
  <c r="BB237" i="3" l="1"/>
  <c r="BF237" i="3"/>
  <c r="BJ236" i="3" s="1"/>
  <c r="BK236" i="3" s="1"/>
  <c r="BQ237" i="3"/>
  <c r="AW239" i="3"/>
  <c r="AY239" i="3" s="1"/>
  <c r="BC238" i="3"/>
  <c r="AT239" i="3"/>
  <c r="AU239" i="3"/>
  <c r="X240" i="3"/>
  <c r="Y240" i="3"/>
  <c r="Z240" i="3" s="1"/>
  <c r="AU240" i="3"/>
  <c r="AW240" i="3"/>
  <c r="B241" i="3"/>
  <c r="AQ241" i="3"/>
  <c r="A242" i="3"/>
  <c r="C241" i="3"/>
  <c r="D241" i="3"/>
  <c r="AR241" i="3"/>
  <c r="G241" i="3"/>
  <c r="H241" i="3" s="1"/>
  <c r="F241" i="3"/>
  <c r="S241" i="3"/>
  <c r="Q241" i="3"/>
  <c r="O241" i="3"/>
  <c r="U241" i="3"/>
  <c r="AF241" i="3"/>
  <c r="M241" i="3"/>
  <c r="AD241" i="3"/>
  <c r="AE241" i="3"/>
  <c r="AG241" i="3" s="1"/>
  <c r="AK241" i="3"/>
  <c r="AM241" i="3"/>
  <c r="V241" i="3"/>
  <c r="R241" i="3"/>
  <c r="P241" i="3"/>
  <c r="T241" i="3"/>
  <c r="BA238" i="3"/>
  <c r="AH240" i="3"/>
  <c r="AT240" i="3" s="1"/>
  <c r="AO240" i="3"/>
  <c r="AN241" i="3" l="1"/>
  <c r="BM241" i="3"/>
  <c r="BN241" i="3"/>
  <c r="AV240" i="3"/>
  <c r="AH241" i="3"/>
  <c r="X241" i="3"/>
  <c r="AV239" i="3"/>
  <c r="BC239" i="3" s="1"/>
  <c r="BA239" i="3"/>
  <c r="BD238" i="3"/>
  <c r="BG238" i="3"/>
  <c r="BH238" i="3" s="1"/>
  <c r="BI238" i="3" s="1"/>
  <c r="BB238" i="3"/>
  <c r="BQ238" i="3"/>
  <c r="BF238" i="3"/>
  <c r="BJ237" i="3" s="1"/>
  <c r="BK237" i="3" s="1"/>
  <c r="Y241" i="3"/>
  <c r="Z241" i="3" s="1"/>
  <c r="AU241" i="3"/>
  <c r="AO241" i="3"/>
  <c r="AX240" i="3"/>
  <c r="BA240" i="3" s="1"/>
  <c r="AR242" i="3"/>
  <c r="B242" i="3"/>
  <c r="AQ242" i="3"/>
  <c r="A243" i="3"/>
  <c r="C242" i="3"/>
  <c r="D242" i="3"/>
  <c r="F242" i="3"/>
  <c r="BM242" i="3" s="1"/>
  <c r="G242" i="3"/>
  <c r="H242" i="3" s="1"/>
  <c r="BN242" i="3" s="1"/>
  <c r="Q242" i="3"/>
  <c r="S242" i="3"/>
  <c r="O242" i="3"/>
  <c r="U242" i="3"/>
  <c r="M242" i="3"/>
  <c r="AF242" i="3"/>
  <c r="AE242" i="3"/>
  <c r="AD242" i="3"/>
  <c r="AK242" i="3"/>
  <c r="AM242" i="3"/>
  <c r="R242" i="3"/>
  <c r="T242" i="3"/>
  <c r="P242" i="3"/>
  <c r="V242" i="3"/>
  <c r="AH242" i="3" l="1"/>
  <c r="AX241" i="3"/>
  <c r="AY240" i="3"/>
  <c r="AN242" i="3"/>
  <c r="BB240" i="3"/>
  <c r="BQ240" i="3"/>
  <c r="BF240" i="3"/>
  <c r="X242" i="3"/>
  <c r="BD239" i="3"/>
  <c r="BG239" i="3"/>
  <c r="BH239" i="3" s="1"/>
  <c r="BI239" i="3" s="1"/>
  <c r="BF239" i="3"/>
  <c r="BJ238" i="3" s="1"/>
  <c r="BK238" i="3" s="1"/>
  <c r="BQ239" i="3"/>
  <c r="BB239" i="3"/>
  <c r="Y242" i="3"/>
  <c r="Z242" i="3" s="1"/>
  <c r="AO242" i="3"/>
  <c r="AQ243" i="3"/>
  <c r="B243" i="3"/>
  <c r="A244" i="3"/>
  <c r="AR243" i="3"/>
  <c r="D243" i="3"/>
  <c r="C243" i="3"/>
  <c r="F243" i="3"/>
  <c r="BM243" i="3" s="1"/>
  <c r="G243" i="3"/>
  <c r="H243" i="3" s="1"/>
  <c r="BN243" i="3" s="1"/>
  <c r="Q243" i="3"/>
  <c r="S243" i="3"/>
  <c r="O243" i="3"/>
  <c r="U243" i="3"/>
  <c r="M243" i="3"/>
  <c r="AF243" i="3"/>
  <c r="AD243" i="3"/>
  <c r="AK243" i="3"/>
  <c r="AE243" i="3"/>
  <c r="AM243" i="3"/>
  <c r="V243" i="3"/>
  <c r="P243" i="3"/>
  <c r="R243" i="3"/>
  <c r="T243" i="3"/>
  <c r="AT241" i="3"/>
  <c r="AW241" i="3"/>
  <c r="AY241" i="3" s="1"/>
  <c r="AG242" i="3"/>
  <c r="BC240" i="3"/>
  <c r="AN243" i="3" l="1"/>
  <c r="AW242" i="3"/>
  <c r="AU242" i="3"/>
  <c r="AO243" i="3"/>
  <c r="BD240" i="3"/>
  <c r="BG240" i="3"/>
  <c r="BH240" i="3" s="1"/>
  <c r="BI240" i="3" s="1"/>
  <c r="BA241" i="3"/>
  <c r="AV241" i="3"/>
  <c r="BC241" i="3" s="1"/>
  <c r="AT242" i="3"/>
  <c r="Y243" i="3"/>
  <c r="Z243" i="3" s="1"/>
  <c r="AH243" i="3"/>
  <c r="AG243" i="3"/>
  <c r="AW243" i="3" s="1"/>
  <c r="AX242" i="3"/>
  <c r="X243" i="3"/>
  <c r="BJ239" i="3"/>
  <c r="BK239" i="3" s="1"/>
  <c r="D244" i="3"/>
  <c r="C244" i="3"/>
  <c r="A245" i="3"/>
  <c r="AR244" i="3"/>
  <c r="AQ244" i="3"/>
  <c r="B244" i="3"/>
  <c r="F244" i="3"/>
  <c r="BM244" i="3" s="1"/>
  <c r="G244" i="3"/>
  <c r="H244" i="3" s="1"/>
  <c r="Q244" i="3"/>
  <c r="S244" i="3"/>
  <c r="O244" i="3"/>
  <c r="U244" i="3"/>
  <c r="AE244" i="3"/>
  <c r="AF244" i="3"/>
  <c r="AD244" i="3"/>
  <c r="AM244" i="3"/>
  <c r="AK244" i="3"/>
  <c r="M244" i="3"/>
  <c r="R244" i="3"/>
  <c r="P244" i="3"/>
  <c r="V244" i="3"/>
  <c r="T244" i="3"/>
  <c r="AO244" i="3" l="1"/>
  <c r="BN244" i="3"/>
  <c r="X244" i="3"/>
  <c r="AH244" i="3"/>
  <c r="AX243" i="3"/>
  <c r="AY243" i="3" s="1"/>
  <c r="AG244" i="3"/>
  <c r="BF241" i="3"/>
  <c r="BJ240" i="3" s="1"/>
  <c r="BK240" i="3" s="1"/>
  <c r="BQ241" i="3"/>
  <c r="BB241" i="3"/>
  <c r="BA242" i="3"/>
  <c r="AV242" i="3"/>
  <c r="BD241" i="3"/>
  <c r="BG241" i="3"/>
  <c r="BH241" i="3" s="1"/>
  <c r="BI241" i="3" s="1"/>
  <c r="Y244" i="3"/>
  <c r="Z244" i="3" s="1"/>
  <c r="AU244" i="3"/>
  <c r="AT244" i="3"/>
  <c r="AR245" i="3"/>
  <c r="B245" i="3"/>
  <c r="AQ245" i="3"/>
  <c r="C245" i="3"/>
  <c r="D245" i="3"/>
  <c r="A246" i="3"/>
  <c r="G245" i="3"/>
  <c r="H245" i="3" s="1"/>
  <c r="BN245" i="3" s="1"/>
  <c r="F245" i="3"/>
  <c r="BM245" i="3" s="1"/>
  <c r="Q245" i="3"/>
  <c r="S245" i="3"/>
  <c r="O245" i="3"/>
  <c r="U245" i="3"/>
  <c r="M245" i="3"/>
  <c r="AD245" i="3"/>
  <c r="AF245" i="3"/>
  <c r="AK245" i="3"/>
  <c r="AE245" i="3"/>
  <c r="AM245" i="3"/>
  <c r="P245" i="3"/>
  <c r="T245" i="3"/>
  <c r="R245" i="3"/>
  <c r="V245" i="3"/>
  <c r="AU243" i="3"/>
  <c r="AN244" i="3"/>
  <c r="AT243" i="3"/>
  <c r="AY242" i="3"/>
  <c r="AN245" i="3" l="1"/>
  <c r="BC242" i="3"/>
  <c r="AV244" i="3"/>
  <c r="X245" i="3"/>
  <c r="AO245" i="3"/>
  <c r="AH245" i="3"/>
  <c r="AG245" i="3"/>
  <c r="BD242" i="3"/>
  <c r="BG242" i="3"/>
  <c r="BH242" i="3" s="1"/>
  <c r="BI242" i="3" s="1"/>
  <c r="BQ242" i="3"/>
  <c r="BF242" i="3"/>
  <c r="BJ241" i="3" s="1"/>
  <c r="BK241" i="3" s="1"/>
  <c r="BB242" i="3"/>
  <c r="AV243" i="3"/>
  <c r="BC243" i="3" s="1"/>
  <c r="BA243" i="3"/>
  <c r="Y245" i="3"/>
  <c r="Z245" i="3" s="1"/>
  <c r="AR246" i="3"/>
  <c r="B246" i="3"/>
  <c r="D246" i="3"/>
  <c r="AQ246" i="3"/>
  <c r="A247" i="3"/>
  <c r="C246" i="3"/>
  <c r="G246" i="3"/>
  <c r="H246" i="3" s="1"/>
  <c r="BN246" i="3" s="1"/>
  <c r="F246" i="3"/>
  <c r="BM246" i="3" s="1"/>
  <c r="Q246" i="3"/>
  <c r="S246" i="3"/>
  <c r="O246" i="3"/>
  <c r="U246" i="3"/>
  <c r="AK246" i="3"/>
  <c r="AE246" i="3"/>
  <c r="M246" i="3"/>
  <c r="AF246" i="3"/>
  <c r="AD246" i="3"/>
  <c r="AM246" i="3"/>
  <c r="R246" i="3"/>
  <c r="V246" i="3"/>
  <c r="P246" i="3"/>
  <c r="T246" i="3"/>
  <c r="AW244" i="3"/>
  <c r="AX244" i="3"/>
  <c r="AW245" i="3" l="1"/>
  <c r="AO246" i="3"/>
  <c r="BD243" i="3"/>
  <c r="BG243" i="3"/>
  <c r="BH243" i="3" s="1"/>
  <c r="BI243" i="3" s="1"/>
  <c r="BF243" i="3"/>
  <c r="BJ242" i="3" s="1"/>
  <c r="BK242" i="3" s="1"/>
  <c r="BQ243" i="3"/>
  <c r="BB243" i="3"/>
  <c r="AY244" i="3"/>
  <c r="BC244" i="3" s="1"/>
  <c r="A248" i="3"/>
  <c r="AR247" i="3"/>
  <c r="D247" i="3"/>
  <c r="C247" i="3"/>
  <c r="AQ247" i="3"/>
  <c r="B247" i="3"/>
  <c r="F247" i="3"/>
  <c r="BM247" i="3" s="1"/>
  <c r="G247" i="3"/>
  <c r="H247" i="3" s="1"/>
  <c r="BN247" i="3" s="1"/>
  <c r="Q247" i="3"/>
  <c r="S247" i="3"/>
  <c r="O247" i="3"/>
  <c r="U247" i="3"/>
  <c r="AE247" i="3"/>
  <c r="M247" i="3"/>
  <c r="AF247" i="3"/>
  <c r="AD247" i="3"/>
  <c r="AK247" i="3"/>
  <c r="AM247" i="3"/>
  <c r="T247" i="3"/>
  <c r="R247" i="3"/>
  <c r="V247" i="3"/>
  <c r="P247" i="3"/>
  <c r="AG246" i="3"/>
  <c r="AW246" i="3" s="1"/>
  <c r="AX245" i="3"/>
  <c r="AY245" i="3" s="1"/>
  <c r="X246" i="3"/>
  <c r="Y246" i="3"/>
  <c r="Z246" i="3" s="1"/>
  <c r="AU245" i="3"/>
  <c r="AN246" i="3"/>
  <c r="BA244" i="3"/>
  <c r="AH246" i="3"/>
  <c r="AT245" i="3"/>
  <c r="AU246" i="3" l="1"/>
  <c r="AN247" i="3"/>
  <c r="AH247" i="3"/>
  <c r="BG244" i="3"/>
  <c r="BH244" i="3" s="1"/>
  <c r="BI244" i="3" s="1"/>
  <c r="BD244" i="3"/>
  <c r="BA245" i="3"/>
  <c r="AV245" i="3"/>
  <c r="BC245" i="3" s="1"/>
  <c r="AX246" i="3"/>
  <c r="AY246" i="3" s="1"/>
  <c r="Y247" i="3"/>
  <c r="Z247" i="3" s="1"/>
  <c r="BB244" i="3"/>
  <c r="BF244" i="3"/>
  <c r="BJ243" i="3" s="1"/>
  <c r="BK243" i="3" s="1"/>
  <c r="BQ244" i="3"/>
  <c r="AT246" i="3"/>
  <c r="AT247" i="3"/>
  <c r="AO247" i="3"/>
  <c r="AX247" i="3" s="1"/>
  <c r="A249" i="3"/>
  <c r="AR248" i="3"/>
  <c r="AQ248" i="3"/>
  <c r="D248" i="3"/>
  <c r="C248" i="3"/>
  <c r="B248" i="3"/>
  <c r="G248" i="3"/>
  <c r="H248" i="3" s="1"/>
  <c r="BN248" i="3" s="1"/>
  <c r="F248" i="3"/>
  <c r="BM248" i="3" s="1"/>
  <c r="S248" i="3"/>
  <c r="Q248" i="3"/>
  <c r="O248" i="3"/>
  <c r="U248" i="3"/>
  <c r="M248" i="3"/>
  <c r="AD248" i="3"/>
  <c r="AF248" i="3"/>
  <c r="AE248" i="3"/>
  <c r="AG248" i="3" s="1"/>
  <c r="AM248" i="3"/>
  <c r="AK248" i="3"/>
  <c r="T248" i="3"/>
  <c r="R248" i="3"/>
  <c r="P248" i="3"/>
  <c r="V248" i="3"/>
  <c r="AG247" i="3"/>
  <c r="X247" i="3"/>
  <c r="AO248" i="3" l="1"/>
  <c r="BA246" i="3"/>
  <c r="AV246" i="3"/>
  <c r="BC246" i="3" s="1"/>
  <c r="AN248" i="3"/>
  <c r="X248" i="3"/>
  <c r="BG245" i="3"/>
  <c r="BH245" i="3" s="1"/>
  <c r="BI245" i="3" s="1"/>
  <c r="BD245" i="3"/>
  <c r="AR249" i="3"/>
  <c r="B249" i="3"/>
  <c r="AQ249" i="3"/>
  <c r="A250" i="3"/>
  <c r="C249" i="3"/>
  <c r="D249" i="3"/>
  <c r="F249" i="3"/>
  <c r="G249" i="3"/>
  <c r="H249" i="3" s="1"/>
  <c r="Q249" i="3"/>
  <c r="S249" i="3"/>
  <c r="O249" i="3"/>
  <c r="U249" i="3"/>
  <c r="AD249" i="3"/>
  <c r="M249" i="3"/>
  <c r="AE249" i="3"/>
  <c r="AF249" i="3"/>
  <c r="AM249" i="3"/>
  <c r="AK249" i="3"/>
  <c r="V249" i="3"/>
  <c r="P249" i="3"/>
  <c r="R249" i="3"/>
  <c r="T249" i="3"/>
  <c r="AH248" i="3"/>
  <c r="AU248" i="3" s="1"/>
  <c r="AW247" i="3"/>
  <c r="AY247" i="3" s="1"/>
  <c r="BQ245" i="3"/>
  <c r="BF245" i="3"/>
  <c r="BJ244" i="3" s="1"/>
  <c r="BK244" i="3" s="1"/>
  <c r="BB245" i="3"/>
  <c r="AU247" i="3"/>
  <c r="AV247" i="3" s="1"/>
  <c r="Y248" i="3"/>
  <c r="Z248" i="3" s="1"/>
  <c r="AO249" i="3" l="1"/>
  <c r="BC247" i="3"/>
  <c r="AW248" i="3"/>
  <c r="BD247" i="3"/>
  <c r="BG247" i="3"/>
  <c r="BH247" i="3" s="1"/>
  <c r="BI247" i="3" s="1"/>
  <c r="AR250" i="3"/>
  <c r="B250" i="3"/>
  <c r="AQ250" i="3"/>
  <c r="A251" i="3"/>
  <c r="D250" i="3"/>
  <c r="C250" i="3"/>
  <c r="F250" i="3"/>
  <c r="BM250" i="3" s="1"/>
  <c r="G250" i="3"/>
  <c r="H250" i="3" s="1"/>
  <c r="BN250" i="3" s="1"/>
  <c r="Q250" i="3"/>
  <c r="S250" i="3"/>
  <c r="O250" i="3"/>
  <c r="U250" i="3"/>
  <c r="M250" i="3"/>
  <c r="AF250" i="3"/>
  <c r="AD250" i="3"/>
  <c r="AE250" i="3"/>
  <c r="AG250" i="3" s="1"/>
  <c r="AK250" i="3"/>
  <c r="AM250" i="3"/>
  <c r="R250" i="3"/>
  <c r="P250" i="3"/>
  <c r="V250" i="3"/>
  <c r="T250" i="3"/>
  <c r="Y249" i="3"/>
  <c r="Z249" i="3" s="1"/>
  <c r="BA247" i="3"/>
  <c r="AN249" i="3"/>
  <c r="AG249" i="3"/>
  <c r="X249" i="3"/>
  <c r="BN249" i="3"/>
  <c r="BQ246" i="3"/>
  <c r="BB246" i="3"/>
  <c r="BF246" i="3"/>
  <c r="BJ245" i="3" s="1"/>
  <c r="BK245" i="3" s="1"/>
  <c r="AH249" i="3"/>
  <c r="BD246" i="3"/>
  <c r="BG246" i="3"/>
  <c r="BH246" i="3" s="1"/>
  <c r="BI246" i="3" s="1"/>
  <c r="AX248" i="3"/>
  <c r="AY248" i="3" s="1"/>
  <c r="BM249" i="3"/>
  <c r="AT248" i="3"/>
  <c r="AN250" i="3" l="1"/>
  <c r="AW249" i="3"/>
  <c r="Y250" i="3"/>
  <c r="Z250" i="3" s="1"/>
  <c r="BF247" i="3"/>
  <c r="BJ246" i="3" s="1"/>
  <c r="BK246" i="3" s="1"/>
  <c r="BB247" i="3"/>
  <c r="BQ247" i="3"/>
  <c r="BA248" i="3"/>
  <c r="AV248" i="3"/>
  <c r="BC248" i="3" s="1"/>
  <c r="X250" i="3"/>
  <c r="AX249" i="3"/>
  <c r="AY249" i="3" s="1"/>
  <c r="AT249" i="3"/>
  <c r="AT250" i="3"/>
  <c r="AU249" i="3"/>
  <c r="AQ251" i="3"/>
  <c r="B251" i="3"/>
  <c r="A252" i="3"/>
  <c r="AR251" i="3"/>
  <c r="D251" i="3"/>
  <c r="C251" i="3"/>
  <c r="G251" i="3"/>
  <c r="H251" i="3" s="1"/>
  <c r="F251" i="3"/>
  <c r="BM251" i="3" s="1"/>
  <c r="Q251" i="3"/>
  <c r="S251" i="3"/>
  <c r="O251" i="3"/>
  <c r="U251" i="3"/>
  <c r="AE251" i="3"/>
  <c r="AF251" i="3"/>
  <c r="AD251" i="3"/>
  <c r="AK251" i="3"/>
  <c r="AM251" i="3"/>
  <c r="M251" i="3"/>
  <c r="V251" i="3"/>
  <c r="P251" i="3"/>
  <c r="R251" i="3"/>
  <c r="T251" i="3"/>
  <c r="AO250" i="3"/>
  <c r="AH250" i="3"/>
  <c r="AX250" i="3" s="1"/>
  <c r="AH251" i="3" l="1"/>
  <c r="AO251" i="3"/>
  <c r="Y251" i="3"/>
  <c r="Z251" i="3" s="1"/>
  <c r="AV249" i="3"/>
  <c r="BC249" i="3" s="1"/>
  <c r="BA249" i="3"/>
  <c r="X251" i="3"/>
  <c r="BB248" i="3"/>
  <c r="BQ248" i="3"/>
  <c r="BF248" i="3"/>
  <c r="BJ247" i="3" s="1"/>
  <c r="BK247" i="3" s="1"/>
  <c r="BN251" i="3"/>
  <c r="AT251" i="3"/>
  <c r="C252" i="3"/>
  <c r="D252" i="3"/>
  <c r="AQ252" i="3"/>
  <c r="A253" i="3"/>
  <c r="B252" i="3"/>
  <c r="AR252" i="3"/>
  <c r="F252" i="3"/>
  <c r="G252" i="3"/>
  <c r="H252" i="3" s="1"/>
  <c r="Q252" i="3"/>
  <c r="S252" i="3"/>
  <c r="O252" i="3"/>
  <c r="U252" i="3"/>
  <c r="AD252" i="3"/>
  <c r="AE252" i="3"/>
  <c r="AF252" i="3"/>
  <c r="AM252" i="3"/>
  <c r="AK252" i="3"/>
  <c r="M252" i="3"/>
  <c r="V252" i="3"/>
  <c r="R252" i="3"/>
  <c r="T252" i="3"/>
  <c r="P252" i="3"/>
  <c r="AN251" i="3"/>
  <c r="AG251" i="3"/>
  <c r="AW251" i="3" s="1"/>
  <c r="BD248" i="3"/>
  <c r="BG248" i="3"/>
  <c r="BH248" i="3" s="1"/>
  <c r="BI248" i="3" s="1"/>
  <c r="AW250" i="3"/>
  <c r="AY250" i="3" s="1"/>
  <c r="AU250" i="3"/>
  <c r="AV250" i="3" s="1"/>
  <c r="AO252" i="3" l="1"/>
  <c r="BC250" i="3"/>
  <c r="BD250" i="3"/>
  <c r="BG250" i="3"/>
  <c r="BH250" i="3" s="1"/>
  <c r="BI250" i="3" s="1"/>
  <c r="X252" i="3"/>
  <c r="AN252" i="3"/>
  <c r="BN252" i="3"/>
  <c r="AX251" i="3"/>
  <c r="AY251" i="3" s="1"/>
  <c r="AR253" i="3"/>
  <c r="B253" i="3"/>
  <c r="AQ253" i="3"/>
  <c r="C253" i="3"/>
  <c r="D253" i="3"/>
  <c r="A254" i="3"/>
  <c r="G253" i="3"/>
  <c r="H253" i="3" s="1"/>
  <c r="BN253" i="3" s="1"/>
  <c r="F253" i="3"/>
  <c r="Q253" i="3"/>
  <c r="S253" i="3"/>
  <c r="O253" i="3"/>
  <c r="U253" i="3"/>
  <c r="AD253" i="3"/>
  <c r="AF253" i="3"/>
  <c r="AE253" i="3"/>
  <c r="AK253" i="3"/>
  <c r="M253" i="3"/>
  <c r="AM253" i="3"/>
  <c r="AN253" i="3" s="1"/>
  <c r="P253" i="3"/>
  <c r="V253" i="3"/>
  <c r="R253" i="3"/>
  <c r="T253" i="3"/>
  <c r="AU251" i="3"/>
  <c r="AV251" i="3" s="1"/>
  <c r="BC251" i="3" s="1"/>
  <c r="AG252" i="3"/>
  <c r="AH252" i="3"/>
  <c r="BF249" i="3"/>
  <c r="BJ248" i="3" s="1"/>
  <c r="BK248" i="3" s="1"/>
  <c r="BQ249" i="3"/>
  <c r="BB249" i="3"/>
  <c r="BD249" i="3"/>
  <c r="BG249" i="3"/>
  <c r="BH249" i="3" s="1"/>
  <c r="BI249" i="3" s="1"/>
  <c r="BM252" i="3"/>
  <c r="BA250" i="3"/>
  <c r="Y252" i="3"/>
  <c r="Z252" i="3" s="1"/>
  <c r="AX252" i="3" l="1"/>
  <c r="AG253" i="3"/>
  <c r="AU252" i="3"/>
  <c r="AT252" i="3"/>
  <c r="AV252" i="3" s="1"/>
  <c r="AH253" i="3"/>
  <c r="AU253" i="3" s="1"/>
  <c r="BD251" i="3"/>
  <c r="BG251" i="3"/>
  <c r="BH251" i="3" s="1"/>
  <c r="BI251" i="3" s="1"/>
  <c r="Y253" i="3"/>
  <c r="Z253" i="3" s="1"/>
  <c r="AR254" i="3"/>
  <c r="B254" i="3"/>
  <c r="AQ254" i="3"/>
  <c r="A255" i="3"/>
  <c r="C254" i="3"/>
  <c r="D254" i="3"/>
  <c r="F254" i="3"/>
  <c r="BM254" i="3" s="1"/>
  <c r="G254" i="3"/>
  <c r="H254" i="3" s="1"/>
  <c r="Q254" i="3"/>
  <c r="S254" i="3"/>
  <c r="O254" i="3"/>
  <c r="U254" i="3"/>
  <c r="AD254" i="3"/>
  <c r="M254" i="3"/>
  <c r="AF254" i="3"/>
  <c r="AE254" i="3"/>
  <c r="AM254" i="3"/>
  <c r="AK254" i="3"/>
  <c r="V254" i="3"/>
  <c r="R254" i="3"/>
  <c r="P254" i="3"/>
  <c r="T254" i="3"/>
  <c r="AO253" i="3"/>
  <c r="AW253" i="3" s="1"/>
  <c r="BF250" i="3"/>
  <c r="BJ249" i="3" s="1"/>
  <c r="BK249" i="3" s="1"/>
  <c r="BQ250" i="3"/>
  <c r="BB250" i="3"/>
  <c r="X253" i="3"/>
  <c r="AW252" i="3"/>
  <c r="BA251" i="3"/>
  <c r="BM253" i="3"/>
  <c r="AO254" i="3" l="1"/>
  <c r="BA252" i="3"/>
  <c r="BB252" i="3" s="1"/>
  <c r="AY252" i="3"/>
  <c r="BC252" i="3" s="1"/>
  <c r="AT253" i="3"/>
  <c r="A256" i="3"/>
  <c r="AR255" i="3"/>
  <c r="D255" i="3"/>
  <c r="C255" i="3"/>
  <c r="AQ255" i="3"/>
  <c r="B255" i="3"/>
  <c r="G255" i="3"/>
  <c r="H255" i="3" s="1"/>
  <c r="BN255" i="3" s="1"/>
  <c r="F255" i="3"/>
  <c r="BM255" i="3" s="1"/>
  <c r="Q255" i="3"/>
  <c r="S255" i="3"/>
  <c r="O255" i="3"/>
  <c r="U255" i="3"/>
  <c r="AE255" i="3"/>
  <c r="AD255" i="3"/>
  <c r="M255" i="3"/>
  <c r="AF255" i="3"/>
  <c r="AK255" i="3"/>
  <c r="AM255" i="3"/>
  <c r="AN255" i="3" s="1"/>
  <c r="R255" i="3"/>
  <c r="V255" i="3"/>
  <c r="P255" i="3"/>
  <c r="T255" i="3"/>
  <c r="AX253" i="3"/>
  <c r="AY253" i="3" s="1"/>
  <c r="BN254" i="3"/>
  <c r="X254" i="3"/>
  <c r="Y254" i="3"/>
  <c r="Z254" i="3" s="1"/>
  <c r="AN254" i="3"/>
  <c r="AG254" i="3"/>
  <c r="AW254" i="3" s="1"/>
  <c r="BB251" i="3"/>
  <c r="BF251" i="3"/>
  <c r="BJ250" i="3" s="1"/>
  <c r="BK250" i="3" s="1"/>
  <c r="BQ251" i="3"/>
  <c r="AV253" i="3"/>
  <c r="AH254" i="3"/>
  <c r="BF252" i="3" l="1"/>
  <c r="BQ252" i="3"/>
  <c r="X255" i="3"/>
  <c r="AT254" i="3"/>
  <c r="Y255" i="3"/>
  <c r="Z255" i="3" s="1"/>
  <c r="AU254" i="3"/>
  <c r="AV254" i="3" s="1"/>
  <c r="AG255" i="3"/>
  <c r="BA253" i="3"/>
  <c r="BC253" i="3"/>
  <c r="BJ251" i="3"/>
  <c r="BK251" i="3" s="1"/>
  <c r="AH255" i="3"/>
  <c r="BD252" i="3"/>
  <c r="BG252" i="3"/>
  <c r="BH252" i="3" s="1"/>
  <c r="BI252" i="3" s="1"/>
  <c r="AX254" i="3"/>
  <c r="AY254" i="3" s="1"/>
  <c r="AU255" i="3"/>
  <c r="AT255" i="3"/>
  <c r="AO255" i="3"/>
  <c r="A257" i="3"/>
  <c r="AR256" i="3"/>
  <c r="AQ256" i="3"/>
  <c r="C256" i="3"/>
  <c r="D256" i="3"/>
  <c r="B256" i="3"/>
  <c r="G256" i="3"/>
  <c r="H256" i="3" s="1"/>
  <c r="BN256" i="3" s="1"/>
  <c r="F256" i="3"/>
  <c r="BM256" i="3" s="1"/>
  <c r="Q256" i="3"/>
  <c r="S256" i="3"/>
  <c r="O256" i="3"/>
  <c r="U256" i="3"/>
  <c r="AD256" i="3"/>
  <c r="AF256" i="3"/>
  <c r="M256" i="3"/>
  <c r="AK256" i="3"/>
  <c r="AE256" i="3"/>
  <c r="AM256" i="3"/>
  <c r="P256" i="3"/>
  <c r="V256" i="3"/>
  <c r="R256" i="3"/>
  <c r="T256" i="3"/>
  <c r="AG256" i="3" l="1"/>
  <c r="AO256" i="3"/>
  <c r="BC254" i="3"/>
  <c r="BD254" i="3"/>
  <c r="BG254" i="3"/>
  <c r="BH254" i="3" s="1"/>
  <c r="BI254" i="3" s="1"/>
  <c r="AH256" i="3"/>
  <c r="B257" i="3"/>
  <c r="AQ257" i="3"/>
  <c r="A258" i="3"/>
  <c r="D257" i="3"/>
  <c r="C257" i="3"/>
  <c r="AR257" i="3"/>
  <c r="F257" i="3"/>
  <c r="BM257" i="3" s="1"/>
  <c r="G257" i="3"/>
  <c r="H257" i="3" s="1"/>
  <c r="BN257" i="3" s="1"/>
  <c r="Q257" i="3"/>
  <c r="S257" i="3"/>
  <c r="O257" i="3"/>
  <c r="U257" i="3"/>
  <c r="M257" i="3"/>
  <c r="AE257" i="3"/>
  <c r="AD257" i="3"/>
  <c r="AF257" i="3"/>
  <c r="AM257" i="3"/>
  <c r="AK257" i="3"/>
  <c r="P257" i="3"/>
  <c r="V257" i="3"/>
  <c r="T257" i="3"/>
  <c r="R257" i="3"/>
  <c r="AV255" i="3"/>
  <c r="X256" i="3"/>
  <c r="AW255" i="3"/>
  <c r="AU256" i="3"/>
  <c r="BA254" i="3"/>
  <c r="AX255" i="3"/>
  <c r="BD253" i="3"/>
  <c r="BG253" i="3"/>
  <c r="BH253" i="3" s="1"/>
  <c r="BI253" i="3" s="1"/>
  <c r="BQ253" i="3"/>
  <c r="BF253" i="3"/>
  <c r="BJ252" i="3" s="1"/>
  <c r="BK252" i="3" s="1"/>
  <c r="BB253" i="3"/>
  <c r="Y256" i="3"/>
  <c r="Z256" i="3" s="1"/>
  <c r="AN256" i="3"/>
  <c r="AT256" i="3"/>
  <c r="AO257" i="3" l="1"/>
  <c r="X257" i="3"/>
  <c r="BA255" i="3"/>
  <c r="BQ255" i="3" s="1"/>
  <c r="AG257" i="3"/>
  <c r="BF255" i="3"/>
  <c r="BB255" i="3"/>
  <c r="BB254" i="3"/>
  <c r="BQ254" i="3"/>
  <c r="BF254" i="3"/>
  <c r="BJ253" i="3" s="1"/>
  <c r="BK253" i="3" s="1"/>
  <c r="AT257" i="3"/>
  <c r="AU257" i="3"/>
  <c r="AW257" i="3"/>
  <c r="AY257" i="3" s="1"/>
  <c r="AV256" i="3"/>
  <c r="Y257" i="3"/>
  <c r="Z257" i="3" s="1"/>
  <c r="AR258" i="3"/>
  <c r="B258" i="3"/>
  <c r="AQ258" i="3"/>
  <c r="A259" i="3"/>
  <c r="D258" i="3"/>
  <c r="C258" i="3"/>
  <c r="F258" i="3"/>
  <c r="G258" i="3"/>
  <c r="H258" i="3" s="1"/>
  <c r="BN258" i="3" s="1"/>
  <c r="S258" i="3"/>
  <c r="Q258" i="3"/>
  <c r="O258" i="3"/>
  <c r="U258" i="3"/>
  <c r="AE258" i="3"/>
  <c r="M258" i="3"/>
  <c r="AD258" i="3"/>
  <c r="AF258" i="3"/>
  <c r="AK258" i="3"/>
  <c r="AM258" i="3"/>
  <c r="R258" i="3"/>
  <c r="V258" i="3"/>
  <c r="T258" i="3"/>
  <c r="P258" i="3"/>
  <c r="AN257" i="3"/>
  <c r="AX256" i="3"/>
  <c r="AH257" i="3"/>
  <c r="AX257" i="3" s="1"/>
  <c r="AW256" i="3"/>
  <c r="BA256" i="3" s="1"/>
  <c r="AY255" i="3"/>
  <c r="BC255" i="3" s="1"/>
  <c r="AN258" i="3" l="1"/>
  <c r="X258" i="3"/>
  <c r="AH258" i="3"/>
  <c r="BD255" i="3"/>
  <c r="BG255" i="3"/>
  <c r="BH255" i="3" s="1"/>
  <c r="BI255" i="3" s="1"/>
  <c r="AO258" i="3"/>
  <c r="AG258" i="3"/>
  <c r="BF256" i="3"/>
  <c r="BJ255" i="3" s="1"/>
  <c r="BK255" i="3" s="1"/>
  <c r="BQ256" i="3"/>
  <c r="BB256" i="3"/>
  <c r="AY256" i="3"/>
  <c r="BC256" i="3" s="1"/>
  <c r="AT258" i="3"/>
  <c r="BA257" i="3"/>
  <c r="AV257" i="3"/>
  <c r="BC257" i="3" s="1"/>
  <c r="BM258" i="3"/>
  <c r="Y258" i="3"/>
  <c r="Z258" i="3" s="1"/>
  <c r="AQ259" i="3"/>
  <c r="B259" i="3"/>
  <c r="A260" i="3"/>
  <c r="AR259" i="3"/>
  <c r="C259" i="3"/>
  <c r="D259" i="3"/>
  <c r="F259" i="3"/>
  <c r="BM259" i="3" s="1"/>
  <c r="G259" i="3"/>
  <c r="H259" i="3" s="1"/>
  <c r="BN259" i="3" s="1"/>
  <c r="Q259" i="3"/>
  <c r="S259" i="3"/>
  <c r="O259" i="3"/>
  <c r="U259" i="3"/>
  <c r="M259" i="3"/>
  <c r="AD259" i="3"/>
  <c r="AF259" i="3"/>
  <c r="AE259" i="3"/>
  <c r="AK259" i="3"/>
  <c r="AM259" i="3"/>
  <c r="P259" i="3"/>
  <c r="R259" i="3"/>
  <c r="T259" i="3"/>
  <c r="V259" i="3"/>
  <c r="BJ254" i="3"/>
  <c r="BK254" i="3" s="1"/>
  <c r="AU258" i="3"/>
  <c r="AW258" i="3" l="1"/>
  <c r="AN259" i="3"/>
  <c r="AH259" i="3"/>
  <c r="AV258" i="3"/>
  <c r="AG259" i="3"/>
  <c r="X259" i="3"/>
  <c r="BB257" i="3"/>
  <c r="BQ257" i="3"/>
  <c r="BF257" i="3"/>
  <c r="BJ256" i="3" s="1"/>
  <c r="BK256" i="3" s="1"/>
  <c r="BD257" i="3"/>
  <c r="BG257" i="3"/>
  <c r="BH257" i="3" s="1"/>
  <c r="BI257" i="3" s="1"/>
  <c r="BD256" i="3"/>
  <c r="BG256" i="3"/>
  <c r="BH256" i="3" s="1"/>
  <c r="BI256" i="3" s="1"/>
  <c r="Y259" i="3"/>
  <c r="Z259" i="3" s="1"/>
  <c r="AT259" i="3"/>
  <c r="C260" i="3"/>
  <c r="D260" i="3"/>
  <c r="A261" i="3"/>
  <c r="B260" i="3"/>
  <c r="AR260" i="3"/>
  <c r="AQ260" i="3"/>
  <c r="G260" i="3"/>
  <c r="H260" i="3" s="1"/>
  <c r="F260" i="3"/>
  <c r="S260" i="3"/>
  <c r="Q260" i="3"/>
  <c r="O260" i="3"/>
  <c r="U260" i="3"/>
  <c r="M260" i="3"/>
  <c r="AD260" i="3"/>
  <c r="AF260" i="3"/>
  <c r="AE260" i="3"/>
  <c r="AG260" i="3" s="1"/>
  <c r="AM260" i="3"/>
  <c r="AK260" i="3"/>
  <c r="V260" i="3"/>
  <c r="P260" i="3"/>
  <c r="T260" i="3"/>
  <c r="R260" i="3"/>
  <c r="AX258" i="3"/>
  <c r="AY258" i="3" s="1"/>
  <c r="AO259" i="3"/>
  <c r="AU259" i="3"/>
  <c r="BN260" i="3" l="1"/>
  <c r="AN260" i="3"/>
  <c r="AH260" i="3"/>
  <c r="X260" i="3"/>
  <c r="BM260" i="3"/>
  <c r="AU260" i="3"/>
  <c r="AT260" i="3"/>
  <c r="AW259" i="3"/>
  <c r="AY259" i="3" s="1"/>
  <c r="BC258" i="3"/>
  <c r="AR261" i="3"/>
  <c r="B261" i="3"/>
  <c r="AQ261" i="3"/>
  <c r="C261" i="3"/>
  <c r="D261" i="3"/>
  <c r="A262" i="3"/>
  <c r="F261" i="3"/>
  <c r="BM261" i="3" s="1"/>
  <c r="G261" i="3"/>
  <c r="H261" i="3" s="1"/>
  <c r="Q261" i="3"/>
  <c r="S261" i="3"/>
  <c r="O261" i="3"/>
  <c r="U261" i="3"/>
  <c r="AF261" i="3"/>
  <c r="M261" i="3"/>
  <c r="AD261" i="3"/>
  <c r="AE261" i="3"/>
  <c r="AK261" i="3"/>
  <c r="AM261" i="3"/>
  <c r="P261" i="3"/>
  <c r="T261" i="3"/>
  <c r="R261" i="3"/>
  <c r="V261" i="3"/>
  <c r="BA258" i="3"/>
  <c r="AV259" i="3"/>
  <c r="AO260" i="3"/>
  <c r="Y260" i="3"/>
  <c r="Z260" i="3" s="1"/>
  <c r="AX259" i="3"/>
  <c r="BN261" i="3" l="1"/>
  <c r="BC259" i="3"/>
  <c r="BD259" i="3" s="1"/>
  <c r="BA259" i="3"/>
  <c r="AO261" i="3"/>
  <c r="AH261" i="3"/>
  <c r="AR262" i="3"/>
  <c r="B262" i="3"/>
  <c r="AQ262" i="3"/>
  <c r="A263" i="3"/>
  <c r="D262" i="3"/>
  <c r="C262" i="3"/>
  <c r="F262" i="3"/>
  <c r="BM262" i="3" s="1"/>
  <c r="G262" i="3"/>
  <c r="H262" i="3" s="1"/>
  <c r="BN262" i="3" s="1"/>
  <c r="Q262" i="3"/>
  <c r="S262" i="3"/>
  <c r="O262" i="3"/>
  <c r="U262" i="3"/>
  <c r="AD262" i="3"/>
  <c r="M262" i="3"/>
  <c r="AE262" i="3"/>
  <c r="AF262" i="3"/>
  <c r="AK262" i="3"/>
  <c r="AM262" i="3"/>
  <c r="V262" i="3"/>
  <c r="P262" i="3"/>
  <c r="R262" i="3"/>
  <c r="T262" i="3"/>
  <c r="BQ259" i="3"/>
  <c r="BB259" i="3"/>
  <c r="BF259" i="3"/>
  <c r="BJ258" i="3" s="1"/>
  <c r="BK258" i="3" s="1"/>
  <c r="AU261" i="3"/>
  <c r="BD258" i="3"/>
  <c r="BG258" i="3"/>
  <c r="BH258" i="3" s="1"/>
  <c r="BI258" i="3" s="1"/>
  <c r="BG259" i="3"/>
  <c r="BH259" i="3" s="1"/>
  <c r="BI259" i="3" s="1"/>
  <c r="BB258" i="3"/>
  <c r="BQ258" i="3"/>
  <c r="BF258" i="3"/>
  <c r="BJ257" i="3" s="1"/>
  <c r="BK257" i="3" s="1"/>
  <c r="Y261" i="3"/>
  <c r="Z261" i="3" s="1"/>
  <c r="AN261" i="3"/>
  <c r="AG261" i="3"/>
  <c r="AV260" i="3"/>
  <c r="X261" i="3"/>
  <c r="AW260" i="3"/>
  <c r="AX260" i="3"/>
  <c r="AY260" i="3" s="1"/>
  <c r="AW261" i="3" l="1"/>
  <c r="AN262" i="3"/>
  <c r="AX261" i="3"/>
  <c r="AY261" i="3" s="1"/>
  <c r="BA260" i="3"/>
  <c r="BF260" i="3" s="1"/>
  <c r="BJ259" i="3" s="1"/>
  <c r="BK259" i="3" s="1"/>
  <c r="AG262" i="3"/>
  <c r="AT261" i="3"/>
  <c r="A264" i="3"/>
  <c r="AR263" i="3"/>
  <c r="C263" i="3"/>
  <c r="D263" i="3"/>
  <c r="AQ263" i="3"/>
  <c r="B263" i="3"/>
  <c r="G263" i="3"/>
  <c r="H263" i="3" s="1"/>
  <c r="BN263" i="3" s="1"/>
  <c r="F263" i="3"/>
  <c r="BM263" i="3" s="1"/>
  <c r="Q263" i="3"/>
  <c r="S263" i="3"/>
  <c r="O263" i="3"/>
  <c r="U263" i="3"/>
  <c r="M263" i="3"/>
  <c r="AE263" i="3"/>
  <c r="AF263" i="3"/>
  <c r="AD263" i="3"/>
  <c r="AK263" i="3"/>
  <c r="AM263" i="3"/>
  <c r="R263" i="3"/>
  <c r="T263" i="3"/>
  <c r="P263" i="3"/>
  <c r="V263" i="3"/>
  <c r="AH262" i="3"/>
  <c r="AX262" i="3" s="1"/>
  <c r="BC260" i="3"/>
  <c r="X262" i="3"/>
  <c r="Y262" i="3"/>
  <c r="Z262" i="3" s="1"/>
  <c r="AO262" i="3"/>
  <c r="BQ260" i="3" l="1"/>
  <c r="BB260" i="3"/>
  <c r="AN263" i="3"/>
  <c r="BD260" i="3"/>
  <c r="BG260" i="3"/>
  <c r="BH260" i="3" s="1"/>
  <c r="BI260" i="3" s="1"/>
  <c r="A265" i="3"/>
  <c r="AR264" i="3"/>
  <c r="AQ264" i="3"/>
  <c r="D264" i="3"/>
  <c r="C264" i="3"/>
  <c r="B264" i="3"/>
  <c r="F264" i="3"/>
  <c r="BM264" i="3" s="1"/>
  <c r="G264" i="3"/>
  <c r="H264" i="3" s="1"/>
  <c r="BN264" i="3" s="1"/>
  <c r="Q264" i="3"/>
  <c r="S264" i="3"/>
  <c r="O264" i="3"/>
  <c r="U264" i="3"/>
  <c r="AD264" i="3"/>
  <c r="AF264" i="3"/>
  <c r="M264" i="3"/>
  <c r="AM264" i="3"/>
  <c r="AK264" i="3"/>
  <c r="AE264" i="3"/>
  <c r="R264" i="3"/>
  <c r="T264" i="3"/>
  <c r="V264" i="3"/>
  <c r="P264" i="3"/>
  <c r="AO263" i="3"/>
  <c r="BA261" i="3"/>
  <c r="AV261" i="3"/>
  <c r="BC261" i="3" s="1"/>
  <c r="Y263" i="3"/>
  <c r="Z263" i="3" s="1"/>
  <c r="AH263" i="3"/>
  <c r="AT262" i="3"/>
  <c r="AW262" i="3"/>
  <c r="AY262" i="3" s="1"/>
  <c r="AG263" i="3"/>
  <c r="AU262" i="3"/>
  <c r="X263" i="3"/>
  <c r="AO264" i="3" l="1"/>
  <c r="AT263" i="3"/>
  <c r="AH264" i="3"/>
  <c r="AU263" i="3"/>
  <c r="X264" i="3"/>
  <c r="AV263" i="3"/>
  <c r="BF261" i="3"/>
  <c r="BJ260" i="3" s="1"/>
  <c r="BK260" i="3" s="1"/>
  <c r="BB261" i="3"/>
  <c r="BQ261" i="3"/>
  <c r="BD261" i="3"/>
  <c r="BG261" i="3"/>
  <c r="BH261" i="3" s="1"/>
  <c r="BI261" i="3" s="1"/>
  <c r="Y264" i="3"/>
  <c r="Z264" i="3" s="1"/>
  <c r="AG264" i="3"/>
  <c r="AW264" i="3" s="1"/>
  <c r="AW263" i="3"/>
  <c r="BA263" i="3" s="1"/>
  <c r="AQ265" i="3"/>
  <c r="A266" i="3"/>
  <c r="C265" i="3"/>
  <c r="D265" i="3"/>
  <c r="AR265" i="3"/>
  <c r="B265" i="3"/>
  <c r="F265" i="3"/>
  <c r="G265" i="3"/>
  <c r="H265" i="3" s="1"/>
  <c r="BN265" i="3" s="1"/>
  <c r="Q265" i="3"/>
  <c r="S265" i="3"/>
  <c r="O265" i="3"/>
  <c r="U265" i="3"/>
  <c r="AF265" i="3"/>
  <c r="AD265" i="3"/>
  <c r="M265" i="3"/>
  <c r="AK265" i="3"/>
  <c r="AE265" i="3"/>
  <c r="AG265" i="3" s="1"/>
  <c r="AM265" i="3"/>
  <c r="T265" i="3"/>
  <c r="V265" i="3"/>
  <c r="R265" i="3"/>
  <c r="P265" i="3"/>
  <c r="AN264" i="3"/>
  <c r="AV262" i="3"/>
  <c r="BC262" i="3" s="1"/>
  <c r="BA262" i="3"/>
  <c r="AX263" i="3"/>
  <c r="AN265" i="3" l="1"/>
  <c r="BM265" i="3"/>
  <c r="AX264" i="3"/>
  <c r="BF263" i="3"/>
  <c r="BQ263" i="3"/>
  <c r="BB263" i="3"/>
  <c r="AY264" i="3"/>
  <c r="AO265" i="3"/>
  <c r="AW265" i="3" s="1"/>
  <c r="BD262" i="3"/>
  <c r="BG262" i="3"/>
  <c r="BH262" i="3" s="1"/>
  <c r="BI262" i="3" s="1"/>
  <c r="AU264" i="3"/>
  <c r="AT264" i="3"/>
  <c r="AR266" i="3"/>
  <c r="B266" i="3"/>
  <c r="AQ266" i="3"/>
  <c r="A267" i="3"/>
  <c r="C266" i="3"/>
  <c r="D266" i="3"/>
  <c r="F266" i="3"/>
  <c r="G266" i="3"/>
  <c r="H266" i="3" s="1"/>
  <c r="Q266" i="3"/>
  <c r="S266" i="3"/>
  <c r="O266" i="3"/>
  <c r="U266" i="3"/>
  <c r="AF266" i="3"/>
  <c r="AD266" i="3"/>
  <c r="M266" i="3"/>
  <c r="AE266" i="3"/>
  <c r="AG266" i="3" s="1"/>
  <c r="AK266" i="3"/>
  <c r="AM266" i="3"/>
  <c r="T266" i="3"/>
  <c r="R266" i="3"/>
  <c r="P266" i="3"/>
  <c r="V266" i="3"/>
  <c r="AH265" i="3"/>
  <c r="AT265" i="3"/>
  <c r="AU265" i="3"/>
  <c r="AY263" i="3"/>
  <c r="BQ262" i="3"/>
  <c r="BF262" i="3"/>
  <c r="BJ261" i="3" s="1"/>
  <c r="BK261" i="3" s="1"/>
  <c r="BB262" i="3"/>
  <c r="Y265" i="3"/>
  <c r="Z265" i="3" s="1"/>
  <c r="BC263" i="3"/>
  <c r="X265" i="3"/>
  <c r="AN266" i="3" l="1"/>
  <c r="Y266" i="3"/>
  <c r="Z266" i="3" s="1"/>
  <c r="BD263" i="3"/>
  <c r="BG263" i="3"/>
  <c r="BH263" i="3" s="1"/>
  <c r="BI263" i="3" s="1"/>
  <c r="BA264" i="3"/>
  <c r="AV264" i="3"/>
  <c r="BC264" i="3" s="1"/>
  <c r="AQ267" i="3"/>
  <c r="B267" i="3"/>
  <c r="A268" i="3"/>
  <c r="AR267" i="3"/>
  <c r="D267" i="3"/>
  <c r="C267" i="3"/>
  <c r="G267" i="3"/>
  <c r="H267" i="3" s="1"/>
  <c r="F267" i="3"/>
  <c r="Q267" i="3"/>
  <c r="S267" i="3"/>
  <c r="O267" i="3"/>
  <c r="U267" i="3"/>
  <c r="AF267" i="3"/>
  <c r="M267" i="3"/>
  <c r="AE267" i="3"/>
  <c r="AD267" i="3"/>
  <c r="AM267" i="3"/>
  <c r="AK267" i="3"/>
  <c r="P267" i="3"/>
  <c r="R267" i="3"/>
  <c r="V267" i="3"/>
  <c r="T267" i="3"/>
  <c r="AO266" i="3"/>
  <c r="AH266" i="3"/>
  <c r="X266" i="3"/>
  <c r="AV265" i="3"/>
  <c r="BN266" i="3"/>
  <c r="AX265" i="3"/>
  <c r="AY265" i="3" s="1"/>
  <c r="BM266" i="3"/>
  <c r="BJ262" i="3"/>
  <c r="BK262" i="3" s="1"/>
  <c r="AX266" i="3" l="1"/>
  <c r="AH267" i="3"/>
  <c r="AN267" i="3"/>
  <c r="AG267" i="3"/>
  <c r="AT267" i="3" s="1"/>
  <c r="AU266" i="3"/>
  <c r="D268" i="3"/>
  <c r="C268" i="3"/>
  <c r="A269" i="3"/>
  <c r="B268" i="3"/>
  <c r="AQ268" i="3"/>
  <c r="AR268" i="3"/>
  <c r="G268" i="3"/>
  <c r="H268" i="3" s="1"/>
  <c r="BN268" i="3" s="1"/>
  <c r="F268" i="3"/>
  <c r="BM268" i="3" s="1"/>
  <c r="Q268" i="3"/>
  <c r="S268" i="3"/>
  <c r="O268" i="3"/>
  <c r="U268" i="3"/>
  <c r="AF268" i="3"/>
  <c r="AE268" i="3"/>
  <c r="M268" i="3"/>
  <c r="AD268" i="3"/>
  <c r="AM268" i="3"/>
  <c r="AK268" i="3"/>
  <c r="R268" i="3"/>
  <c r="T268" i="3"/>
  <c r="V268" i="3"/>
  <c r="P268" i="3"/>
  <c r="AU267" i="3"/>
  <c r="AO267" i="3"/>
  <c r="AX267" i="3" s="1"/>
  <c r="X267" i="3"/>
  <c r="BB264" i="3"/>
  <c r="BF264" i="3"/>
  <c r="BJ263" i="3" s="1"/>
  <c r="BK263" i="3" s="1"/>
  <c r="BQ264" i="3"/>
  <c r="BA265" i="3"/>
  <c r="AT266" i="3"/>
  <c r="BC265" i="3"/>
  <c r="BM267" i="3"/>
  <c r="AW266" i="3"/>
  <c r="AY266" i="3" s="1"/>
  <c r="Y267" i="3"/>
  <c r="Z267" i="3" s="1"/>
  <c r="BD264" i="3"/>
  <c r="BG264" i="3"/>
  <c r="BH264" i="3" s="1"/>
  <c r="BI264" i="3" s="1"/>
  <c r="BN267" i="3"/>
  <c r="AW267" i="3" l="1"/>
  <c r="AO268" i="3"/>
  <c r="AV267" i="3"/>
  <c r="AY267" i="3"/>
  <c r="BA267" i="3"/>
  <c r="AH268" i="3"/>
  <c r="BC267" i="3"/>
  <c r="BD265" i="3"/>
  <c r="BG265" i="3"/>
  <c r="BH265" i="3" s="1"/>
  <c r="BI265" i="3" s="1"/>
  <c r="AG268" i="3"/>
  <c r="AW268" i="3" s="1"/>
  <c r="X268" i="3"/>
  <c r="AR269" i="3"/>
  <c r="B269" i="3"/>
  <c r="AQ269" i="3"/>
  <c r="D269" i="3"/>
  <c r="C269" i="3"/>
  <c r="A270" i="3"/>
  <c r="F269" i="3"/>
  <c r="BM269" i="3" s="1"/>
  <c r="G269" i="3"/>
  <c r="H269" i="3" s="1"/>
  <c r="Q269" i="3"/>
  <c r="S269" i="3"/>
  <c r="O269" i="3"/>
  <c r="U269" i="3"/>
  <c r="AE269" i="3"/>
  <c r="M269" i="3"/>
  <c r="AF269" i="3"/>
  <c r="AD269" i="3"/>
  <c r="AK269" i="3"/>
  <c r="AM269" i="3"/>
  <c r="AN269" i="3" s="1"/>
  <c r="R269" i="3"/>
  <c r="V269" i="3"/>
  <c r="T269" i="3"/>
  <c r="P269" i="3"/>
  <c r="BA266" i="3"/>
  <c r="AV266" i="3"/>
  <c r="BC266" i="3" s="1"/>
  <c r="BF265" i="3"/>
  <c r="BJ264" i="3" s="1"/>
  <c r="BK264" i="3" s="1"/>
  <c r="BQ265" i="3"/>
  <c r="BB265" i="3"/>
  <c r="AN268" i="3"/>
  <c r="Y268" i="3"/>
  <c r="Z268" i="3" s="1"/>
  <c r="Y269" i="3" l="1"/>
  <c r="Z269" i="3" s="1"/>
  <c r="AG269" i="3"/>
  <c r="AH269" i="3"/>
  <c r="AU268" i="3"/>
  <c r="BB266" i="3"/>
  <c r="BF266" i="3"/>
  <c r="BJ265" i="3" s="1"/>
  <c r="BK265" i="3" s="1"/>
  <c r="BQ266" i="3"/>
  <c r="AR270" i="3"/>
  <c r="B270" i="3"/>
  <c r="AQ270" i="3"/>
  <c r="A271" i="3"/>
  <c r="D270" i="3"/>
  <c r="C270" i="3"/>
  <c r="F270" i="3"/>
  <c r="BM270" i="3" s="1"/>
  <c r="G270" i="3"/>
  <c r="H270" i="3" s="1"/>
  <c r="BN270" i="3" s="1"/>
  <c r="Q270" i="3"/>
  <c r="S270" i="3"/>
  <c r="O270" i="3"/>
  <c r="U270" i="3"/>
  <c r="AF270" i="3"/>
  <c r="AD270" i="3"/>
  <c r="M270" i="3"/>
  <c r="AE270" i="3"/>
  <c r="AG270" i="3" s="1"/>
  <c r="AK270" i="3"/>
  <c r="AM270" i="3"/>
  <c r="AN270" i="3" s="1"/>
  <c r="P270" i="3"/>
  <c r="R270" i="3"/>
  <c r="V270" i="3"/>
  <c r="T270" i="3"/>
  <c r="AU269" i="3"/>
  <c r="AO269" i="3"/>
  <c r="X269" i="3"/>
  <c r="AT268" i="3"/>
  <c r="BD267" i="3"/>
  <c r="BG267" i="3"/>
  <c r="BH267" i="3" s="1"/>
  <c r="BI267" i="3" s="1"/>
  <c r="AX268" i="3"/>
  <c r="AY268" i="3" s="1"/>
  <c r="BD266" i="3"/>
  <c r="BG266" i="3"/>
  <c r="BH266" i="3" s="1"/>
  <c r="BI266" i="3" s="1"/>
  <c r="BN269" i="3"/>
  <c r="BF267" i="3"/>
  <c r="BQ267" i="3"/>
  <c r="BB267" i="3"/>
  <c r="AW269" i="3" l="1"/>
  <c r="A272" i="3"/>
  <c r="AR271" i="3"/>
  <c r="C271" i="3"/>
  <c r="D271" i="3"/>
  <c r="AQ271" i="3"/>
  <c r="B271" i="3"/>
  <c r="F271" i="3"/>
  <c r="BM271" i="3" s="1"/>
  <c r="G271" i="3"/>
  <c r="H271" i="3" s="1"/>
  <c r="BN271" i="3" s="1"/>
  <c r="Q271" i="3"/>
  <c r="S271" i="3"/>
  <c r="O271" i="3"/>
  <c r="U271" i="3"/>
  <c r="M271" i="3"/>
  <c r="AE271" i="3"/>
  <c r="AD271" i="3"/>
  <c r="AF271" i="3"/>
  <c r="AM271" i="3"/>
  <c r="AK271" i="3"/>
  <c r="V271" i="3"/>
  <c r="P271" i="3"/>
  <c r="R271" i="3"/>
  <c r="T271" i="3"/>
  <c r="BJ266" i="3"/>
  <c r="BK266" i="3" s="1"/>
  <c r="AH270" i="3"/>
  <c r="AU270" i="3" s="1"/>
  <c r="AO270" i="3"/>
  <c r="X270" i="3"/>
  <c r="Y270" i="3"/>
  <c r="Z270" i="3" s="1"/>
  <c r="AX269" i="3"/>
  <c r="AY269" i="3" s="1"/>
  <c r="AV268" i="3"/>
  <c r="BC268" i="3" s="1"/>
  <c r="BA268" i="3"/>
  <c r="AT269" i="3"/>
  <c r="AW270" i="3" l="1"/>
  <c r="AH271" i="3"/>
  <c r="AO271" i="3"/>
  <c r="X271" i="3"/>
  <c r="Y271" i="3"/>
  <c r="Z271" i="3" s="1"/>
  <c r="AG271" i="3"/>
  <c r="AX270" i="3"/>
  <c r="AY270" i="3" s="1"/>
  <c r="AU271" i="3"/>
  <c r="BA269" i="3"/>
  <c r="AV269" i="3"/>
  <c r="BC269" i="3" s="1"/>
  <c r="BF268" i="3"/>
  <c r="BJ267" i="3" s="1"/>
  <c r="BK267" i="3" s="1"/>
  <c r="BQ268" i="3"/>
  <c r="BB268" i="3"/>
  <c r="BD268" i="3"/>
  <c r="BG268" i="3"/>
  <c r="BH268" i="3" s="1"/>
  <c r="BI268" i="3" s="1"/>
  <c r="AT271" i="3"/>
  <c r="AT270" i="3"/>
  <c r="AN271" i="3"/>
  <c r="A273" i="3"/>
  <c r="AR272" i="3"/>
  <c r="AQ272" i="3"/>
  <c r="C272" i="3"/>
  <c r="D272" i="3"/>
  <c r="B272" i="3"/>
  <c r="G272" i="3"/>
  <c r="H272" i="3" s="1"/>
  <c r="BN272" i="3" s="1"/>
  <c r="F272" i="3"/>
  <c r="BM272" i="3" s="1"/>
  <c r="Q272" i="3"/>
  <c r="S272" i="3"/>
  <c r="O272" i="3"/>
  <c r="U272" i="3"/>
  <c r="AF272" i="3"/>
  <c r="AD272" i="3"/>
  <c r="AE272" i="3"/>
  <c r="M272" i="3"/>
  <c r="AM272" i="3"/>
  <c r="AK272" i="3"/>
  <c r="R272" i="3"/>
  <c r="V272" i="3"/>
  <c r="P272" i="3"/>
  <c r="T272" i="3"/>
  <c r="AX271" i="3" l="1"/>
  <c r="AN272" i="3"/>
  <c r="AW271" i="3"/>
  <c r="BD269" i="3"/>
  <c r="BG269" i="3"/>
  <c r="BH269" i="3" s="1"/>
  <c r="BI269" i="3" s="1"/>
  <c r="X272" i="3"/>
  <c r="BF269" i="3"/>
  <c r="BJ268" i="3" s="1"/>
  <c r="BK268" i="3" s="1"/>
  <c r="BQ269" i="3"/>
  <c r="BB269" i="3"/>
  <c r="AY271" i="3"/>
  <c r="AV271" i="3"/>
  <c r="BA271" i="3"/>
  <c r="AH272" i="3"/>
  <c r="AX272" i="3" s="1"/>
  <c r="Y272" i="3"/>
  <c r="Z272" i="3" s="1"/>
  <c r="AR273" i="3"/>
  <c r="B273" i="3"/>
  <c r="AQ273" i="3"/>
  <c r="A274" i="3"/>
  <c r="D273" i="3"/>
  <c r="C273" i="3"/>
  <c r="F273" i="3"/>
  <c r="BM273" i="3" s="1"/>
  <c r="G273" i="3"/>
  <c r="H273" i="3" s="1"/>
  <c r="BN273" i="3" s="1"/>
  <c r="Q273" i="3"/>
  <c r="S273" i="3"/>
  <c r="O273" i="3"/>
  <c r="U273" i="3"/>
  <c r="AD273" i="3"/>
  <c r="AE273" i="3"/>
  <c r="AF273" i="3"/>
  <c r="M273" i="3"/>
  <c r="AM273" i="3"/>
  <c r="AK273" i="3"/>
  <c r="AO273" i="3" s="1"/>
  <c r="P273" i="3"/>
  <c r="R273" i="3"/>
  <c r="V273" i="3"/>
  <c r="T273" i="3"/>
  <c r="AO272" i="3"/>
  <c r="AG272" i="3"/>
  <c r="BA270" i="3"/>
  <c r="AV270" i="3"/>
  <c r="BC270" i="3" s="1"/>
  <c r="BC271" i="3" l="1"/>
  <c r="AG273" i="3"/>
  <c r="AU272" i="3"/>
  <c r="BD270" i="3"/>
  <c r="BG270" i="3"/>
  <c r="BH270" i="3" s="1"/>
  <c r="BI270" i="3" s="1"/>
  <c r="BB270" i="3"/>
  <c r="BQ270" i="3"/>
  <c r="BF270" i="3"/>
  <c r="BJ269" i="3" s="1"/>
  <c r="BK269" i="3" s="1"/>
  <c r="AW272" i="3"/>
  <c r="AY272" i="3" s="1"/>
  <c r="AN273" i="3"/>
  <c r="BD271" i="3"/>
  <c r="BG271" i="3"/>
  <c r="BH271" i="3" s="1"/>
  <c r="BI271" i="3" s="1"/>
  <c r="AT272" i="3"/>
  <c r="AT273" i="3"/>
  <c r="X273" i="3"/>
  <c r="BF271" i="3"/>
  <c r="BJ270" i="3" s="1"/>
  <c r="BK270" i="3" s="1"/>
  <c r="BQ271" i="3"/>
  <c r="BB271" i="3"/>
  <c r="Y273" i="3"/>
  <c r="Z273" i="3" s="1"/>
  <c r="AH273" i="3"/>
  <c r="AR274" i="3"/>
  <c r="B274" i="3"/>
  <c r="AQ274" i="3"/>
  <c r="A275" i="3"/>
  <c r="C274" i="3"/>
  <c r="D274" i="3"/>
  <c r="G274" i="3"/>
  <c r="H274" i="3" s="1"/>
  <c r="BN274" i="3" s="1"/>
  <c r="F274" i="3"/>
  <c r="BM274" i="3" s="1"/>
  <c r="Q274" i="3"/>
  <c r="S274" i="3"/>
  <c r="O274" i="3"/>
  <c r="U274" i="3"/>
  <c r="AF274" i="3"/>
  <c r="AM274" i="3"/>
  <c r="AK274" i="3"/>
  <c r="AD274" i="3"/>
  <c r="AE274" i="3"/>
  <c r="M274" i="3"/>
  <c r="P274" i="3"/>
  <c r="R274" i="3"/>
  <c r="T274" i="3"/>
  <c r="V274" i="3"/>
  <c r="AG274" i="3" l="1"/>
  <c r="AN274" i="3"/>
  <c r="Y274" i="3"/>
  <c r="Z274" i="3" s="1"/>
  <c r="AW273" i="3"/>
  <c r="AX273" i="3"/>
  <c r="AV272" i="3"/>
  <c r="BC272" i="3" s="1"/>
  <c r="BA272" i="3"/>
  <c r="AQ275" i="3"/>
  <c r="B275" i="3"/>
  <c r="A276" i="3"/>
  <c r="AR275" i="3"/>
  <c r="D275" i="3"/>
  <c r="C275" i="3"/>
  <c r="F275" i="3"/>
  <c r="G275" i="3"/>
  <c r="H275" i="3" s="1"/>
  <c r="Q275" i="3"/>
  <c r="S275" i="3"/>
  <c r="O275" i="3"/>
  <c r="U275" i="3"/>
  <c r="AF275" i="3"/>
  <c r="AD275" i="3"/>
  <c r="AE275" i="3"/>
  <c r="AG275" i="3" s="1"/>
  <c r="M275" i="3"/>
  <c r="AM275" i="3"/>
  <c r="AK275" i="3"/>
  <c r="P275" i="3"/>
  <c r="R275" i="3"/>
  <c r="V275" i="3"/>
  <c r="T275" i="3"/>
  <c r="AH274" i="3"/>
  <c r="AU274" i="3" s="1"/>
  <c r="AO274" i="3"/>
  <c r="AU273" i="3"/>
  <c r="AV273" i="3" s="1"/>
  <c r="X274" i="3"/>
  <c r="AY273" i="3" l="1"/>
  <c r="AO275" i="3"/>
  <c r="AW274" i="3"/>
  <c r="BC273" i="3"/>
  <c r="BD273" i="3"/>
  <c r="BG273" i="3"/>
  <c r="BH273" i="3" s="1"/>
  <c r="BI273" i="3" s="1"/>
  <c r="Y275" i="3"/>
  <c r="Z275" i="3" s="1"/>
  <c r="AH275" i="3"/>
  <c r="X275" i="3"/>
  <c r="AX274" i="3"/>
  <c r="AY274" i="3" s="1"/>
  <c r="BA273" i="3"/>
  <c r="C276" i="3"/>
  <c r="D276" i="3"/>
  <c r="AQ276" i="3"/>
  <c r="A277" i="3"/>
  <c r="B276" i="3"/>
  <c r="AR276" i="3"/>
  <c r="G276" i="3"/>
  <c r="H276" i="3" s="1"/>
  <c r="F276" i="3"/>
  <c r="Q276" i="3"/>
  <c r="S276" i="3"/>
  <c r="O276" i="3"/>
  <c r="U276" i="3"/>
  <c r="AF276" i="3"/>
  <c r="M276" i="3"/>
  <c r="AD276" i="3"/>
  <c r="AE276" i="3"/>
  <c r="AG276" i="3" s="1"/>
  <c r="AK276" i="3"/>
  <c r="AM276" i="3"/>
  <c r="R276" i="3"/>
  <c r="V276" i="3"/>
  <c r="P276" i="3"/>
  <c r="T276" i="3"/>
  <c r="AN275" i="3"/>
  <c r="BQ272" i="3"/>
  <c r="BB272" i="3"/>
  <c r="BF272" i="3"/>
  <c r="BJ271" i="3" s="1"/>
  <c r="BK271" i="3" s="1"/>
  <c r="BD272" i="3"/>
  <c r="BG272" i="3"/>
  <c r="BH272" i="3" s="1"/>
  <c r="BI272" i="3" s="1"/>
  <c r="BN275" i="3"/>
  <c r="AT274" i="3"/>
  <c r="BM275" i="3"/>
  <c r="AO276" i="3" l="1"/>
  <c r="AX275" i="3"/>
  <c r="BB273" i="3"/>
  <c r="BF273" i="3"/>
  <c r="BJ272" i="3" s="1"/>
  <c r="BK272" i="3" s="1"/>
  <c r="BQ273" i="3"/>
  <c r="AV274" i="3"/>
  <c r="BC274" i="3" s="1"/>
  <c r="BA274" i="3"/>
  <c r="AN276" i="3"/>
  <c r="AH276" i="3"/>
  <c r="AT276" i="3" s="1"/>
  <c r="AT275" i="3"/>
  <c r="Y276" i="3"/>
  <c r="Z276" i="3" s="1"/>
  <c r="X276" i="3"/>
  <c r="AW275" i="3"/>
  <c r="AY275" i="3" s="1"/>
  <c r="AR277" i="3"/>
  <c r="B277" i="3"/>
  <c r="AQ277" i="3"/>
  <c r="D277" i="3"/>
  <c r="C277" i="3"/>
  <c r="A278" i="3"/>
  <c r="F277" i="3"/>
  <c r="BM277" i="3" s="1"/>
  <c r="G277" i="3"/>
  <c r="H277" i="3" s="1"/>
  <c r="BN277" i="3" s="1"/>
  <c r="Q277" i="3"/>
  <c r="S277" i="3"/>
  <c r="O277" i="3"/>
  <c r="U277" i="3"/>
  <c r="AF277" i="3"/>
  <c r="AD277" i="3"/>
  <c r="M277" i="3"/>
  <c r="AM277" i="3"/>
  <c r="AK277" i="3"/>
  <c r="AE277" i="3"/>
  <c r="AG277" i="3" s="1"/>
  <c r="V277" i="3"/>
  <c r="P277" i="3"/>
  <c r="T277" i="3"/>
  <c r="R277" i="3"/>
  <c r="BM276" i="3"/>
  <c r="BN276" i="3"/>
  <c r="AU275" i="3"/>
  <c r="AO277" i="3" l="1"/>
  <c r="AH277" i="3"/>
  <c r="AV275" i="3"/>
  <c r="BC275" i="3" s="1"/>
  <c r="BA275" i="3"/>
  <c r="AT277" i="3"/>
  <c r="AN277" i="3"/>
  <c r="X277" i="3"/>
  <c r="AX276" i="3"/>
  <c r="BQ274" i="3"/>
  <c r="BB274" i="3"/>
  <c r="BF274" i="3"/>
  <c r="BJ273" i="3" s="1"/>
  <c r="BK273" i="3" s="1"/>
  <c r="AW276" i="3"/>
  <c r="AY276" i="3" s="1"/>
  <c r="BD274" i="3"/>
  <c r="BG274" i="3"/>
  <c r="BH274" i="3" s="1"/>
  <c r="BI274" i="3" s="1"/>
  <c r="AR278" i="3"/>
  <c r="B278" i="3"/>
  <c r="AQ278" i="3"/>
  <c r="A279" i="3"/>
  <c r="D278" i="3"/>
  <c r="C278" i="3"/>
  <c r="G278" i="3"/>
  <c r="H278" i="3" s="1"/>
  <c r="BN278" i="3" s="1"/>
  <c r="F278" i="3"/>
  <c r="BM278" i="3" s="1"/>
  <c r="Q278" i="3"/>
  <c r="S278" i="3"/>
  <c r="O278" i="3"/>
  <c r="U278" i="3"/>
  <c r="AF278" i="3"/>
  <c r="AD278" i="3"/>
  <c r="AE278" i="3"/>
  <c r="M278" i="3"/>
  <c r="AK278" i="3"/>
  <c r="AM278" i="3"/>
  <c r="V278" i="3"/>
  <c r="P278" i="3"/>
  <c r="T278" i="3"/>
  <c r="R278" i="3"/>
  <c r="Y277" i="3"/>
  <c r="Z277" i="3" s="1"/>
  <c r="AU277" i="3"/>
  <c r="AU276" i="3"/>
  <c r="AV276" i="3" s="1"/>
  <c r="AN278" i="3" l="1"/>
  <c r="AH278" i="3"/>
  <c r="BC276" i="3"/>
  <c r="BD276" i="3"/>
  <c r="BG276" i="3"/>
  <c r="BH276" i="3" s="1"/>
  <c r="BI276" i="3" s="1"/>
  <c r="AG278" i="3"/>
  <c r="AV277" i="3"/>
  <c r="BA276" i="3"/>
  <c r="BD275" i="3"/>
  <c r="BG275" i="3"/>
  <c r="BH275" i="3" s="1"/>
  <c r="BI275" i="3" s="1"/>
  <c r="A280" i="3"/>
  <c r="AR279" i="3"/>
  <c r="D279" i="3"/>
  <c r="C279" i="3"/>
  <c r="AQ279" i="3"/>
  <c r="B279" i="3"/>
  <c r="F279" i="3"/>
  <c r="BM279" i="3" s="1"/>
  <c r="G279" i="3"/>
  <c r="H279" i="3" s="1"/>
  <c r="Q279" i="3"/>
  <c r="S279" i="3"/>
  <c r="O279" i="3"/>
  <c r="U279" i="3"/>
  <c r="AD279" i="3"/>
  <c r="M279" i="3"/>
  <c r="AF279" i="3"/>
  <c r="AE279" i="3"/>
  <c r="AG279" i="3" s="1"/>
  <c r="AM279" i="3"/>
  <c r="AK279" i="3"/>
  <c r="T279" i="3"/>
  <c r="P279" i="3"/>
  <c r="R279" i="3"/>
  <c r="V279" i="3"/>
  <c r="AX277" i="3"/>
  <c r="X278" i="3"/>
  <c r="Y278" i="3"/>
  <c r="Z278" i="3" s="1"/>
  <c r="BF275" i="3"/>
  <c r="BJ274" i="3" s="1"/>
  <c r="BK274" i="3" s="1"/>
  <c r="BB275" i="3"/>
  <c r="BQ275" i="3"/>
  <c r="AU278" i="3"/>
  <c r="AO278" i="3"/>
  <c r="AT278" i="3"/>
  <c r="AW277" i="3"/>
  <c r="AO279" i="3" l="1"/>
  <c r="Y279" i="3"/>
  <c r="Z279" i="3" s="1"/>
  <c r="AX278" i="3"/>
  <c r="BF276" i="3"/>
  <c r="BJ275" i="3" s="1"/>
  <c r="BK275" i="3" s="1"/>
  <c r="BB276" i="3"/>
  <c r="BQ276" i="3"/>
  <c r="AN279" i="3"/>
  <c r="X279" i="3"/>
  <c r="AY277" i="3"/>
  <c r="BC277" i="3" s="1"/>
  <c r="A281" i="3"/>
  <c r="AR280" i="3"/>
  <c r="AQ280" i="3"/>
  <c r="D280" i="3"/>
  <c r="C280" i="3"/>
  <c r="B280" i="3"/>
  <c r="F280" i="3"/>
  <c r="G280" i="3"/>
  <c r="H280" i="3" s="1"/>
  <c r="Q280" i="3"/>
  <c r="S280" i="3"/>
  <c r="O280" i="3"/>
  <c r="U280" i="3"/>
  <c r="AF280" i="3"/>
  <c r="AE280" i="3"/>
  <c r="M280" i="3"/>
  <c r="AD280" i="3"/>
  <c r="AH280" i="3" s="1"/>
  <c r="AM280" i="3"/>
  <c r="AK280" i="3"/>
  <c r="V280" i="3"/>
  <c r="R280" i="3"/>
  <c r="T280" i="3"/>
  <c r="P280" i="3"/>
  <c r="AV278" i="3"/>
  <c r="AH279" i="3"/>
  <c r="BA277" i="3"/>
  <c r="AW278" i="3"/>
  <c r="BN279" i="3"/>
  <c r="AY278" i="3" l="1"/>
  <c r="X280" i="3"/>
  <c r="AN280" i="3"/>
  <c r="BD277" i="3"/>
  <c r="BG277" i="3"/>
  <c r="BH277" i="3" s="1"/>
  <c r="BI277" i="3" s="1"/>
  <c r="AO280" i="3"/>
  <c r="AT280" i="3"/>
  <c r="BN280" i="3"/>
  <c r="BC278" i="3"/>
  <c r="Y280" i="3"/>
  <c r="Z280" i="3" s="1"/>
  <c r="AU280" i="3"/>
  <c r="AR281" i="3"/>
  <c r="AQ281" i="3"/>
  <c r="B281" i="3"/>
  <c r="A282" i="3"/>
  <c r="D281" i="3"/>
  <c r="C281" i="3"/>
  <c r="G281" i="3"/>
  <c r="H281" i="3" s="1"/>
  <c r="F281" i="3"/>
  <c r="Q281" i="3"/>
  <c r="S281" i="3"/>
  <c r="O281" i="3"/>
  <c r="U281" i="3"/>
  <c r="AK281" i="3"/>
  <c r="M281" i="3"/>
  <c r="AD281" i="3"/>
  <c r="AF281" i="3"/>
  <c r="AM281" i="3"/>
  <c r="AN281" i="3" s="1"/>
  <c r="AE281" i="3"/>
  <c r="T281" i="3"/>
  <c r="R281" i="3"/>
  <c r="P281" i="3"/>
  <c r="V281" i="3"/>
  <c r="AG280" i="3"/>
  <c r="BB277" i="3"/>
  <c r="BQ277" i="3"/>
  <c r="BF277" i="3"/>
  <c r="BJ276" i="3" s="1"/>
  <c r="BK276" i="3" s="1"/>
  <c r="AX279" i="3"/>
  <c r="AT279" i="3"/>
  <c r="BA278" i="3"/>
  <c r="AW279" i="3"/>
  <c r="BM280" i="3"/>
  <c r="AU279" i="3"/>
  <c r="AX280" i="3" l="1"/>
  <c r="AH281" i="3"/>
  <c r="AY279" i="3"/>
  <c r="Y281" i="3"/>
  <c r="Z281" i="3" s="1"/>
  <c r="AR282" i="3"/>
  <c r="B282" i="3"/>
  <c r="AQ282" i="3"/>
  <c r="A283" i="3"/>
  <c r="C282" i="3"/>
  <c r="D282" i="3"/>
  <c r="G282" i="3"/>
  <c r="H282" i="3" s="1"/>
  <c r="F282" i="3"/>
  <c r="BM282" i="3" s="1"/>
  <c r="Q282" i="3"/>
  <c r="S282" i="3"/>
  <c r="O282" i="3"/>
  <c r="U282" i="3"/>
  <c r="AF282" i="3"/>
  <c r="AD282" i="3"/>
  <c r="M282" i="3"/>
  <c r="AE282" i="3"/>
  <c r="AK282" i="3"/>
  <c r="AM282" i="3"/>
  <c r="R282" i="3"/>
  <c r="V282" i="3"/>
  <c r="P282" i="3"/>
  <c r="T282" i="3"/>
  <c r="AT281" i="3"/>
  <c r="AU281" i="3"/>
  <c r="BA279" i="3"/>
  <c r="AV279" i="3"/>
  <c r="BC279" i="3" s="1"/>
  <c r="AO281" i="3"/>
  <c r="BA280" i="3"/>
  <c r="AV280" i="3"/>
  <c r="AG281" i="3"/>
  <c r="X281" i="3"/>
  <c r="BQ278" i="3"/>
  <c r="BB278" i="3"/>
  <c r="BF278" i="3"/>
  <c r="BJ277" i="3" s="1"/>
  <c r="BK277" i="3" s="1"/>
  <c r="BD278" i="3"/>
  <c r="BG278" i="3"/>
  <c r="BH278" i="3" s="1"/>
  <c r="BI278" i="3" s="1"/>
  <c r="BM281" i="3"/>
  <c r="AW280" i="3"/>
  <c r="AY280" i="3" s="1"/>
  <c r="BN281" i="3"/>
  <c r="BN282" i="3" l="1"/>
  <c r="BC280" i="3"/>
  <c r="AO282" i="3"/>
  <c r="AX281" i="3"/>
  <c r="BD279" i="3"/>
  <c r="BG279" i="3"/>
  <c r="BH279" i="3" s="1"/>
  <c r="BI279" i="3" s="1"/>
  <c r="Y282" i="3"/>
  <c r="Z282" i="3" s="1"/>
  <c r="BF280" i="3"/>
  <c r="BB280" i="3"/>
  <c r="BQ280" i="3"/>
  <c r="AQ283" i="3"/>
  <c r="B283" i="3"/>
  <c r="A284" i="3"/>
  <c r="AR283" i="3"/>
  <c r="D283" i="3"/>
  <c r="C283" i="3"/>
  <c r="F283" i="3"/>
  <c r="G283" i="3"/>
  <c r="H283" i="3" s="1"/>
  <c r="Q283" i="3"/>
  <c r="S283" i="3"/>
  <c r="O283" i="3"/>
  <c r="U283" i="3"/>
  <c r="M283" i="3"/>
  <c r="AK283" i="3"/>
  <c r="AE283" i="3"/>
  <c r="AD283" i="3"/>
  <c r="AF283" i="3"/>
  <c r="AM283" i="3"/>
  <c r="V283" i="3"/>
  <c r="T283" i="3"/>
  <c r="R283" i="3"/>
  <c r="P283" i="3"/>
  <c r="AN282" i="3"/>
  <c r="AG282" i="3"/>
  <c r="BD280" i="3"/>
  <c r="BG280" i="3"/>
  <c r="BH280" i="3" s="1"/>
  <c r="BI280" i="3" s="1"/>
  <c r="BQ279" i="3"/>
  <c r="BB279" i="3"/>
  <c r="BF279" i="3"/>
  <c r="BJ278" i="3" s="1"/>
  <c r="BK278" i="3" s="1"/>
  <c r="X282" i="3"/>
  <c r="AV281" i="3"/>
  <c r="AW281" i="3"/>
  <c r="AY281" i="3" s="1"/>
  <c r="AH282" i="3"/>
  <c r="AN283" i="3" l="1"/>
  <c r="BN283" i="3"/>
  <c r="BM283" i="3"/>
  <c r="AW282" i="3"/>
  <c r="AH283" i="3"/>
  <c r="AU283" i="3" s="1"/>
  <c r="Y283" i="3"/>
  <c r="Z283" i="3" s="1"/>
  <c r="AX282" i="3"/>
  <c r="AY282" i="3" s="1"/>
  <c r="AU282" i="3"/>
  <c r="AT283" i="3"/>
  <c r="AT282" i="3"/>
  <c r="C284" i="3"/>
  <c r="D284" i="3"/>
  <c r="A285" i="3"/>
  <c r="B284" i="3"/>
  <c r="AR284" i="3"/>
  <c r="AQ284" i="3"/>
  <c r="G284" i="3"/>
  <c r="H284" i="3" s="1"/>
  <c r="F284" i="3"/>
  <c r="Q284" i="3"/>
  <c r="S284" i="3"/>
  <c r="O284" i="3"/>
  <c r="U284" i="3"/>
  <c r="AD284" i="3"/>
  <c r="AF284" i="3"/>
  <c r="M284" i="3"/>
  <c r="AE284" i="3"/>
  <c r="AG284" i="3" s="1"/>
  <c r="AK284" i="3"/>
  <c r="AM284" i="3"/>
  <c r="R284" i="3"/>
  <c r="P284" i="3"/>
  <c r="V284" i="3"/>
  <c r="T284" i="3"/>
  <c r="AO283" i="3"/>
  <c r="BA281" i="3"/>
  <c r="BC281" i="3"/>
  <c r="AG283" i="3"/>
  <c r="BJ279" i="3"/>
  <c r="BK279" i="3" s="1"/>
  <c r="X283" i="3"/>
  <c r="BN284" i="3" l="1"/>
  <c r="BM284" i="3"/>
  <c r="AO284" i="3"/>
  <c r="BQ281" i="3"/>
  <c r="BF281" i="3"/>
  <c r="BJ280" i="3" s="1"/>
  <c r="BK280" i="3" s="1"/>
  <c r="BB281" i="3"/>
  <c r="Y284" i="3"/>
  <c r="Z284" i="3" s="1"/>
  <c r="BA282" i="3"/>
  <c r="AV282" i="3"/>
  <c r="BC282" i="3" s="1"/>
  <c r="AW284" i="3"/>
  <c r="AV283" i="3"/>
  <c r="AW283" i="3"/>
  <c r="AY283" i="3" s="1"/>
  <c r="AT284" i="3"/>
  <c r="AR285" i="3"/>
  <c r="B285" i="3"/>
  <c r="AQ285" i="3"/>
  <c r="C285" i="3"/>
  <c r="D285" i="3"/>
  <c r="A286" i="3"/>
  <c r="G285" i="3"/>
  <c r="H285" i="3" s="1"/>
  <c r="BN285" i="3" s="1"/>
  <c r="F285" i="3"/>
  <c r="Q285" i="3"/>
  <c r="S285" i="3"/>
  <c r="O285" i="3"/>
  <c r="U285" i="3"/>
  <c r="AF285" i="3"/>
  <c r="AE285" i="3"/>
  <c r="AD285" i="3"/>
  <c r="AM285" i="3"/>
  <c r="AK285" i="3"/>
  <c r="M285" i="3"/>
  <c r="R285" i="3"/>
  <c r="P285" i="3"/>
  <c r="V285" i="3"/>
  <c r="T285" i="3"/>
  <c r="AN284" i="3"/>
  <c r="AH284" i="3"/>
  <c r="AX283" i="3"/>
  <c r="X284" i="3"/>
  <c r="BD281" i="3"/>
  <c r="BG281" i="3"/>
  <c r="BH281" i="3" s="1"/>
  <c r="BI281" i="3" s="1"/>
  <c r="AO285" i="3" l="1"/>
  <c r="AH285" i="3"/>
  <c r="BC283" i="3"/>
  <c r="AG285" i="3"/>
  <c r="BM285" i="3"/>
  <c r="AT285" i="3"/>
  <c r="BD282" i="3"/>
  <c r="BG282" i="3"/>
  <c r="BH282" i="3" s="1"/>
  <c r="BI282" i="3" s="1"/>
  <c r="AU285" i="3"/>
  <c r="AN285" i="3"/>
  <c r="AX285" i="3" s="1"/>
  <c r="BA283" i="3"/>
  <c r="X285" i="3"/>
  <c r="BQ282" i="3"/>
  <c r="BF282" i="3"/>
  <c r="BJ281" i="3" s="1"/>
  <c r="BK281" i="3" s="1"/>
  <c r="BB282" i="3"/>
  <c r="AX284" i="3"/>
  <c r="AY284" i="3" s="1"/>
  <c r="AU284" i="3"/>
  <c r="AV284" i="3" s="1"/>
  <c r="AR286" i="3"/>
  <c r="B286" i="3"/>
  <c r="AQ286" i="3"/>
  <c r="A287" i="3"/>
  <c r="C286" i="3"/>
  <c r="D286" i="3"/>
  <c r="G286" i="3"/>
  <c r="H286" i="3" s="1"/>
  <c r="BN286" i="3" s="1"/>
  <c r="F286" i="3"/>
  <c r="BM286" i="3" s="1"/>
  <c r="Q286" i="3"/>
  <c r="S286" i="3"/>
  <c r="O286" i="3"/>
  <c r="U286" i="3"/>
  <c r="AE286" i="3"/>
  <c r="AF286" i="3"/>
  <c r="AD286" i="3"/>
  <c r="AK286" i="3"/>
  <c r="AM286" i="3"/>
  <c r="M286" i="3"/>
  <c r="P286" i="3"/>
  <c r="V286" i="3"/>
  <c r="T286" i="3"/>
  <c r="R286" i="3"/>
  <c r="Y285" i="3"/>
  <c r="Z285" i="3" s="1"/>
  <c r="X286" i="3" l="1"/>
  <c r="AN286" i="3"/>
  <c r="AG286" i="3"/>
  <c r="BC284" i="3"/>
  <c r="BA284" i="3"/>
  <c r="BQ284" i="3" s="1"/>
  <c r="BF284" i="3"/>
  <c r="BF283" i="3"/>
  <c r="BJ282" i="3" s="1"/>
  <c r="BK282" i="3" s="1"/>
  <c r="BQ283" i="3"/>
  <c r="BB283" i="3"/>
  <c r="BD284" i="3"/>
  <c r="BG284" i="3"/>
  <c r="BH284" i="3" s="1"/>
  <c r="BI284" i="3" s="1"/>
  <c r="AO286" i="3"/>
  <c r="Y286" i="3"/>
  <c r="Z286" i="3" s="1"/>
  <c r="A288" i="3"/>
  <c r="AR287" i="3"/>
  <c r="D287" i="3"/>
  <c r="C287" i="3"/>
  <c r="AQ287" i="3"/>
  <c r="B287" i="3"/>
  <c r="G287" i="3"/>
  <c r="H287" i="3" s="1"/>
  <c r="F287" i="3"/>
  <c r="BM287" i="3" s="1"/>
  <c r="Q287" i="3"/>
  <c r="S287" i="3"/>
  <c r="O287" i="3"/>
  <c r="U287" i="3"/>
  <c r="M287" i="3"/>
  <c r="AD287" i="3"/>
  <c r="AE287" i="3"/>
  <c r="AF287" i="3"/>
  <c r="AM287" i="3"/>
  <c r="AK287" i="3"/>
  <c r="V287" i="3"/>
  <c r="R287" i="3"/>
  <c r="P287" i="3"/>
  <c r="T287" i="3"/>
  <c r="AV285" i="3"/>
  <c r="AW285" i="3"/>
  <c r="AY285" i="3" s="1"/>
  <c r="AH286" i="3"/>
  <c r="AU286" i="3" s="1"/>
  <c r="BD283" i="3"/>
  <c r="BG283" i="3"/>
  <c r="BH283" i="3" s="1"/>
  <c r="BI283" i="3" s="1"/>
  <c r="AO287" i="3" l="1"/>
  <c r="BB284" i="3"/>
  <c r="Y287" i="3"/>
  <c r="Z287" i="3" s="1"/>
  <c r="AG287" i="3"/>
  <c r="X287" i="3"/>
  <c r="A289" i="3"/>
  <c r="AR288" i="3"/>
  <c r="AQ288" i="3"/>
  <c r="D288" i="3"/>
  <c r="C288" i="3"/>
  <c r="B288" i="3"/>
  <c r="F288" i="3"/>
  <c r="BM288" i="3" s="1"/>
  <c r="G288" i="3"/>
  <c r="H288" i="3" s="1"/>
  <c r="BN288" i="3" s="1"/>
  <c r="Q288" i="3"/>
  <c r="S288" i="3"/>
  <c r="O288" i="3"/>
  <c r="U288" i="3"/>
  <c r="AF288" i="3"/>
  <c r="AD288" i="3"/>
  <c r="M288" i="3"/>
  <c r="AE288" i="3"/>
  <c r="AM288" i="3"/>
  <c r="AK288" i="3"/>
  <c r="R288" i="3"/>
  <c r="P288" i="3"/>
  <c r="T288" i="3"/>
  <c r="V288" i="3"/>
  <c r="AX286" i="3"/>
  <c r="AT286" i="3"/>
  <c r="BC285" i="3"/>
  <c r="BJ283" i="3"/>
  <c r="BK283" i="3" s="1"/>
  <c r="AN287" i="3"/>
  <c r="AH287" i="3"/>
  <c r="BA285" i="3"/>
  <c r="BN287" i="3"/>
  <c r="AW286" i="3"/>
  <c r="AO288" i="3" l="1"/>
  <c r="AX287" i="3"/>
  <c r="AG288" i="3"/>
  <c r="X288" i="3"/>
  <c r="AW287" i="3"/>
  <c r="AY287" i="3" s="1"/>
  <c r="BF285" i="3"/>
  <c r="BJ284" i="3" s="1"/>
  <c r="BK284" i="3" s="1"/>
  <c r="BB285" i="3"/>
  <c r="BQ285" i="3"/>
  <c r="AH288" i="3"/>
  <c r="AX288" i="3" s="1"/>
  <c r="BD285" i="3"/>
  <c r="BG285" i="3"/>
  <c r="BH285" i="3" s="1"/>
  <c r="BI285" i="3" s="1"/>
  <c r="AV286" i="3"/>
  <c r="BA286" i="3"/>
  <c r="AT287" i="3"/>
  <c r="Y288" i="3"/>
  <c r="Z288" i="3" s="1"/>
  <c r="AY286" i="3"/>
  <c r="AU287" i="3"/>
  <c r="AN288" i="3"/>
  <c r="A290" i="3"/>
  <c r="D289" i="3"/>
  <c r="C289" i="3"/>
  <c r="AR289" i="3"/>
  <c r="B289" i="3"/>
  <c r="AQ289" i="3"/>
  <c r="G289" i="3"/>
  <c r="H289" i="3" s="1"/>
  <c r="BN289" i="3" s="1"/>
  <c r="F289" i="3"/>
  <c r="BM289" i="3" s="1"/>
  <c r="Q289" i="3"/>
  <c r="S289" i="3"/>
  <c r="O289" i="3"/>
  <c r="U289" i="3"/>
  <c r="AF289" i="3"/>
  <c r="AE289" i="3"/>
  <c r="AD289" i="3"/>
  <c r="M289" i="3"/>
  <c r="AK289" i="3"/>
  <c r="AM289" i="3"/>
  <c r="AN289" i="3" s="1"/>
  <c r="R289" i="3"/>
  <c r="V289" i="3"/>
  <c r="T289" i="3"/>
  <c r="P289" i="3"/>
  <c r="AU288" i="3" l="1"/>
  <c r="AH289" i="3"/>
  <c r="BC286" i="3"/>
  <c r="AV287" i="3"/>
  <c r="BC287" i="3" s="1"/>
  <c r="BA287" i="3"/>
  <c r="AR290" i="3"/>
  <c r="B290" i="3"/>
  <c r="AQ290" i="3"/>
  <c r="A291" i="3"/>
  <c r="C290" i="3"/>
  <c r="D290" i="3"/>
  <c r="F290" i="3"/>
  <c r="BM290" i="3" s="1"/>
  <c r="G290" i="3"/>
  <c r="H290" i="3" s="1"/>
  <c r="BN290" i="3" s="1"/>
  <c r="Q290" i="3"/>
  <c r="S290" i="3"/>
  <c r="O290" i="3"/>
  <c r="U290" i="3"/>
  <c r="AF290" i="3"/>
  <c r="M290" i="3"/>
  <c r="AE290" i="3"/>
  <c r="AD290" i="3"/>
  <c r="AM290" i="3"/>
  <c r="AK290" i="3"/>
  <c r="P290" i="3"/>
  <c r="V290" i="3"/>
  <c r="R290" i="3"/>
  <c r="T290" i="3"/>
  <c r="AT288" i="3"/>
  <c r="AX289" i="3"/>
  <c r="X289" i="3"/>
  <c r="BF286" i="3"/>
  <c r="BJ285" i="3" s="1"/>
  <c r="BK285" i="3" s="1"/>
  <c r="BQ286" i="3"/>
  <c r="BB286" i="3"/>
  <c r="Y289" i="3"/>
  <c r="Z289" i="3" s="1"/>
  <c r="AW288" i="3"/>
  <c r="AY288" i="3" s="1"/>
  <c r="AO289" i="3"/>
  <c r="AG289" i="3"/>
  <c r="AW289" i="3" l="1"/>
  <c r="AY289" i="3"/>
  <c r="AO290" i="3"/>
  <c r="AH290" i="3"/>
  <c r="BD287" i="3"/>
  <c r="BG287" i="3"/>
  <c r="BH287" i="3" s="1"/>
  <c r="BI287" i="3" s="1"/>
  <c r="X290" i="3"/>
  <c r="AV288" i="3"/>
  <c r="BC288" i="3" s="1"/>
  <c r="BA288" i="3"/>
  <c r="Y290" i="3"/>
  <c r="Z290" i="3" s="1"/>
  <c r="AQ291" i="3"/>
  <c r="B291" i="3"/>
  <c r="A292" i="3"/>
  <c r="AR291" i="3"/>
  <c r="D291" i="3"/>
  <c r="C291" i="3"/>
  <c r="G291" i="3"/>
  <c r="H291" i="3" s="1"/>
  <c r="BN291" i="3" s="1"/>
  <c r="F291" i="3"/>
  <c r="Q291" i="3"/>
  <c r="S291" i="3"/>
  <c r="O291" i="3"/>
  <c r="U291" i="3"/>
  <c r="M291" i="3"/>
  <c r="AF291" i="3"/>
  <c r="AD291" i="3"/>
  <c r="AE291" i="3"/>
  <c r="AM291" i="3"/>
  <c r="AK291" i="3"/>
  <c r="T291" i="3"/>
  <c r="P291" i="3"/>
  <c r="R291" i="3"/>
  <c r="V291" i="3"/>
  <c r="AU290" i="3"/>
  <c r="AN290" i="3"/>
  <c r="AX290" i="3" s="1"/>
  <c r="AT289" i="3"/>
  <c r="AG290" i="3"/>
  <c r="BQ287" i="3"/>
  <c r="BF287" i="3"/>
  <c r="BJ286" i="3" s="1"/>
  <c r="BK286" i="3" s="1"/>
  <c r="BB287" i="3"/>
  <c r="AU289" i="3"/>
  <c r="BD286" i="3"/>
  <c r="BG286" i="3"/>
  <c r="BH286" i="3" s="1"/>
  <c r="BI286" i="3" s="1"/>
  <c r="BM291" i="3" l="1"/>
  <c r="AG291" i="3"/>
  <c r="AO291" i="3"/>
  <c r="AT290" i="3"/>
  <c r="AH291" i="3"/>
  <c r="AT291" i="3" s="1"/>
  <c r="AV290" i="3"/>
  <c r="AU291" i="3"/>
  <c r="C292" i="3"/>
  <c r="D292" i="3"/>
  <c r="A293" i="3"/>
  <c r="B292" i="3"/>
  <c r="AR292" i="3"/>
  <c r="AQ292" i="3"/>
  <c r="F292" i="3"/>
  <c r="BM292" i="3" s="1"/>
  <c r="G292" i="3"/>
  <c r="H292" i="3" s="1"/>
  <c r="BN292" i="3" s="1"/>
  <c r="Q292" i="3"/>
  <c r="S292" i="3"/>
  <c r="O292" i="3"/>
  <c r="U292" i="3"/>
  <c r="AF292" i="3"/>
  <c r="AE292" i="3"/>
  <c r="AD292" i="3"/>
  <c r="M292" i="3"/>
  <c r="AK292" i="3"/>
  <c r="AM292" i="3"/>
  <c r="V292" i="3"/>
  <c r="R292" i="3"/>
  <c r="T292" i="3"/>
  <c r="P292" i="3"/>
  <c r="Y291" i="3"/>
  <c r="Z291" i="3" s="1"/>
  <c r="X291" i="3"/>
  <c r="AN291" i="3"/>
  <c r="AX291" i="3" s="1"/>
  <c r="BF288" i="3"/>
  <c r="BJ287" i="3" s="1"/>
  <c r="BK287" i="3" s="1"/>
  <c r="BQ288" i="3"/>
  <c r="BB288" i="3"/>
  <c r="BD288" i="3"/>
  <c r="BG288" i="3"/>
  <c r="BH288" i="3" s="1"/>
  <c r="BI288" i="3" s="1"/>
  <c r="AW290" i="3"/>
  <c r="AY290" i="3" s="1"/>
  <c r="AV289" i="3"/>
  <c r="BC289" i="3" s="1"/>
  <c r="BA289" i="3"/>
  <c r="AN292" i="3" l="1"/>
  <c r="AW291" i="3"/>
  <c r="BA291" i="3" s="1"/>
  <c r="AV291" i="3"/>
  <c r="AY291" i="3"/>
  <c r="BC291" i="3" s="1"/>
  <c r="BF289" i="3"/>
  <c r="BJ288" i="3" s="1"/>
  <c r="BK288" i="3" s="1"/>
  <c r="BQ289" i="3"/>
  <c r="BB289" i="3"/>
  <c r="BD289" i="3"/>
  <c r="BG289" i="3"/>
  <c r="BH289" i="3" s="1"/>
  <c r="BI289" i="3" s="1"/>
  <c r="Y292" i="3"/>
  <c r="Z292" i="3" s="1"/>
  <c r="AR293" i="3"/>
  <c r="B293" i="3"/>
  <c r="AQ293" i="3"/>
  <c r="C293" i="3"/>
  <c r="D293" i="3"/>
  <c r="A294" i="3"/>
  <c r="F293" i="3"/>
  <c r="BM293" i="3" s="1"/>
  <c r="G293" i="3"/>
  <c r="H293" i="3" s="1"/>
  <c r="BN293" i="3" s="1"/>
  <c r="Q293" i="3"/>
  <c r="S293" i="3"/>
  <c r="O293" i="3"/>
  <c r="U293" i="3"/>
  <c r="AE293" i="3"/>
  <c r="M293" i="3"/>
  <c r="AF293" i="3"/>
  <c r="AD293" i="3"/>
  <c r="AH293" i="3" s="1"/>
  <c r="AK293" i="3"/>
  <c r="AM293" i="3"/>
  <c r="P293" i="3"/>
  <c r="R293" i="3"/>
  <c r="V293" i="3"/>
  <c r="T293" i="3"/>
  <c r="AO292" i="3"/>
  <c r="X292" i="3"/>
  <c r="AH292" i="3"/>
  <c r="BC290" i="3"/>
  <c r="AG292" i="3"/>
  <c r="AW292" i="3" s="1"/>
  <c r="BA290" i="3"/>
  <c r="AN293" i="3" l="1"/>
  <c r="BQ291" i="3"/>
  <c r="BB291" i="3"/>
  <c r="BF291" i="3"/>
  <c r="AO293" i="3"/>
  <c r="BD291" i="3"/>
  <c r="BG291" i="3"/>
  <c r="BH291" i="3" s="1"/>
  <c r="BI291" i="3" s="1"/>
  <c r="AG293" i="3"/>
  <c r="AW293" i="3" s="1"/>
  <c r="BQ290" i="3"/>
  <c r="BF290" i="3"/>
  <c r="BJ289" i="3" s="1"/>
  <c r="BK289" i="3" s="1"/>
  <c r="BB290" i="3"/>
  <c r="X293" i="3"/>
  <c r="BD290" i="3"/>
  <c r="BG290" i="3"/>
  <c r="BH290" i="3" s="1"/>
  <c r="BI290" i="3" s="1"/>
  <c r="AX292" i="3"/>
  <c r="AY292" i="3" s="1"/>
  <c r="BJ290" i="3"/>
  <c r="BK290" i="3" s="1"/>
  <c r="AR294" i="3"/>
  <c r="B294" i="3"/>
  <c r="D294" i="3"/>
  <c r="C294" i="3"/>
  <c r="A295" i="3"/>
  <c r="AQ294" i="3"/>
  <c r="F294" i="3"/>
  <c r="G294" i="3"/>
  <c r="H294" i="3" s="1"/>
  <c r="Q294" i="3"/>
  <c r="S294" i="3"/>
  <c r="O294" i="3"/>
  <c r="U294" i="3"/>
  <c r="AE294" i="3"/>
  <c r="AF294" i="3"/>
  <c r="M294" i="3"/>
  <c r="AD294" i="3"/>
  <c r="AH294" i="3" s="1"/>
  <c r="AM294" i="3"/>
  <c r="AK294" i="3"/>
  <c r="V294" i="3"/>
  <c r="P294" i="3"/>
  <c r="R294" i="3"/>
  <c r="T294" i="3"/>
  <c r="AU292" i="3"/>
  <c r="Y293" i="3"/>
  <c r="Z293" i="3" s="1"/>
  <c r="AT292" i="3"/>
  <c r="AX293" i="3" l="1"/>
  <c r="AY293" i="3" s="1"/>
  <c r="X294" i="3"/>
  <c r="AO294" i="3"/>
  <c r="Y294" i="3"/>
  <c r="Z294" i="3" s="1"/>
  <c r="AN294" i="3"/>
  <c r="AV292" i="3"/>
  <c r="BC292" i="3" s="1"/>
  <c r="BA292" i="3"/>
  <c r="AT293" i="3"/>
  <c r="AG294" i="3"/>
  <c r="AW294" i="3" s="1"/>
  <c r="BN294" i="3"/>
  <c r="BM294" i="3"/>
  <c r="AU293" i="3"/>
  <c r="AU294" i="3"/>
  <c r="A296" i="3"/>
  <c r="AR295" i="3"/>
  <c r="D295" i="3"/>
  <c r="C295" i="3"/>
  <c r="B295" i="3"/>
  <c r="AQ295" i="3"/>
  <c r="G295" i="3"/>
  <c r="H295" i="3" s="1"/>
  <c r="F295" i="3"/>
  <c r="Q295" i="3"/>
  <c r="S295" i="3"/>
  <c r="O295" i="3"/>
  <c r="U295" i="3"/>
  <c r="M295" i="3"/>
  <c r="AF295" i="3"/>
  <c r="AD295" i="3"/>
  <c r="AK295" i="3"/>
  <c r="AE295" i="3"/>
  <c r="AG295" i="3" s="1"/>
  <c r="AM295" i="3"/>
  <c r="T295" i="3"/>
  <c r="V295" i="3"/>
  <c r="P295" i="3"/>
  <c r="R295" i="3"/>
  <c r="AN295" i="3" l="1"/>
  <c r="BM295" i="3"/>
  <c r="AX294" i="3"/>
  <c r="AY294" i="3" s="1"/>
  <c r="A297" i="3"/>
  <c r="AR296" i="3"/>
  <c r="AQ296" i="3"/>
  <c r="D296" i="3"/>
  <c r="C296" i="3"/>
  <c r="B296" i="3"/>
  <c r="F296" i="3"/>
  <c r="BM296" i="3" s="1"/>
  <c r="G296" i="3"/>
  <c r="H296" i="3" s="1"/>
  <c r="BN296" i="3" s="1"/>
  <c r="Q296" i="3"/>
  <c r="S296" i="3"/>
  <c r="O296" i="3"/>
  <c r="U296" i="3"/>
  <c r="AD296" i="3"/>
  <c r="M296" i="3"/>
  <c r="AE296" i="3"/>
  <c r="AF296" i="3"/>
  <c r="AM296" i="3"/>
  <c r="AK296" i="3"/>
  <c r="AO296" i="3" s="1"/>
  <c r="V296" i="3"/>
  <c r="P296" i="3"/>
  <c r="R296" i="3"/>
  <c r="T296" i="3"/>
  <c r="AU295" i="3"/>
  <c r="AT295" i="3"/>
  <c r="AO295" i="3"/>
  <c r="X295" i="3"/>
  <c r="AT294" i="3"/>
  <c r="AV293" i="3"/>
  <c r="BC293" i="3" s="1"/>
  <c r="BA293" i="3"/>
  <c r="BQ292" i="3"/>
  <c r="BF292" i="3"/>
  <c r="BJ291" i="3" s="1"/>
  <c r="BK291" i="3" s="1"/>
  <c r="BB292" i="3"/>
  <c r="BN295" i="3"/>
  <c r="AH295" i="3"/>
  <c r="BD292" i="3"/>
  <c r="BG292" i="3"/>
  <c r="BH292" i="3" s="1"/>
  <c r="BI292" i="3" s="1"/>
  <c r="Y295" i="3"/>
  <c r="Z295" i="3" s="1"/>
  <c r="AG296" i="3" l="1"/>
  <c r="AH296" i="3"/>
  <c r="BB293" i="3"/>
  <c r="BQ293" i="3"/>
  <c r="BF293" i="3"/>
  <c r="BJ292" i="3" s="1"/>
  <c r="BK292" i="3" s="1"/>
  <c r="Y296" i="3"/>
  <c r="Z296" i="3" s="1"/>
  <c r="AW296" i="3"/>
  <c r="X296" i="3"/>
  <c r="AU296" i="3"/>
  <c r="BD293" i="3"/>
  <c r="BG293" i="3"/>
  <c r="BH293" i="3" s="1"/>
  <c r="BI293" i="3" s="1"/>
  <c r="BA294" i="3"/>
  <c r="AV294" i="3"/>
  <c r="BC294" i="3" s="1"/>
  <c r="AV295" i="3"/>
  <c r="AX295" i="3"/>
  <c r="AT296" i="3"/>
  <c r="AW295" i="3"/>
  <c r="AN296" i="3"/>
  <c r="AR297" i="3"/>
  <c r="B297" i="3"/>
  <c r="AQ297" i="3"/>
  <c r="A298" i="3"/>
  <c r="C297" i="3"/>
  <c r="D297" i="3"/>
  <c r="G297" i="3"/>
  <c r="H297" i="3" s="1"/>
  <c r="F297" i="3"/>
  <c r="BM297" i="3" s="1"/>
  <c r="Q297" i="3"/>
  <c r="S297" i="3"/>
  <c r="O297" i="3"/>
  <c r="U297" i="3"/>
  <c r="AF297" i="3"/>
  <c r="AD297" i="3"/>
  <c r="M297" i="3"/>
  <c r="AK297" i="3"/>
  <c r="AM297" i="3"/>
  <c r="AE297" i="3"/>
  <c r="R297" i="3"/>
  <c r="P297" i="3"/>
  <c r="V297" i="3"/>
  <c r="T297" i="3"/>
  <c r="AN297" i="3" l="1"/>
  <c r="AX296" i="3"/>
  <c r="BN297" i="3"/>
  <c r="BA295" i="3"/>
  <c r="AY296" i="3"/>
  <c r="BF295" i="3"/>
  <c r="BQ295" i="3"/>
  <c r="BB295" i="3"/>
  <c r="BB294" i="3"/>
  <c r="BF294" i="3"/>
  <c r="BJ293" i="3" s="1"/>
  <c r="BK293" i="3" s="1"/>
  <c r="BQ294" i="3"/>
  <c r="AR298" i="3"/>
  <c r="B298" i="3"/>
  <c r="AQ298" i="3"/>
  <c r="A299" i="3"/>
  <c r="C298" i="3"/>
  <c r="D298" i="3"/>
  <c r="G298" i="3"/>
  <c r="H298" i="3" s="1"/>
  <c r="F298" i="3"/>
  <c r="Q298" i="3"/>
  <c r="S298" i="3"/>
  <c r="O298" i="3"/>
  <c r="U298" i="3"/>
  <c r="M298" i="3"/>
  <c r="AF298" i="3"/>
  <c r="AD298" i="3"/>
  <c r="AE298" i="3"/>
  <c r="AG298" i="3" s="1"/>
  <c r="AM298" i="3"/>
  <c r="AK298" i="3"/>
  <c r="R298" i="3"/>
  <c r="P298" i="3"/>
  <c r="V298" i="3"/>
  <c r="T298" i="3"/>
  <c r="AG297" i="3"/>
  <c r="BD294" i="3"/>
  <c r="BG294" i="3"/>
  <c r="BH294" i="3" s="1"/>
  <c r="BI294" i="3" s="1"/>
  <c r="X297" i="3"/>
  <c r="Y297" i="3"/>
  <c r="Z297" i="3" s="1"/>
  <c r="AO297" i="3"/>
  <c r="AY295" i="3"/>
  <c r="BC295" i="3" s="1"/>
  <c r="AH297" i="3"/>
  <c r="AV296" i="3"/>
  <c r="BC296" i="3" s="1"/>
  <c r="BA296" i="3"/>
  <c r="AW297" i="3" l="1"/>
  <c r="BN298" i="3"/>
  <c r="BM298" i="3"/>
  <c r="AN298" i="3"/>
  <c r="BG295" i="3"/>
  <c r="BH295" i="3" s="1"/>
  <c r="BI295" i="3" s="1"/>
  <c r="BD295" i="3"/>
  <c r="AQ299" i="3"/>
  <c r="B299" i="3"/>
  <c r="A300" i="3"/>
  <c r="AR299" i="3"/>
  <c r="D299" i="3"/>
  <c r="C299" i="3"/>
  <c r="F299" i="3"/>
  <c r="BM299" i="3" s="1"/>
  <c r="G299" i="3"/>
  <c r="H299" i="3" s="1"/>
  <c r="BN299" i="3" s="1"/>
  <c r="Q299" i="3"/>
  <c r="S299" i="3"/>
  <c r="O299" i="3"/>
  <c r="U299" i="3"/>
  <c r="AD299" i="3"/>
  <c r="AF299" i="3"/>
  <c r="AE299" i="3"/>
  <c r="M299" i="3"/>
  <c r="AK299" i="3"/>
  <c r="AM299" i="3"/>
  <c r="R299" i="3"/>
  <c r="P299" i="3"/>
  <c r="T299" i="3"/>
  <c r="V299" i="3"/>
  <c r="AX297" i="3"/>
  <c r="AY297" i="3" s="1"/>
  <c r="Y298" i="3"/>
  <c r="Z298" i="3" s="1"/>
  <c r="BD296" i="3"/>
  <c r="BG296" i="3"/>
  <c r="BH296" i="3" s="1"/>
  <c r="BI296" i="3" s="1"/>
  <c r="AH298" i="3"/>
  <c r="BB296" i="3"/>
  <c r="BF296" i="3"/>
  <c r="BJ295" i="3" s="1"/>
  <c r="BK295" i="3" s="1"/>
  <c r="BQ296" i="3"/>
  <c r="AO298" i="3"/>
  <c r="AU297" i="3"/>
  <c r="X298" i="3"/>
  <c r="AT297" i="3"/>
  <c r="BJ294" i="3"/>
  <c r="BK294" i="3" s="1"/>
  <c r="AX298" i="3" l="1"/>
  <c r="X299" i="3"/>
  <c r="AN299" i="3"/>
  <c r="AW298" i="3"/>
  <c r="AY298" i="3" s="1"/>
  <c r="AH299" i="3"/>
  <c r="AV297" i="3"/>
  <c r="BC297" i="3" s="1"/>
  <c r="BA297" i="3"/>
  <c r="AT299" i="3"/>
  <c r="C300" i="3"/>
  <c r="D300" i="3"/>
  <c r="A301" i="3"/>
  <c r="B300" i="3"/>
  <c r="AR300" i="3"/>
  <c r="AQ300" i="3"/>
  <c r="G300" i="3"/>
  <c r="H300" i="3" s="1"/>
  <c r="BN300" i="3" s="1"/>
  <c r="F300" i="3"/>
  <c r="BM300" i="3" s="1"/>
  <c r="Q300" i="3"/>
  <c r="S300" i="3"/>
  <c r="O300" i="3"/>
  <c r="U300" i="3"/>
  <c r="M300" i="3"/>
  <c r="AD300" i="3"/>
  <c r="AF300" i="3"/>
  <c r="AE300" i="3"/>
  <c r="AM300" i="3"/>
  <c r="AK300" i="3"/>
  <c r="P300" i="3"/>
  <c r="V300" i="3"/>
  <c r="R300" i="3"/>
  <c r="T300" i="3"/>
  <c r="AO299" i="3"/>
  <c r="AU298" i="3"/>
  <c r="Y299" i="3"/>
  <c r="Z299" i="3" s="1"/>
  <c r="AT298" i="3"/>
  <c r="AG299" i="3"/>
  <c r="AO300" i="3" l="1"/>
  <c r="AG300" i="3"/>
  <c r="AH300" i="3"/>
  <c r="AU300" i="3" s="1"/>
  <c r="Y300" i="3"/>
  <c r="Z300" i="3" s="1"/>
  <c r="AR301" i="3"/>
  <c r="B301" i="3"/>
  <c r="AQ301" i="3"/>
  <c r="C301" i="3"/>
  <c r="D301" i="3"/>
  <c r="A302" i="3"/>
  <c r="G301" i="3"/>
  <c r="H301" i="3" s="1"/>
  <c r="BN301" i="3" s="1"/>
  <c r="F301" i="3"/>
  <c r="BM301" i="3" s="1"/>
  <c r="Q301" i="3"/>
  <c r="S301" i="3"/>
  <c r="O301" i="3"/>
  <c r="U301" i="3"/>
  <c r="AE301" i="3"/>
  <c r="AF301" i="3"/>
  <c r="AD301" i="3"/>
  <c r="M301" i="3"/>
  <c r="AM301" i="3"/>
  <c r="AK301" i="3"/>
  <c r="R301" i="3"/>
  <c r="V301" i="3"/>
  <c r="P301" i="3"/>
  <c r="T301" i="3"/>
  <c r="AX300" i="3"/>
  <c r="BD297" i="3"/>
  <c r="BG297" i="3"/>
  <c r="BH297" i="3" s="1"/>
  <c r="BI297" i="3" s="1"/>
  <c r="X300" i="3"/>
  <c r="BQ297" i="3"/>
  <c r="BB297" i="3"/>
  <c r="BF297" i="3"/>
  <c r="BJ296" i="3" s="1"/>
  <c r="BK296" i="3" s="1"/>
  <c r="AX299" i="3"/>
  <c r="AN300" i="3"/>
  <c r="AW299" i="3"/>
  <c r="AU299" i="3"/>
  <c r="BA298" i="3"/>
  <c r="AV298" i="3"/>
  <c r="BC298" i="3" s="1"/>
  <c r="AO301" i="3" l="1"/>
  <c r="AW300" i="3"/>
  <c r="AT300" i="3"/>
  <c r="BA299" i="3"/>
  <c r="BF299" i="3" s="1"/>
  <c r="AH301" i="3"/>
  <c r="X301" i="3"/>
  <c r="AY299" i="3"/>
  <c r="Y301" i="3"/>
  <c r="Z301" i="3" s="1"/>
  <c r="AV299" i="3"/>
  <c r="BC299" i="3" s="1"/>
  <c r="AY300" i="3"/>
  <c r="AG301" i="3"/>
  <c r="AW301" i="3" s="1"/>
  <c r="BD298" i="3"/>
  <c r="BG298" i="3"/>
  <c r="BH298" i="3" s="1"/>
  <c r="BI298" i="3" s="1"/>
  <c r="BB298" i="3"/>
  <c r="BQ298" i="3"/>
  <c r="BF298" i="3"/>
  <c r="BJ297" i="3" s="1"/>
  <c r="BK297" i="3" s="1"/>
  <c r="AR302" i="3"/>
  <c r="B302" i="3"/>
  <c r="AQ302" i="3"/>
  <c r="A303" i="3"/>
  <c r="D302" i="3"/>
  <c r="C302" i="3"/>
  <c r="F302" i="3"/>
  <c r="BM302" i="3" s="1"/>
  <c r="G302" i="3"/>
  <c r="H302" i="3" s="1"/>
  <c r="BN302" i="3" s="1"/>
  <c r="Q302" i="3"/>
  <c r="S302" i="3"/>
  <c r="O302" i="3"/>
  <c r="U302" i="3"/>
  <c r="AE302" i="3"/>
  <c r="AD302" i="3"/>
  <c r="AF302" i="3"/>
  <c r="AK302" i="3"/>
  <c r="AM302" i="3"/>
  <c r="M302" i="3"/>
  <c r="R302" i="3"/>
  <c r="P302" i="3"/>
  <c r="T302" i="3"/>
  <c r="V302" i="3"/>
  <c r="AN301" i="3"/>
  <c r="BA300" i="3"/>
  <c r="AV300" i="3"/>
  <c r="X302" i="3" l="1"/>
  <c r="BQ299" i="3"/>
  <c r="BB299" i="3"/>
  <c r="AH302" i="3"/>
  <c r="AO302" i="3"/>
  <c r="BC300" i="3"/>
  <c r="AU301" i="3"/>
  <c r="BD299" i="3"/>
  <c r="BG299" i="3"/>
  <c r="BH299" i="3" s="1"/>
  <c r="BI299" i="3" s="1"/>
  <c r="Y302" i="3"/>
  <c r="Z302" i="3" s="1"/>
  <c r="BD300" i="3"/>
  <c r="BG300" i="3"/>
  <c r="BH300" i="3" s="1"/>
  <c r="BI300" i="3" s="1"/>
  <c r="A304" i="3"/>
  <c r="AR303" i="3"/>
  <c r="D303" i="3"/>
  <c r="C303" i="3"/>
  <c r="AQ303" i="3"/>
  <c r="B303" i="3"/>
  <c r="G303" i="3"/>
  <c r="H303" i="3" s="1"/>
  <c r="BN303" i="3" s="1"/>
  <c r="F303" i="3"/>
  <c r="Q303" i="3"/>
  <c r="S303" i="3"/>
  <c r="O303" i="3"/>
  <c r="U303" i="3"/>
  <c r="AD303" i="3"/>
  <c r="AE303" i="3"/>
  <c r="AF303" i="3"/>
  <c r="M303" i="3"/>
  <c r="AM303" i="3"/>
  <c r="AK303" i="3"/>
  <c r="AO303" i="3" s="1"/>
  <c r="R303" i="3"/>
  <c r="V303" i="3"/>
  <c r="P303" i="3"/>
  <c r="T303" i="3"/>
  <c r="AG302" i="3"/>
  <c r="BF300" i="3"/>
  <c r="BJ299" i="3" s="1"/>
  <c r="BK299" i="3" s="1"/>
  <c r="BB300" i="3"/>
  <c r="BQ300" i="3"/>
  <c r="AT301" i="3"/>
  <c r="AX301" i="3"/>
  <c r="AY301" i="3" s="1"/>
  <c r="AN302" i="3"/>
  <c r="BJ298" i="3"/>
  <c r="BK298" i="3" s="1"/>
  <c r="AW302" i="3" l="1"/>
  <c r="BM303" i="3"/>
  <c r="AX302" i="3"/>
  <c r="AY302" i="3" s="1"/>
  <c r="AT302" i="3"/>
  <c r="Y303" i="3"/>
  <c r="Z303" i="3" s="1"/>
  <c r="AN303" i="3"/>
  <c r="A305" i="3"/>
  <c r="AR304" i="3"/>
  <c r="AQ304" i="3"/>
  <c r="C304" i="3"/>
  <c r="D304" i="3"/>
  <c r="B304" i="3"/>
  <c r="G304" i="3"/>
  <c r="H304" i="3" s="1"/>
  <c r="BN304" i="3" s="1"/>
  <c r="F304" i="3"/>
  <c r="BM304" i="3" s="1"/>
  <c r="Q304" i="3"/>
  <c r="S304" i="3"/>
  <c r="O304" i="3"/>
  <c r="U304" i="3"/>
  <c r="AF304" i="3"/>
  <c r="AD304" i="3"/>
  <c r="AE304" i="3"/>
  <c r="AK304" i="3"/>
  <c r="M304" i="3"/>
  <c r="AM304" i="3"/>
  <c r="V304" i="3"/>
  <c r="P304" i="3"/>
  <c r="T304" i="3"/>
  <c r="R304" i="3"/>
  <c r="AG303" i="3"/>
  <c r="AU302" i="3"/>
  <c r="AH303" i="3"/>
  <c r="AX303" i="3" s="1"/>
  <c r="X303" i="3"/>
  <c r="AV301" i="3"/>
  <c r="BC301" i="3" s="1"/>
  <c r="BA301" i="3"/>
  <c r="AN304" i="3" l="1"/>
  <c r="AG304" i="3"/>
  <c r="Y304" i="3"/>
  <c r="Z304" i="3" s="1"/>
  <c r="AW303" i="3"/>
  <c r="AY303" i="3" s="1"/>
  <c r="AR305" i="3"/>
  <c r="B305" i="3"/>
  <c r="A306" i="3"/>
  <c r="D305" i="3"/>
  <c r="C305" i="3"/>
  <c r="AQ305" i="3"/>
  <c r="G305" i="3"/>
  <c r="H305" i="3" s="1"/>
  <c r="BN305" i="3" s="1"/>
  <c r="F305" i="3"/>
  <c r="BM305" i="3" s="1"/>
  <c r="S305" i="3"/>
  <c r="Q305" i="3"/>
  <c r="O305" i="3"/>
  <c r="U305" i="3"/>
  <c r="M305" i="3"/>
  <c r="AK305" i="3"/>
  <c r="AF305" i="3"/>
  <c r="AD305" i="3"/>
  <c r="AM305" i="3"/>
  <c r="AE305" i="3"/>
  <c r="AG305" i="3" s="1"/>
  <c r="V305" i="3"/>
  <c r="P305" i="3"/>
  <c r="R305" i="3"/>
  <c r="T305" i="3"/>
  <c r="AO304" i="3"/>
  <c r="AV302" i="3"/>
  <c r="BC302" i="3" s="1"/>
  <c r="BA302" i="3"/>
  <c r="AH304" i="3"/>
  <c r="AX304" i="3" s="1"/>
  <c r="BF301" i="3"/>
  <c r="BJ300" i="3" s="1"/>
  <c r="BK300" i="3" s="1"/>
  <c r="BQ301" i="3"/>
  <c r="BB301" i="3"/>
  <c r="X304" i="3"/>
  <c r="AU303" i="3"/>
  <c r="BD301" i="3"/>
  <c r="BG301" i="3"/>
  <c r="BH301" i="3" s="1"/>
  <c r="BI301" i="3" s="1"/>
  <c r="AT303" i="3"/>
  <c r="AO305" i="3" l="1"/>
  <c r="BB302" i="3"/>
  <c r="BF302" i="3"/>
  <c r="BJ301" i="3" s="1"/>
  <c r="BK301" i="3" s="1"/>
  <c r="BQ302" i="3"/>
  <c r="AT304" i="3"/>
  <c r="BA303" i="3"/>
  <c r="AV303" i="3"/>
  <c r="BC303" i="3" s="1"/>
  <c r="AN305" i="3"/>
  <c r="X305" i="3"/>
  <c r="BD302" i="3"/>
  <c r="BG302" i="3"/>
  <c r="BH302" i="3" s="1"/>
  <c r="BI302" i="3" s="1"/>
  <c r="AH305" i="3"/>
  <c r="AX305" i="3" s="1"/>
  <c r="AU304" i="3"/>
  <c r="AW304" i="3"/>
  <c r="AY304" i="3" s="1"/>
  <c r="Y305" i="3"/>
  <c r="Z305" i="3" s="1"/>
  <c r="AR306" i="3"/>
  <c r="B306" i="3"/>
  <c r="AQ306" i="3"/>
  <c r="A307" i="3"/>
  <c r="D306" i="3"/>
  <c r="C306" i="3"/>
  <c r="F306" i="3"/>
  <c r="BM306" i="3" s="1"/>
  <c r="G306" i="3"/>
  <c r="H306" i="3" s="1"/>
  <c r="BN306" i="3" s="1"/>
  <c r="Q306" i="3"/>
  <c r="S306" i="3"/>
  <c r="O306" i="3"/>
  <c r="U306" i="3"/>
  <c r="M306" i="3"/>
  <c r="AE306" i="3"/>
  <c r="AF306" i="3"/>
  <c r="AD306" i="3"/>
  <c r="AM306" i="3"/>
  <c r="AK306" i="3"/>
  <c r="R306" i="3"/>
  <c r="P306" i="3"/>
  <c r="V306" i="3"/>
  <c r="T306" i="3"/>
  <c r="AG306" i="3" l="1"/>
  <c r="AO306" i="3"/>
  <c r="AT305" i="3"/>
  <c r="Y306" i="3"/>
  <c r="Z306" i="3" s="1"/>
  <c r="BD303" i="3"/>
  <c r="BG303" i="3"/>
  <c r="BH303" i="3" s="1"/>
  <c r="BI303" i="3" s="1"/>
  <c r="X306" i="3"/>
  <c r="AW305" i="3"/>
  <c r="AY305" i="3" s="1"/>
  <c r="AQ307" i="3"/>
  <c r="B307" i="3"/>
  <c r="A308" i="3"/>
  <c r="AR307" i="3"/>
  <c r="C307" i="3"/>
  <c r="D307" i="3"/>
  <c r="G307" i="3"/>
  <c r="H307" i="3" s="1"/>
  <c r="F307" i="3"/>
  <c r="BM307" i="3" s="1"/>
  <c r="Q307" i="3"/>
  <c r="S307" i="3"/>
  <c r="O307" i="3"/>
  <c r="U307" i="3"/>
  <c r="AE307" i="3"/>
  <c r="AD307" i="3"/>
  <c r="M307" i="3"/>
  <c r="AF307" i="3"/>
  <c r="AH307" i="3" s="1"/>
  <c r="AM307" i="3"/>
  <c r="AK307" i="3"/>
  <c r="T307" i="3"/>
  <c r="P307" i="3"/>
  <c r="V307" i="3"/>
  <c r="R307" i="3"/>
  <c r="AU306" i="3"/>
  <c r="BB303" i="3"/>
  <c r="BQ303" i="3"/>
  <c r="BF303" i="3"/>
  <c r="BJ302" i="3" s="1"/>
  <c r="BK302" i="3" s="1"/>
  <c r="BA304" i="3"/>
  <c r="AV304" i="3"/>
  <c r="BC304" i="3" s="1"/>
  <c r="AN306" i="3"/>
  <c r="AH306" i="3"/>
  <c r="AU305" i="3"/>
  <c r="AN307" i="3" l="1"/>
  <c r="AW306" i="3"/>
  <c r="AX306" i="3"/>
  <c r="BN307" i="3"/>
  <c r="D308" i="3"/>
  <c r="C308" i="3"/>
  <c r="A309" i="3"/>
  <c r="B308" i="3"/>
  <c r="AR308" i="3"/>
  <c r="AQ308" i="3"/>
  <c r="F308" i="3"/>
  <c r="BM308" i="3" s="1"/>
  <c r="G308" i="3"/>
  <c r="H308" i="3" s="1"/>
  <c r="BN308" i="3" s="1"/>
  <c r="Q308" i="3"/>
  <c r="S308" i="3"/>
  <c r="O308" i="3"/>
  <c r="U308" i="3"/>
  <c r="AF308" i="3"/>
  <c r="AE308" i="3"/>
  <c r="AD308" i="3"/>
  <c r="M308" i="3"/>
  <c r="AM308" i="3"/>
  <c r="AK308" i="3"/>
  <c r="R308" i="3"/>
  <c r="P308" i="3"/>
  <c r="V308" i="3"/>
  <c r="T308" i="3"/>
  <c r="X307" i="3"/>
  <c r="Y307" i="3"/>
  <c r="Z307" i="3" s="1"/>
  <c r="AO307" i="3"/>
  <c r="AG307" i="3"/>
  <c r="AT307" i="3" s="1"/>
  <c r="AT306" i="3"/>
  <c r="BD304" i="3"/>
  <c r="BG304" i="3"/>
  <c r="BH304" i="3" s="1"/>
  <c r="BI304" i="3" s="1"/>
  <c r="BQ304" i="3"/>
  <c r="BB304" i="3"/>
  <c r="BF304" i="3"/>
  <c r="BJ303" i="3" s="1"/>
  <c r="BK303" i="3" s="1"/>
  <c r="BA305" i="3"/>
  <c r="AV305" i="3"/>
  <c r="BC305" i="3" s="1"/>
  <c r="AO308" i="3" l="1"/>
  <c r="AY306" i="3"/>
  <c r="AX307" i="3"/>
  <c r="AU307" i="3"/>
  <c r="AH308" i="3"/>
  <c r="BQ305" i="3"/>
  <c r="BF305" i="3"/>
  <c r="BJ304" i="3" s="1"/>
  <c r="BK304" i="3" s="1"/>
  <c r="BB305" i="3"/>
  <c r="AR309" i="3"/>
  <c r="B309" i="3"/>
  <c r="AQ309" i="3"/>
  <c r="D309" i="3"/>
  <c r="C309" i="3"/>
  <c r="A310" i="3"/>
  <c r="F309" i="3"/>
  <c r="G309" i="3"/>
  <c r="H309" i="3" s="1"/>
  <c r="BN309" i="3" s="1"/>
  <c r="Q309" i="3"/>
  <c r="S309" i="3"/>
  <c r="O309" i="3"/>
  <c r="U309" i="3"/>
  <c r="AD309" i="3"/>
  <c r="AF309" i="3"/>
  <c r="AE309" i="3"/>
  <c r="AG309" i="3" s="1"/>
  <c r="M309" i="3"/>
  <c r="AK309" i="3"/>
  <c r="AM309" i="3"/>
  <c r="R309" i="3"/>
  <c r="P309" i="3"/>
  <c r="V309" i="3"/>
  <c r="T309" i="3"/>
  <c r="Y308" i="3"/>
  <c r="Z308" i="3" s="1"/>
  <c r="BD305" i="3"/>
  <c r="BG305" i="3"/>
  <c r="BH305" i="3" s="1"/>
  <c r="BI305" i="3" s="1"/>
  <c r="AN308" i="3"/>
  <c r="AG308" i="3"/>
  <c r="BA306" i="3"/>
  <c r="AV306" i="3"/>
  <c r="BC306" i="3" s="1"/>
  <c r="AV307" i="3"/>
  <c r="AW307" i="3"/>
  <c r="AY307" i="3" s="1"/>
  <c r="X308" i="3"/>
  <c r="AN309" i="3" l="1"/>
  <c r="BM309" i="3"/>
  <c r="AT308" i="3"/>
  <c r="AX308" i="3"/>
  <c r="BC307" i="3"/>
  <c r="Y309" i="3"/>
  <c r="Z309" i="3" s="1"/>
  <c r="BA307" i="3"/>
  <c r="BQ306" i="3"/>
  <c r="BB306" i="3"/>
  <c r="BF306" i="3"/>
  <c r="BJ305" i="3" s="1"/>
  <c r="BK305" i="3" s="1"/>
  <c r="AR310" i="3"/>
  <c r="B310" i="3"/>
  <c r="AQ310" i="3"/>
  <c r="A311" i="3"/>
  <c r="D310" i="3"/>
  <c r="C310" i="3"/>
  <c r="F310" i="3"/>
  <c r="G310" i="3"/>
  <c r="H310" i="3" s="1"/>
  <c r="Q310" i="3"/>
  <c r="S310" i="3"/>
  <c r="O310" i="3"/>
  <c r="U310" i="3"/>
  <c r="AD310" i="3"/>
  <c r="AE310" i="3"/>
  <c r="M310" i="3"/>
  <c r="AF310" i="3"/>
  <c r="AM310" i="3"/>
  <c r="AK310" i="3"/>
  <c r="T310" i="3"/>
  <c r="R310" i="3"/>
  <c r="V310" i="3"/>
  <c r="P310" i="3"/>
  <c r="AO309" i="3"/>
  <c r="BD306" i="3"/>
  <c r="BG306" i="3"/>
  <c r="BH306" i="3" s="1"/>
  <c r="BI306" i="3" s="1"/>
  <c r="AH309" i="3"/>
  <c r="AW308" i="3"/>
  <c r="AY308" i="3" s="1"/>
  <c r="X309" i="3"/>
  <c r="AU308" i="3"/>
  <c r="AV308" i="3" s="1"/>
  <c r="AO310" i="3" l="1"/>
  <c r="BC308" i="3"/>
  <c r="X310" i="3"/>
  <c r="AX309" i="3"/>
  <c r="BD308" i="3"/>
  <c r="BG308" i="3"/>
  <c r="BH308" i="3" s="1"/>
  <c r="BI308" i="3" s="1"/>
  <c r="AG310" i="3"/>
  <c r="Y310" i="3"/>
  <c r="Z310" i="3" s="1"/>
  <c r="BB307" i="3"/>
  <c r="BQ307" i="3"/>
  <c r="BF307" i="3"/>
  <c r="BJ306" i="3" s="1"/>
  <c r="BK306" i="3" s="1"/>
  <c r="BA308" i="3"/>
  <c r="BN310" i="3"/>
  <c r="BD307" i="3"/>
  <c r="BG307" i="3"/>
  <c r="BH307" i="3" s="1"/>
  <c r="BI307" i="3" s="1"/>
  <c r="A312" i="3"/>
  <c r="AR311" i="3"/>
  <c r="D311" i="3"/>
  <c r="C311" i="3"/>
  <c r="B311" i="3"/>
  <c r="AQ311" i="3"/>
  <c r="G311" i="3"/>
  <c r="H311" i="3" s="1"/>
  <c r="BN311" i="3" s="1"/>
  <c r="F311" i="3"/>
  <c r="Q311" i="3"/>
  <c r="S311" i="3"/>
  <c r="O311" i="3"/>
  <c r="U311" i="3"/>
  <c r="AF311" i="3"/>
  <c r="AE311" i="3"/>
  <c r="M311" i="3"/>
  <c r="AD311" i="3"/>
  <c r="AK311" i="3"/>
  <c r="AM311" i="3"/>
  <c r="V311" i="3"/>
  <c r="R311" i="3"/>
  <c r="T311" i="3"/>
  <c r="P311" i="3"/>
  <c r="AN310" i="3"/>
  <c r="AH310" i="3"/>
  <c r="AT309" i="3"/>
  <c r="AW309" i="3"/>
  <c r="AY309" i="3" s="1"/>
  <c r="BM310" i="3"/>
  <c r="AU309" i="3"/>
  <c r="BM311" i="3" l="1"/>
  <c r="AH311" i="3"/>
  <c r="AX310" i="3"/>
  <c r="AO311" i="3"/>
  <c r="A313" i="3"/>
  <c r="AR312" i="3"/>
  <c r="AQ312" i="3"/>
  <c r="D312" i="3"/>
  <c r="C312" i="3"/>
  <c r="B312" i="3"/>
  <c r="G312" i="3"/>
  <c r="H312" i="3" s="1"/>
  <c r="BN312" i="3" s="1"/>
  <c r="F312" i="3"/>
  <c r="BM312" i="3" s="1"/>
  <c r="Q312" i="3"/>
  <c r="S312" i="3"/>
  <c r="O312" i="3"/>
  <c r="U312" i="3"/>
  <c r="AF312" i="3"/>
  <c r="M312" i="3"/>
  <c r="AD312" i="3"/>
  <c r="AE312" i="3"/>
  <c r="AK312" i="3"/>
  <c r="AM312" i="3"/>
  <c r="T312" i="3"/>
  <c r="P312" i="3"/>
  <c r="V312" i="3"/>
  <c r="R312" i="3"/>
  <c r="BB308" i="3"/>
  <c r="BQ308" i="3"/>
  <c r="BF308" i="3"/>
  <c r="BJ307" i="3" s="1"/>
  <c r="BK307" i="3" s="1"/>
  <c r="BA309" i="3"/>
  <c r="AV309" i="3"/>
  <c r="BC309" i="3" s="1"/>
  <c r="AU310" i="3"/>
  <c r="AG311" i="3"/>
  <c r="AU311" i="3"/>
  <c r="X311" i="3"/>
  <c r="AT310" i="3"/>
  <c r="AW310" i="3"/>
  <c r="AY310" i="3" s="1"/>
  <c r="Y311" i="3"/>
  <c r="Z311" i="3" s="1"/>
  <c r="AN311" i="3"/>
  <c r="AN312" i="3" l="1"/>
  <c r="AW311" i="3"/>
  <c r="X312" i="3"/>
  <c r="Y312" i="3"/>
  <c r="Z312" i="3" s="1"/>
  <c r="AG312" i="3"/>
  <c r="BF309" i="3"/>
  <c r="BJ308" i="3" s="1"/>
  <c r="BK308" i="3" s="1"/>
  <c r="BQ309" i="3"/>
  <c r="BB309" i="3"/>
  <c r="AH312" i="3"/>
  <c r="BD309" i="3"/>
  <c r="BG309" i="3"/>
  <c r="BH309" i="3" s="1"/>
  <c r="BI309" i="3" s="1"/>
  <c r="AT311" i="3"/>
  <c r="AT312" i="3"/>
  <c r="AX311" i="3"/>
  <c r="AY311" i="3" s="1"/>
  <c r="AU312" i="3"/>
  <c r="BA310" i="3"/>
  <c r="AV310" i="3"/>
  <c r="BC310" i="3" s="1"/>
  <c r="AO312" i="3"/>
  <c r="C313" i="3"/>
  <c r="D313" i="3"/>
  <c r="AR313" i="3"/>
  <c r="B313" i="3"/>
  <c r="AQ313" i="3"/>
  <c r="A314" i="3"/>
  <c r="F313" i="3"/>
  <c r="G313" i="3"/>
  <c r="H313" i="3" s="1"/>
  <c r="BN313" i="3" s="1"/>
  <c r="Q313" i="3"/>
  <c r="S313" i="3"/>
  <c r="O313" i="3"/>
  <c r="U313" i="3"/>
  <c r="AF313" i="3"/>
  <c r="AD313" i="3"/>
  <c r="AE313" i="3"/>
  <c r="M313" i="3"/>
  <c r="AK313" i="3"/>
  <c r="AM313" i="3"/>
  <c r="P313" i="3"/>
  <c r="V313" i="3"/>
  <c r="R313" i="3"/>
  <c r="T313" i="3"/>
  <c r="AG313" i="3" l="1"/>
  <c r="AO313" i="3"/>
  <c r="BQ310" i="3"/>
  <c r="BB310" i="3"/>
  <c r="BF310" i="3"/>
  <c r="BJ309" i="3" s="1"/>
  <c r="BK309" i="3" s="1"/>
  <c r="AV312" i="3"/>
  <c r="AV311" i="3"/>
  <c r="BC311" i="3" s="1"/>
  <c r="BA311" i="3"/>
  <c r="AR314" i="3"/>
  <c r="B314" i="3"/>
  <c r="AQ314" i="3"/>
  <c r="A315" i="3"/>
  <c r="D314" i="3"/>
  <c r="C314" i="3"/>
  <c r="G314" i="3"/>
  <c r="H314" i="3" s="1"/>
  <c r="BN314" i="3" s="1"/>
  <c r="F314" i="3"/>
  <c r="BM314" i="3" s="1"/>
  <c r="Q314" i="3"/>
  <c r="S314" i="3"/>
  <c r="O314" i="3"/>
  <c r="U314" i="3"/>
  <c r="AF314" i="3"/>
  <c r="AD314" i="3"/>
  <c r="AE314" i="3"/>
  <c r="AK314" i="3"/>
  <c r="AM314" i="3"/>
  <c r="M314" i="3"/>
  <c r="V314" i="3"/>
  <c r="T314" i="3"/>
  <c r="P314" i="3"/>
  <c r="R314" i="3"/>
  <c r="AH313" i="3"/>
  <c r="AX313" i="3" s="1"/>
  <c r="X313" i="3"/>
  <c r="BD310" i="3"/>
  <c r="BG310" i="3"/>
  <c r="BH310" i="3" s="1"/>
  <c r="BI310" i="3" s="1"/>
  <c r="BM313" i="3"/>
  <c r="AX312" i="3"/>
  <c r="AN313" i="3"/>
  <c r="Y313" i="3"/>
  <c r="Z313" i="3" s="1"/>
  <c r="AW312" i="3"/>
  <c r="AY312" i="3" s="1"/>
  <c r="AG314" i="3" l="1"/>
  <c r="AN314" i="3"/>
  <c r="AQ315" i="3"/>
  <c r="B315" i="3"/>
  <c r="A316" i="3"/>
  <c r="AR315" i="3"/>
  <c r="C315" i="3"/>
  <c r="D315" i="3"/>
  <c r="F315" i="3"/>
  <c r="BM315" i="3" s="1"/>
  <c r="G315" i="3"/>
  <c r="H315" i="3" s="1"/>
  <c r="BN315" i="3" s="1"/>
  <c r="Q315" i="3"/>
  <c r="S315" i="3"/>
  <c r="O315" i="3"/>
  <c r="U315" i="3"/>
  <c r="AD315" i="3"/>
  <c r="M315" i="3"/>
  <c r="AF315" i="3"/>
  <c r="AE315" i="3"/>
  <c r="AK315" i="3"/>
  <c r="AM315" i="3"/>
  <c r="V315" i="3"/>
  <c r="P315" i="3"/>
  <c r="R315" i="3"/>
  <c r="T315" i="3"/>
  <c r="AW313" i="3"/>
  <c r="AY313" i="3" s="1"/>
  <c r="AT314" i="3"/>
  <c r="AU314" i="3"/>
  <c r="BQ311" i="3"/>
  <c r="BF311" i="3"/>
  <c r="BJ310" i="3" s="1"/>
  <c r="BK310" i="3" s="1"/>
  <c r="BB311" i="3"/>
  <c r="AU313" i="3"/>
  <c r="BC312" i="3"/>
  <c r="Y314" i="3"/>
  <c r="Z314" i="3" s="1"/>
  <c r="AO314" i="3"/>
  <c r="BD311" i="3"/>
  <c r="BG311" i="3"/>
  <c r="BH311" i="3" s="1"/>
  <c r="BI311" i="3" s="1"/>
  <c r="AH314" i="3"/>
  <c r="BA312" i="3"/>
  <c r="X314" i="3"/>
  <c r="AT313" i="3"/>
  <c r="AN315" i="3" l="1"/>
  <c r="AG315" i="3"/>
  <c r="AX314" i="3"/>
  <c r="AH315" i="3"/>
  <c r="BD312" i="3"/>
  <c r="BG312" i="3"/>
  <c r="BH312" i="3" s="1"/>
  <c r="BI312" i="3" s="1"/>
  <c r="X315" i="3"/>
  <c r="BB312" i="3"/>
  <c r="BQ312" i="3"/>
  <c r="BF312" i="3"/>
  <c r="BJ311" i="3" s="1"/>
  <c r="BK311" i="3" s="1"/>
  <c r="D316" i="3"/>
  <c r="C316" i="3"/>
  <c r="A317" i="3"/>
  <c r="B316" i="3"/>
  <c r="AR316" i="3"/>
  <c r="AQ316" i="3"/>
  <c r="F316" i="3"/>
  <c r="BM316" i="3" s="1"/>
  <c r="G316" i="3"/>
  <c r="H316" i="3" s="1"/>
  <c r="Q316" i="3"/>
  <c r="S316" i="3"/>
  <c r="O316" i="3"/>
  <c r="U316" i="3"/>
  <c r="AD316" i="3"/>
  <c r="AF316" i="3"/>
  <c r="AE316" i="3"/>
  <c r="AG316" i="3" s="1"/>
  <c r="M316" i="3"/>
  <c r="AK316" i="3"/>
  <c r="AM316" i="3"/>
  <c r="R316" i="3"/>
  <c r="V316" i="3"/>
  <c r="P316" i="3"/>
  <c r="T316" i="3"/>
  <c r="BA313" i="3"/>
  <c r="AV313" i="3"/>
  <c r="BC313" i="3" s="1"/>
  <c r="AV314" i="3"/>
  <c r="AW314" i="3"/>
  <c r="AY314" i="3" s="1"/>
  <c r="AT315" i="3"/>
  <c r="Y315" i="3"/>
  <c r="Z315" i="3" s="1"/>
  <c r="AO315" i="3"/>
  <c r="AW315" i="3" s="1"/>
  <c r="AU315" i="3"/>
  <c r="AX315" i="3" l="1"/>
  <c r="AN316" i="3"/>
  <c r="BN316" i="3"/>
  <c r="BD313" i="3"/>
  <c r="BG313" i="3"/>
  <c r="BH313" i="3" s="1"/>
  <c r="BI313" i="3" s="1"/>
  <c r="AR317" i="3"/>
  <c r="B317" i="3"/>
  <c r="AQ317" i="3"/>
  <c r="C317" i="3"/>
  <c r="D317" i="3"/>
  <c r="A318" i="3"/>
  <c r="G317" i="3"/>
  <c r="H317" i="3" s="1"/>
  <c r="F317" i="3"/>
  <c r="BM317" i="3" s="1"/>
  <c r="Q317" i="3"/>
  <c r="S317" i="3"/>
  <c r="O317" i="3"/>
  <c r="U317" i="3"/>
  <c r="AD317" i="3"/>
  <c r="AE317" i="3"/>
  <c r="M317" i="3"/>
  <c r="AF317" i="3"/>
  <c r="AK317" i="3"/>
  <c r="AM317" i="3"/>
  <c r="V317" i="3"/>
  <c r="P317" i="3"/>
  <c r="T317" i="3"/>
  <c r="R317" i="3"/>
  <c r="AY315" i="3"/>
  <c r="X316" i="3"/>
  <c r="BF313" i="3"/>
  <c r="BJ312" i="3" s="1"/>
  <c r="BK312" i="3" s="1"/>
  <c r="BQ313" i="3"/>
  <c r="BB313" i="3"/>
  <c r="Y316" i="3"/>
  <c r="Z316" i="3" s="1"/>
  <c r="AO316" i="3"/>
  <c r="AH316" i="3"/>
  <c r="AT316" i="3" s="1"/>
  <c r="AU316" i="3"/>
  <c r="AV315" i="3"/>
  <c r="BA315" i="3"/>
  <c r="BA314" i="3"/>
  <c r="BC314" i="3"/>
  <c r="AN317" i="3" l="1"/>
  <c r="X317" i="3"/>
  <c r="BN317" i="3"/>
  <c r="AW316" i="3"/>
  <c r="AH317" i="3"/>
  <c r="AV316" i="3"/>
  <c r="Y317" i="3"/>
  <c r="Z317" i="3" s="1"/>
  <c r="BC315" i="3"/>
  <c r="AO317" i="3"/>
  <c r="AR318" i="3"/>
  <c r="B318" i="3"/>
  <c r="AQ318" i="3"/>
  <c r="A319" i="3"/>
  <c r="C318" i="3"/>
  <c r="D318" i="3"/>
  <c r="G318" i="3"/>
  <c r="H318" i="3" s="1"/>
  <c r="BN318" i="3" s="1"/>
  <c r="F318" i="3"/>
  <c r="BM318" i="3" s="1"/>
  <c r="Q318" i="3"/>
  <c r="S318" i="3"/>
  <c r="O318" i="3"/>
  <c r="U318" i="3"/>
  <c r="M318" i="3"/>
  <c r="AD318" i="3"/>
  <c r="AF318" i="3"/>
  <c r="AM318" i="3"/>
  <c r="AE318" i="3"/>
  <c r="AG318" i="3" s="1"/>
  <c r="AK318" i="3"/>
  <c r="R318" i="3"/>
  <c r="V318" i="3"/>
  <c r="P318" i="3"/>
  <c r="T318" i="3"/>
  <c r="BD314" i="3"/>
  <c r="BG314" i="3"/>
  <c r="BH314" i="3" s="1"/>
  <c r="BI314" i="3" s="1"/>
  <c r="BF314" i="3"/>
  <c r="BJ313" i="3" s="1"/>
  <c r="BK313" i="3" s="1"/>
  <c r="BQ314" i="3"/>
  <c r="BB314" i="3"/>
  <c r="BB315" i="3"/>
  <c r="BF315" i="3"/>
  <c r="BQ315" i="3"/>
  <c r="AX316" i="3"/>
  <c r="AY316" i="3" s="1"/>
  <c r="AG317" i="3"/>
  <c r="AW317" i="3" s="1"/>
  <c r="AO318" i="3" l="1"/>
  <c r="BJ314" i="3"/>
  <c r="BK314" i="3" s="1"/>
  <c r="AT317" i="3"/>
  <c r="Y318" i="3"/>
  <c r="Z318" i="3" s="1"/>
  <c r="A320" i="3"/>
  <c r="AR319" i="3"/>
  <c r="D319" i="3"/>
  <c r="C319" i="3"/>
  <c r="B319" i="3"/>
  <c r="AQ319" i="3"/>
  <c r="G319" i="3"/>
  <c r="H319" i="3" s="1"/>
  <c r="BN319" i="3" s="1"/>
  <c r="F319" i="3"/>
  <c r="BM319" i="3" s="1"/>
  <c r="Q319" i="3"/>
  <c r="S319" i="3"/>
  <c r="O319" i="3"/>
  <c r="U319" i="3"/>
  <c r="M319" i="3"/>
  <c r="AF319" i="3"/>
  <c r="AD319" i="3"/>
  <c r="AM319" i="3"/>
  <c r="AE319" i="3"/>
  <c r="AG319" i="3" s="1"/>
  <c r="AK319" i="3"/>
  <c r="AO319" i="3" s="1"/>
  <c r="P319" i="3"/>
  <c r="T319" i="3"/>
  <c r="R319" i="3"/>
  <c r="V319" i="3"/>
  <c r="AH318" i="3"/>
  <c r="X318" i="3"/>
  <c r="AX317" i="3"/>
  <c r="AY317" i="3" s="1"/>
  <c r="AN318" i="3"/>
  <c r="AW318" i="3" s="1"/>
  <c r="BD315" i="3"/>
  <c r="BG315" i="3"/>
  <c r="BH315" i="3" s="1"/>
  <c r="BI315" i="3" s="1"/>
  <c r="BA316" i="3"/>
  <c r="BC316" i="3"/>
  <c r="AU317" i="3"/>
  <c r="AX318" i="3" l="1"/>
  <c r="AY318" i="3" s="1"/>
  <c r="Y319" i="3"/>
  <c r="Z319" i="3" s="1"/>
  <c r="A321" i="3"/>
  <c r="AR320" i="3"/>
  <c r="AQ320" i="3"/>
  <c r="D320" i="3"/>
  <c r="C320" i="3"/>
  <c r="B320" i="3"/>
  <c r="G320" i="3"/>
  <c r="H320" i="3" s="1"/>
  <c r="BN320" i="3" s="1"/>
  <c r="F320" i="3"/>
  <c r="BM320" i="3" s="1"/>
  <c r="Q320" i="3"/>
  <c r="S320" i="3"/>
  <c r="O320" i="3"/>
  <c r="U320" i="3"/>
  <c r="AF320" i="3"/>
  <c r="AD320" i="3"/>
  <c r="AE320" i="3"/>
  <c r="AM320" i="3"/>
  <c r="AK320" i="3"/>
  <c r="AO320" i="3" s="1"/>
  <c r="M320" i="3"/>
  <c r="V320" i="3"/>
  <c r="P320" i="3"/>
  <c r="T320" i="3"/>
  <c r="R320" i="3"/>
  <c r="BD316" i="3"/>
  <c r="BG316" i="3"/>
  <c r="BH316" i="3" s="1"/>
  <c r="BI316" i="3" s="1"/>
  <c r="AV317" i="3"/>
  <c r="BC317" i="3" s="1"/>
  <c r="BA317" i="3"/>
  <c r="AT318" i="3"/>
  <c r="X319" i="3"/>
  <c r="AN319" i="3"/>
  <c r="AH319" i="3"/>
  <c r="AX319" i="3" s="1"/>
  <c r="BF316" i="3"/>
  <c r="BJ315" i="3" s="1"/>
  <c r="BK315" i="3" s="1"/>
  <c r="BQ316" i="3"/>
  <c r="BB316" i="3"/>
  <c r="AU318" i="3"/>
  <c r="AG320" i="3" l="1"/>
  <c r="AV318" i="3"/>
  <c r="BC318" i="3" s="1"/>
  <c r="BA318" i="3"/>
  <c r="BD317" i="3"/>
  <c r="BG317" i="3"/>
  <c r="BH317" i="3" s="1"/>
  <c r="BI317" i="3" s="1"/>
  <c r="BQ317" i="3"/>
  <c r="BF317" i="3"/>
  <c r="BJ316" i="3" s="1"/>
  <c r="BK316" i="3" s="1"/>
  <c r="BB317" i="3"/>
  <c r="AU320" i="3"/>
  <c r="AR321" i="3"/>
  <c r="B321" i="3"/>
  <c r="AQ321" i="3"/>
  <c r="A322" i="3"/>
  <c r="D321" i="3"/>
  <c r="C321" i="3"/>
  <c r="G321" i="3"/>
  <c r="H321" i="3" s="1"/>
  <c r="BN321" i="3" s="1"/>
  <c r="F321" i="3"/>
  <c r="Q321" i="3"/>
  <c r="S321" i="3"/>
  <c r="O321" i="3"/>
  <c r="U321" i="3"/>
  <c r="AF321" i="3"/>
  <c r="AD321" i="3"/>
  <c r="M321" i="3"/>
  <c r="AE321" i="3"/>
  <c r="AM321" i="3"/>
  <c r="AK321" i="3"/>
  <c r="T321" i="3"/>
  <c r="V321" i="3"/>
  <c r="R321" i="3"/>
  <c r="P321" i="3"/>
  <c r="AN320" i="3"/>
  <c r="AW320" i="3" s="1"/>
  <c r="AW319" i="3"/>
  <c r="AY319" i="3" s="1"/>
  <c r="AH320" i="3"/>
  <c r="Y320" i="3"/>
  <c r="Z320" i="3" s="1"/>
  <c r="AT320" i="3"/>
  <c r="AT319" i="3"/>
  <c r="AU319" i="3"/>
  <c r="X320" i="3"/>
  <c r="AG321" i="3" l="1"/>
  <c r="BM321" i="3"/>
  <c r="AN321" i="3"/>
  <c r="AR322" i="3"/>
  <c r="B322" i="3"/>
  <c r="AQ322" i="3"/>
  <c r="A323" i="3"/>
  <c r="D322" i="3"/>
  <c r="C322" i="3"/>
  <c r="G322" i="3"/>
  <c r="H322" i="3" s="1"/>
  <c r="BN322" i="3" s="1"/>
  <c r="F322" i="3"/>
  <c r="Q322" i="3"/>
  <c r="S322" i="3"/>
  <c r="O322" i="3"/>
  <c r="U322" i="3"/>
  <c r="AF322" i="3"/>
  <c r="AE322" i="3"/>
  <c r="AD322" i="3"/>
  <c r="M322" i="3"/>
  <c r="AK322" i="3"/>
  <c r="AM322" i="3"/>
  <c r="P322" i="3"/>
  <c r="R322" i="3"/>
  <c r="V322" i="3"/>
  <c r="T322" i="3"/>
  <c r="BB318" i="3"/>
  <c r="BF318" i="3"/>
  <c r="BJ317" i="3" s="1"/>
  <c r="BK317" i="3" s="1"/>
  <c r="BQ318" i="3"/>
  <c r="Y321" i="3"/>
  <c r="Z321" i="3" s="1"/>
  <c r="AO321" i="3"/>
  <c r="AH321" i="3"/>
  <c r="AV319" i="3"/>
  <c r="BC319" i="3" s="1"/>
  <c r="BA319" i="3"/>
  <c r="X321" i="3"/>
  <c r="AV320" i="3"/>
  <c r="AX320" i="3"/>
  <c r="AY320" i="3" s="1"/>
  <c r="BD318" i="3"/>
  <c r="BG318" i="3"/>
  <c r="BH318" i="3" s="1"/>
  <c r="BI318" i="3" s="1"/>
  <c r="AW321" i="3" l="1"/>
  <c r="AG322" i="3"/>
  <c r="AT321" i="3"/>
  <c r="AU321" i="3"/>
  <c r="X322" i="3"/>
  <c r="AO322" i="3"/>
  <c r="AH322" i="3"/>
  <c r="AU322" i="3" s="1"/>
  <c r="BA320" i="3"/>
  <c r="AQ323" i="3"/>
  <c r="B323" i="3"/>
  <c r="A324" i="3"/>
  <c r="AR323" i="3"/>
  <c r="D323" i="3"/>
  <c r="C323" i="3"/>
  <c r="F323" i="3"/>
  <c r="BM323" i="3" s="1"/>
  <c r="G323" i="3"/>
  <c r="H323" i="3" s="1"/>
  <c r="BN323" i="3" s="1"/>
  <c r="Q323" i="3"/>
  <c r="S323" i="3"/>
  <c r="O323" i="3"/>
  <c r="U323" i="3"/>
  <c r="AD323" i="3"/>
  <c r="M323" i="3"/>
  <c r="AF323" i="3"/>
  <c r="AE323" i="3"/>
  <c r="AK323" i="3"/>
  <c r="AM323" i="3"/>
  <c r="R323" i="3"/>
  <c r="V323" i="3"/>
  <c r="P323" i="3"/>
  <c r="T323" i="3"/>
  <c r="BC320" i="3"/>
  <c r="AV321" i="3"/>
  <c r="BM322" i="3"/>
  <c r="Y322" i="3"/>
  <c r="Z322" i="3" s="1"/>
  <c r="BB319" i="3"/>
  <c r="BF319" i="3"/>
  <c r="BJ318" i="3" s="1"/>
  <c r="BK318" i="3" s="1"/>
  <c r="BQ319" i="3"/>
  <c r="AN322" i="3"/>
  <c r="BD319" i="3"/>
  <c r="BG319" i="3"/>
  <c r="BH319" i="3" s="1"/>
  <c r="BI319" i="3" s="1"/>
  <c r="AT322" i="3"/>
  <c r="AX321" i="3"/>
  <c r="AY321" i="3" l="1"/>
  <c r="AN323" i="3"/>
  <c r="BA321" i="3"/>
  <c r="AG323" i="3"/>
  <c r="X323" i="3"/>
  <c r="AV322" i="3"/>
  <c r="BF321" i="3"/>
  <c r="BQ321" i="3"/>
  <c r="BB321" i="3"/>
  <c r="Y323" i="3"/>
  <c r="Z323" i="3" s="1"/>
  <c r="D324" i="3"/>
  <c r="C324" i="3"/>
  <c r="A325" i="3"/>
  <c r="B324" i="3"/>
  <c r="AR324" i="3"/>
  <c r="AQ324" i="3"/>
  <c r="F324" i="3"/>
  <c r="BM324" i="3" s="1"/>
  <c r="G324" i="3"/>
  <c r="H324" i="3" s="1"/>
  <c r="BN324" i="3" s="1"/>
  <c r="Q324" i="3"/>
  <c r="S324" i="3"/>
  <c r="O324" i="3"/>
  <c r="U324" i="3"/>
  <c r="AD324" i="3"/>
  <c r="AE324" i="3"/>
  <c r="AF324" i="3"/>
  <c r="AK324" i="3"/>
  <c r="M324" i="3"/>
  <c r="AM324" i="3"/>
  <c r="R324" i="3"/>
  <c r="V324" i="3"/>
  <c r="P324" i="3"/>
  <c r="T324" i="3"/>
  <c r="AX322" i="3"/>
  <c r="BC321" i="3"/>
  <c r="BG320" i="3"/>
  <c r="BH320" i="3" s="1"/>
  <c r="BI320" i="3" s="1"/>
  <c r="BD320" i="3"/>
  <c r="AO323" i="3"/>
  <c r="BQ320" i="3"/>
  <c r="BB320" i="3"/>
  <c r="BF320" i="3"/>
  <c r="BJ319" i="3" s="1"/>
  <c r="BK319" i="3" s="1"/>
  <c r="AH323" i="3"/>
  <c r="AX323" i="3" s="1"/>
  <c r="AW322" i="3"/>
  <c r="AU323" i="3" l="1"/>
  <c r="AN324" i="3"/>
  <c r="AR325" i="3"/>
  <c r="B325" i="3"/>
  <c r="AQ325" i="3"/>
  <c r="C325" i="3"/>
  <c r="D325" i="3"/>
  <c r="A326" i="3"/>
  <c r="F325" i="3"/>
  <c r="BM325" i="3" s="1"/>
  <c r="G325" i="3"/>
  <c r="H325" i="3" s="1"/>
  <c r="BN325" i="3" s="1"/>
  <c r="Q325" i="3"/>
  <c r="S325" i="3"/>
  <c r="O325" i="3"/>
  <c r="U325" i="3"/>
  <c r="AD325" i="3"/>
  <c r="AF325" i="3"/>
  <c r="AK325" i="3"/>
  <c r="AE325" i="3"/>
  <c r="M325" i="3"/>
  <c r="AM325" i="3"/>
  <c r="V325" i="3"/>
  <c r="R325" i="3"/>
  <c r="P325" i="3"/>
  <c r="T325" i="3"/>
  <c r="Y324" i="3"/>
  <c r="Z324" i="3" s="1"/>
  <c r="AY322" i="3"/>
  <c r="BC322" i="3" s="1"/>
  <c r="X324" i="3"/>
  <c r="AH324" i="3"/>
  <c r="AO324" i="3"/>
  <c r="AG324" i="3"/>
  <c r="AW323" i="3"/>
  <c r="AY323" i="3" s="1"/>
  <c r="BJ320" i="3"/>
  <c r="BK320" i="3" s="1"/>
  <c r="BA322" i="3"/>
  <c r="BD321" i="3"/>
  <c r="BG321" i="3"/>
  <c r="BH321" i="3" s="1"/>
  <c r="BI321" i="3" s="1"/>
  <c r="AT323" i="3"/>
  <c r="AO325" i="3" l="1"/>
  <c r="AW324" i="3"/>
  <c r="BG322" i="3"/>
  <c r="BH322" i="3" s="1"/>
  <c r="BI322" i="3" s="1"/>
  <c r="BD322" i="3"/>
  <c r="AU324" i="3"/>
  <c r="X325" i="3"/>
  <c r="AV323" i="3"/>
  <c r="BC323" i="3" s="1"/>
  <c r="BA323" i="3"/>
  <c r="AN325" i="3"/>
  <c r="AH325" i="3"/>
  <c r="AX324" i="3"/>
  <c r="AY324" i="3" s="1"/>
  <c r="AR326" i="3"/>
  <c r="B326" i="3"/>
  <c r="A327" i="3"/>
  <c r="C326" i="3"/>
  <c r="D326" i="3"/>
  <c r="AQ326" i="3"/>
  <c r="G326" i="3"/>
  <c r="H326" i="3" s="1"/>
  <c r="F326" i="3"/>
  <c r="Q326" i="3"/>
  <c r="S326" i="3"/>
  <c r="O326" i="3"/>
  <c r="U326" i="3"/>
  <c r="AD326" i="3"/>
  <c r="AF326" i="3"/>
  <c r="AE326" i="3"/>
  <c r="AG326" i="3" s="1"/>
  <c r="M326" i="3"/>
  <c r="AM326" i="3"/>
  <c r="AK326" i="3"/>
  <c r="T326" i="3"/>
  <c r="R326" i="3"/>
  <c r="P326" i="3"/>
  <c r="V326" i="3"/>
  <c r="Y325" i="3"/>
  <c r="Z325" i="3" s="1"/>
  <c r="BB322" i="3"/>
  <c r="BF322" i="3"/>
  <c r="BJ321" i="3" s="1"/>
  <c r="BK321" i="3" s="1"/>
  <c r="BQ322" i="3"/>
  <c r="AG325" i="3"/>
  <c r="AT324" i="3"/>
  <c r="AO326" i="3" l="1"/>
  <c r="BN326" i="3"/>
  <c r="AW325" i="3"/>
  <c r="AH326" i="3"/>
  <c r="AN326" i="3"/>
  <c r="AT325" i="3"/>
  <c r="AU325" i="3"/>
  <c r="BA324" i="3"/>
  <c r="AV324" i="3"/>
  <c r="BC324" i="3" s="1"/>
  <c r="X326" i="3"/>
  <c r="BQ323" i="3"/>
  <c r="BF323" i="3"/>
  <c r="BJ322" i="3" s="1"/>
  <c r="BK322" i="3" s="1"/>
  <c r="BB323" i="3"/>
  <c r="BM326" i="3"/>
  <c r="Y326" i="3"/>
  <c r="Z326" i="3" s="1"/>
  <c r="AU326" i="3"/>
  <c r="C327" i="3"/>
  <c r="AQ327" i="3"/>
  <c r="B327" i="3"/>
  <c r="A328" i="3"/>
  <c r="AR327" i="3"/>
  <c r="D327" i="3"/>
  <c r="F327" i="3"/>
  <c r="G327" i="3"/>
  <c r="H327" i="3" s="1"/>
  <c r="BN327" i="3" s="1"/>
  <c r="Q327" i="3"/>
  <c r="S327" i="3"/>
  <c r="O327" i="3"/>
  <c r="U327" i="3"/>
  <c r="AF327" i="3"/>
  <c r="M327" i="3"/>
  <c r="AD327" i="3"/>
  <c r="AK327" i="3"/>
  <c r="AM327" i="3"/>
  <c r="AE327" i="3"/>
  <c r="R327" i="3"/>
  <c r="V327" i="3"/>
  <c r="P327" i="3"/>
  <c r="T327" i="3"/>
  <c r="AT326" i="3"/>
  <c r="AX325" i="3"/>
  <c r="AY325" i="3" s="1"/>
  <c r="BD323" i="3"/>
  <c r="BG323" i="3"/>
  <c r="BH323" i="3" s="1"/>
  <c r="BI323" i="3" s="1"/>
  <c r="AN327" i="3" l="1"/>
  <c r="X327" i="3"/>
  <c r="AH327" i="3"/>
  <c r="BD324" i="3"/>
  <c r="BG324" i="3"/>
  <c r="BH324" i="3" s="1"/>
  <c r="BI324" i="3" s="1"/>
  <c r="AO327" i="3"/>
  <c r="BQ324" i="3"/>
  <c r="BF324" i="3"/>
  <c r="BJ323" i="3" s="1"/>
  <c r="BK323" i="3" s="1"/>
  <c r="BB324" i="3"/>
  <c r="AV326" i="3"/>
  <c r="AV325" i="3"/>
  <c r="BC325" i="3" s="1"/>
  <c r="BA325" i="3"/>
  <c r="AX327" i="3"/>
  <c r="BM327" i="3"/>
  <c r="AT327" i="3"/>
  <c r="Y327" i="3"/>
  <c r="Z327" i="3" s="1"/>
  <c r="A329" i="3"/>
  <c r="AR328" i="3"/>
  <c r="AQ328" i="3"/>
  <c r="C328" i="3"/>
  <c r="D328" i="3"/>
  <c r="B328" i="3"/>
  <c r="F328" i="3"/>
  <c r="BM328" i="3" s="1"/>
  <c r="G328" i="3"/>
  <c r="H328" i="3" s="1"/>
  <c r="BN328" i="3" s="1"/>
  <c r="Q328" i="3"/>
  <c r="S328" i="3"/>
  <c r="O328" i="3"/>
  <c r="U328" i="3"/>
  <c r="AE328" i="3"/>
  <c r="M328" i="3"/>
  <c r="AD328" i="3"/>
  <c r="AF328" i="3"/>
  <c r="AM328" i="3"/>
  <c r="AK328" i="3"/>
  <c r="AO328" i="3" s="1"/>
  <c r="R328" i="3"/>
  <c r="V328" i="3"/>
  <c r="T328" i="3"/>
  <c r="P328" i="3"/>
  <c r="AX326" i="3"/>
  <c r="AW326" i="3"/>
  <c r="AG327" i="3"/>
  <c r="AW327" i="3" s="1"/>
  <c r="BA326" i="3" l="1"/>
  <c r="X328" i="3"/>
  <c r="BQ326" i="3"/>
  <c r="BF326" i="3"/>
  <c r="BB326" i="3"/>
  <c r="BB325" i="3"/>
  <c r="BQ325" i="3"/>
  <c r="BF325" i="3"/>
  <c r="BJ324" i="3" s="1"/>
  <c r="BK324" i="3" s="1"/>
  <c r="AU327" i="3"/>
  <c r="BA327" i="3" s="1"/>
  <c r="AG328" i="3"/>
  <c r="AH328" i="3"/>
  <c r="AX328" i="3" s="1"/>
  <c r="BD325" i="3"/>
  <c r="BG325" i="3"/>
  <c r="BH325" i="3" s="1"/>
  <c r="BI325" i="3" s="1"/>
  <c r="AU328" i="3"/>
  <c r="AY326" i="3"/>
  <c r="BC326" i="3" s="1"/>
  <c r="Y328" i="3"/>
  <c r="Z328" i="3" s="1"/>
  <c r="AY327" i="3"/>
  <c r="AN328" i="3"/>
  <c r="B329" i="3"/>
  <c r="AR329" i="3"/>
  <c r="AQ329" i="3"/>
  <c r="A330" i="3"/>
  <c r="D329" i="3"/>
  <c r="C329" i="3"/>
  <c r="G329" i="3"/>
  <c r="H329" i="3" s="1"/>
  <c r="BN329" i="3" s="1"/>
  <c r="F329" i="3"/>
  <c r="BM329" i="3" s="1"/>
  <c r="S329" i="3"/>
  <c r="Q329" i="3"/>
  <c r="O329" i="3"/>
  <c r="U329" i="3"/>
  <c r="AF329" i="3"/>
  <c r="AE329" i="3"/>
  <c r="M329" i="3"/>
  <c r="AD329" i="3"/>
  <c r="AK329" i="3"/>
  <c r="AM329" i="3"/>
  <c r="R329" i="3"/>
  <c r="V329" i="3"/>
  <c r="T329" i="3"/>
  <c r="P329" i="3"/>
  <c r="AG329" i="3" l="1"/>
  <c r="AN329" i="3"/>
  <c r="BD326" i="3"/>
  <c r="BG326" i="3"/>
  <c r="BH326" i="3" s="1"/>
  <c r="BI326" i="3" s="1"/>
  <c r="BQ327" i="3"/>
  <c r="BF327" i="3"/>
  <c r="BJ326" i="3" s="1"/>
  <c r="BK326" i="3" s="1"/>
  <c r="BB327" i="3"/>
  <c r="AW328" i="3"/>
  <c r="AY328" i="3" s="1"/>
  <c r="A331" i="3"/>
  <c r="D330" i="3"/>
  <c r="B330" i="3"/>
  <c r="AQ330" i="3"/>
  <c r="C330" i="3"/>
  <c r="AR330" i="3"/>
  <c r="F330" i="3"/>
  <c r="BM330" i="3" s="1"/>
  <c r="G330" i="3"/>
  <c r="H330" i="3" s="1"/>
  <c r="BN330" i="3" s="1"/>
  <c r="Q330" i="3"/>
  <c r="S330" i="3"/>
  <c r="O330" i="3"/>
  <c r="U330" i="3"/>
  <c r="M330" i="3"/>
  <c r="AE330" i="3"/>
  <c r="AD330" i="3"/>
  <c r="AF330" i="3"/>
  <c r="AK330" i="3"/>
  <c r="AM330" i="3"/>
  <c r="R330" i="3"/>
  <c r="P330" i="3"/>
  <c r="T330" i="3"/>
  <c r="V330" i="3"/>
  <c r="AU329" i="3"/>
  <c r="X329" i="3"/>
  <c r="AO329" i="3"/>
  <c r="AV327" i="3"/>
  <c r="BC327" i="3" s="1"/>
  <c r="Y329" i="3"/>
  <c r="Z329" i="3" s="1"/>
  <c r="AH329" i="3"/>
  <c r="AT329" i="3" s="1"/>
  <c r="BJ325" i="3"/>
  <c r="BK325" i="3" s="1"/>
  <c r="AT328" i="3"/>
  <c r="AW329" i="3" l="1"/>
  <c r="AO330" i="3"/>
  <c r="Y330" i="3"/>
  <c r="Z330" i="3" s="1"/>
  <c r="AX329" i="3"/>
  <c r="AY329" i="3" s="1"/>
  <c r="AV329" i="3"/>
  <c r="X330" i="3"/>
  <c r="AN330" i="3"/>
  <c r="AG330" i="3"/>
  <c r="AQ331" i="3"/>
  <c r="B331" i="3"/>
  <c r="A332" i="3"/>
  <c r="AR331" i="3"/>
  <c r="D331" i="3"/>
  <c r="C331" i="3"/>
  <c r="F331" i="3"/>
  <c r="G331" i="3"/>
  <c r="H331" i="3" s="1"/>
  <c r="BN331" i="3" s="1"/>
  <c r="Q331" i="3"/>
  <c r="S331" i="3"/>
  <c r="O331" i="3"/>
  <c r="U331" i="3"/>
  <c r="M331" i="3"/>
  <c r="AD331" i="3"/>
  <c r="AF331" i="3"/>
  <c r="AK331" i="3"/>
  <c r="AE331" i="3"/>
  <c r="AM331" i="3"/>
  <c r="AN331" i="3" s="1"/>
  <c r="P331" i="3"/>
  <c r="V331" i="3"/>
  <c r="R331" i="3"/>
  <c r="T331" i="3"/>
  <c r="AH330" i="3"/>
  <c r="AX330" i="3" s="1"/>
  <c r="AV328" i="3"/>
  <c r="BC328" i="3" s="1"/>
  <c r="BA328" i="3"/>
  <c r="BD327" i="3"/>
  <c r="BG327" i="3"/>
  <c r="BH327" i="3" s="1"/>
  <c r="BI327" i="3" s="1"/>
  <c r="BA329" i="3" l="1"/>
  <c r="AU330" i="3"/>
  <c r="BM331" i="3"/>
  <c r="AO331" i="3"/>
  <c r="AW330" i="3"/>
  <c r="AY330" i="3" s="1"/>
  <c r="Y331" i="3"/>
  <c r="Z331" i="3" s="1"/>
  <c r="BG328" i="3"/>
  <c r="BH328" i="3" s="1"/>
  <c r="BI328" i="3" s="1"/>
  <c r="BD328" i="3"/>
  <c r="AT330" i="3"/>
  <c r="A333" i="3"/>
  <c r="B332" i="3"/>
  <c r="AR332" i="3"/>
  <c r="AQ332" i="3"/>
  <c r="D332" i="3"/>
  <c r="C332" i="3"/>
  <c r="F332" i="3"/>
  <c r="G332" i="3"/>
  <c r="H332" i="3" s="1"/>
  <c r="Q332" i="3"/>
  <c r="S332" i="3"/>
  <c r="O332" i="3"/>
  <c r="U332" i="3"/>
  <c r="AF332" i="3"/>
  <c r="AE332" i="3"/>
  <c r="M332" i="3"/>
  <c r="AD332" i="3"/>
  <c r="AH332" i="3" s="1"/>
  <c r="AM332" i="3"/>
  <c r="AK332" i="3"/>
  <c r="T332" i="3"/>
  <c r="P332" i="3"/>
  <c r="R332" i="3"/>
  <c r="V332" i="3"/>
  <c r="AG331" i="3"/>
  <c r="AH331" i="3"/>
  <c r="X331" i="3"/>
  <c r="BC329" i="3"/>
  <c r="BF328" i="3"/>
  <c r="BJ327" i="3" s="1"/>
  <c r="BK327" i="3" s="1"/>
  <c r="BB328" i="3"/>
  <c r="BQ328" i="3"/>
  <c r="BB329" i="3"/>
  <c r="BF329" i="3"/>
  <c r="BJ328" i="3" s="1"/>
  <c r="BK328" i="3" s="1"/>
  <c r="BQ329" i="3"/>
  <c r="AO332" i="3" l="1"/>
  <c r="AT331" i="3"/>
  <c r="Y332" i="3"/>
  <c r="Z332" i="3" s="1"/>
  <c r="AU331" i="3"/>
  <c r="AV331" i="3" s="1"/>
  <c r="AX331" i="3"/>
  <c r="AV330" i="3"/>
  <c r="BC330" i="3" s="1"/>
  <c r="BA330" i="3"/>
  <c r="X332" i="3"/>
  <c r="AG332" i="3"/>
  <c r="AN332" i="3"/>
  <c r="BD329" i="3"/>
  <c r="BG329" i="3"/>
  <c r="BH329" i="3" s="1"/>
  <c r="BI329" i="3" s="1"/>
  <c r="BN332" i="3"/>
  <c r="B333" i="3"/>
  <c r="AQ333" i="3"/>
  <c r="D333" i="3"/>
  <c r="C333" i="3"/>
  <c r="AR333" i="3"/>
  <c r="A334" i="3"/>
  <c r="G333" i="3"/>
  <c r="H333" i="3" s="1"/>
  <c r="F333" i="3"/>
  <c r="Q333" i="3"/>
  <c r="S333" i="3"/>
  <c r="O333" i="3"/>
  <c r="U333" i="3"/>
  <c r="AF333" i="3"/>
  <c r="AD333" i="3"/>
  <c r="AE333" i="3"/>
  <c r="AG333" i="3" s="1"/>
  <c r="M333" i="3"/>
  <c r="AM333" i="3"/>
  <c r="AK333" i="3"/>
  <c r="R333" i="3"/>
  <c r="V333" i="3"/>
  <c r="P333" i="3"/>
  <c r="T333" i="3"/>
  <c r="AW331" i="3"/>
  <c r="BM332" i="3"/>
  <c r="AY331" i="3" l="1"/>
  <c r="AO333" i="3"/>
  <c r="AX332" i="3"/>
  <c r="AW332" i="3"/>
  <c r="BM333" i="3"/>
  <c r="BF330" i="3"/>
  <c r="BJ329" i="3" s="1"/>
  <c r="BK329" i="3" s="1"/>
  <c r="BB330" i="3"/>
  <c r="BQ330" i="3"/>
  <c r="Y333" i="3"/>
  <c r="Z333" i="3" s="1"/>
  <c r="AN333" i="3"/>
  <c r="X333" i="3"/>
  <c r="BA331" i="3"/>
  <c r="BC331" i="3"/>
  <c r="AR334" i="3"/>
  <c r="B334" i="3"/>
  <c r="C334" i="3"/>
  <c r="AQ334" i="3"/>
  <c r="A335" i="3"/>
  <c r="D334" i="3"/>
  <c r="G334" i="3"/>
  <c r="H334" i="3" s="1"/>
  <c r="BN334" i="3" s="1"/>
  <c r="F334" i="3"/>
  <c r="Q334" i="3"/>
  <c r="S334" i="3"/>
  <c r="O334" i="3"/>
  <c r="U334" i="3"/>
  <c r="AD334" i="3"/>
  <c r="AE334" i="3"/>
  <c r="AF334" i="3"/>
  <c r="M334" i="3"/>
  <c r="AK334" i="3"/>
  <c r="AM334" i="3"/>
  <c r="V334" i="3"/>
  <c r="P334" i="3"/>
  <c r="R334" i="3"/>
  <c r="T334" i="3"/>
  <c r="BD330" i="3"/>
  <c r="BG330" i="3"/>
  <c r="BH330" i="3" s="1"/>
  <c r="BI330" i="3" s="1"/>
  <c r="AH333" i="3"/>
  <c r="AU332" i="3"/>
  <c r="BN333" i="3"/>
  <c r="AT333" i="3"/>
  <c r="AT332" i="3"/>
  <c r="AY332" i="3" l="1"/>
  <c r="AN334" i="3"/>
  <c r="Y334" i="3"/>
  <c r="Z334" i="3" s="1"/>
  <c r="AW333" i="3"/>
  <c r="C335" i="3"/>
  <c r="AQ335" i="3"/>
  <c r="B335" i="3"/>
  <c r="A336" i="3"/>
  <c r="AR335" i="3"/>
  <c r="D335" i="3"/>
  <c r="F335" i="3"/>
  <c r="BM335" i="3" s="1"/>
  <c r="G335" i="3"/>
  <c r="H335" i="3" s="1"/>
  <c r="BN335" i="3" s="1"/>
  <c r="Q335" i="3"/>
  <c r="S335" i="3"/>
  <c r="O335" i="3"/>
  <c r="U335" i="3"/>
  <c r="AF335" i="3"/>
  <c r="AD335" i="3"/>
  <c r="AE335" i="3"/>
  <c r="M335" i="3"/>
  <c r="AK335" i="3"/>
  <c r="AM335" i="3"/>
  <c r="P335" i="3"/>
  <c r="V335" i="3"/>
  <c r="T335" i="3"/>
  <c r="R335" i="3"/>
  <c r="AV332" i="3"/>
  <c r="BC332" i="3" s="1"/>
  <c r="BA332" i="3"/>
  <c r="AG334" i="3"/>
  <c r="AO334" i="3"/>
  <c r="BD331" i="3"/>
  <c r="BG331" i="3"/>
  <c r="BH331" i="3" s="1"/>
  <c r="BI331" i="3" s="1"/>
  <c r="BF331" i="3"/>
  <c r="BJ330" i="3" s="1"/>
  <c r="BK330" i="3" s="1"/>
  <c r="BQ331" i="3"/>
  <c r="BB331" i="3"/>
  <c r="X334" i="3"/>
  <c r="AU333" i="3"/>
  <c r="AV333" i="3" s="1"/>
  <c r="AH334" i="3"/>
  <c r="AX333" i="3"/>
  <c r="AY333" i="3" s="1"/>
  <c r="BM334" i="3"/>
  <c r="X335" i="3" l="1"/>
  <c r="AH335" i="3"/>
  <c r="AN335" i="3"/>
  <c r="AW334" i="3"/>
  <c r="AT334" i="3"/>
  <c r="BA333" i="3"/>
  <c r="BD332" i="3"/>
  <c r="BG332" i="3"/>
  <c r="BH332" i="3" s="1"/>
  <c r="BI332" i="3" s="1"/>
  <c r="BC333" i="3"/>
  <c r="Y335" i="3"/>
  <c r="Z335" i="3" s="1"/>
  <c r="AO335" i="3"/>
  <c r="AG335" i="3"/>
  <c r="BF332" i="3"/>
  <c r="BJ331" i="3" s="1"/>
  <c r="BK331" i="3" s="1"/>
  <c r="BB332" i="3"/>
  <c r="BQ332" i="3"/>
  <c r="AX334" i="3"/>
  <c r="AY334" i="3" s="1"/>
  <c r="A337" i="3"/>
  <c r="AQ336" i="3"/>
  <c r="C336" i="3"/>
  <c r="D336" i="3"/>
  <c r="B336" i="3"/>
  <c r="AR336" i="3"/>
  <c r="G336" i="3"/>
  <c r="H336" i="3" s="1"/>
  <c r="BN336" i="3" s="1"/>
  <c r="F336" i="3"/>
  <c r="BM336" i="3" s="1"/>
  <c r="Q336" i="3"/>
  <c r="S336" i="3"/>
  <c r="O336" i="3"/>
  <c r="U336" i="3"/>
  <c r="AF336" i="3"/>
  <c r="AD336" i="3"/>
  <c r="AE336" i="3"/>
  <c r="AG336" i="3" s="1"/>
  <c r="AK336" i="3"/>
  <c r="M336" i="3"/>
  <c r="AM336" i="3"/>
  <c r="R336" i="3"/>
  <c r="V336" i="3"/>
  <c r="P336" i="3"/>
  <c r="T336" i="3"/>
  <c r="AU334" i="3"/>
  <c r="AW335" i="3" l="1"/>
  <c r="AN336" i="3"/>
  <c r="AV334" i="3"/>
  <c r="BC334" i="3" s="1"/>
  <c r="BA334" i="3"/>
  <c r="AH336" i="3"/>
  <c r="BB333" i="3"/>
  <c r="BQ333" i="3"/>
  <c r="BF333" i="3"/>
  <c r="BJ332" i="3" s="1"/>
  <c r="BK332" i="3" s="1"/>
  <c r="AU336" i="3"/>
  <c r="AR337" i="3"/>
  <c r="AQ337" i="3"/>
  <c r="D337" i="3"/>
  <c r="B337" i="3"/>
  <c r="A338" i="3"/>
  <c r="C337" i="3"/>
  <c r="F337" i="3"/>
  <c r="BM337" i="3" s="1"/>
  <c r="G337" i="3"/>
  <c r="H337" i="3" s="1"/>
  <c r="Q337" i="3"/>
  <c r="S337" i="3"/>
  <c r="O337" i="3"/>
  <c r="U337" i="3"/>
  <c r="AF337" i="3"/>
  <c r="AE337" i="3"/>
  <c r="AD337" i="3"/>
  <c r="AM337" i="3"/>
  <c r="AK337" i="3"/>
  <c r="M337" i="3"/>
  <c r="P337" i="3"/>
  <c r="R337" i="3"/>
  <c r="V337" i="3"/>
  <c r="T337" i="3"/>
  <c r="X336" i="3"/>
  <c r="BD333" i="3"/>
  <c r="BG333" i="3"/>
  <c r="BH333" i="3" s="1"/>
  <c r="BI333" i="3" s="1"/>
  <c r="Y336" i="3"/>
  <c r="Z336" i="3" s="1"/>
  <c r="AU335" i="3"/>
  <c r="AO336" i="3"/>
  <c r="AT335" i="3"/>
  <c r="AX335" i="3"/>
  <c r="AY335" i="3" s="1"/>
  <c r="AO337" i="3" l="1"/>
  <c r="AH337" i="3"/>
  <c r="Y337" i="3"/>
  <c r="Z337" i="3" s="1"/>
  <c r="A339" i="3"/>
  <c r="D338" i="3"/>
  <c r="AQ338" i="3"/>
  <c r="C338" i="3"/>
  <c r="AR338" i="3"/>
  <c r="B338" i="3"/>
  <c r="G338" i="3"/>
  <c r="H338" i="3" s="1"/>
  <c r="BN338" i="3" s="1"/>
  <c r="F338" i="3"/>
  <c r="BM338" i="3" s="1"/>
  <c r="Q338" i="3"/>
  <c r="S338" i="3"/>
  <c r="O338" i="3"/>
  <c r="U338" i="3"/>
  <c r="M338" i="3"/>
  <c r="AF338" i="3"/>
  <c r="AE338" i="3"/>
  <c r="AD338" i="3"/>
  <c r="AM338" i="3"/>
  <c r="AK338" i="3"/>
  <c r="R338" i="3"/>
  <c r="P338" i="3"/>
  <c r="T338" i="3"/>
  <c r="V338" i="3"/>
  <c r="BD334" i="3"/>
  <c r="BG334" i="3"/>
  <c r="BH334" i="3" s="1"/>
  <c r="BI334" i="3" s="1"/>
  <c r="AG337" i="3"/>
  <c r="AV335" i="3"/>
  <c r="BC335" i="3" s="1"/>
  <c r="BA335" i="3"/>
  <c r="X337" i="3"/>
  <c r="AX336" i="3"/>
  <c r="AT336" i="3"/>
  <c r="AN337" i="3"/>
  <c r="BQ334" i="3"/>
  <c r="BF334" i="3"/>
  <c r="BJ333" i="3" s="1"/>
  <c r="BK333" i="3" s="1"/>
  <c r="BB334" i="3"/>
  <c r="BN337" i="3"/>
  <c r="AW336" i="3"/>
  <c r="AO338" i="3" l="1"/>
  <c r="AW337" i="3"/>
  <c r="Y338" i="3"/>
  <c r="Z338" i="3" s="1"/>
  <c r="X338" i="3"/>
  <c r="AX337" i="3"/>
  <c r="BQ335" i="3"/>
  <c r="BB335" i="3"/>
  <c r="BF335" i="3"/>
  <c r="BJ334" i="3" s="1"/>
  <c r="BK334" i="3" s="1"/>
  <c r="BD335" i="3"/>
  <c r="BG335" i="3"/>
  <c r="BH335" i="3" s="1"/>
  <c r="BI335" i="3" s="1"/>
  <c r="AY337" i="3"/>
  <c r="AT338" i="3"/>
  <c r="AN338" i="3"/>
  <c r="B339" i="3"/>
  <c r="A340" i="3"/>
  <c r="AR339" i="3"/>
  <c r="AQ339" i="3"/>
  <c r="D339" i="3"/>
  <c r="C339" i="3"/>
  <c r="F339" i="3"/>
  <c r="BM339" i="3" s="1"/>
  <c r="G339" i="3"/>
  <c r="H339" i="3" s="1"/>
  <c r="Q339" i="3"/>
  <c r="S339" i="3"/>
  <c r="O339" i="3"/>
  <c r="U339" i="3"/>
  <c r="AF339" i="3"/>
  <c r="AD339" i="3"/>
  <c r="M339" i="3"/>
  <c r="AE339" i="3"/>
  <c r="AG339" i="3" s="1"/>
  <c r="AK339" i="3"/>
  <c r="AM339" i="3"/>
  <c r="T339" i="3"/>
  <c r="V339" i="3"/>
  <c r="P339" i="3"/>
  <c r="R339" i="3"/>
  <c r="BA336" i="3"/>
  <c r="AV336" i="3"/>
  <c r="AH338" i="3"/>
  <c r="AT337" i="3"/>
  <c r="AY336" i="3"/>
  <c r="AG338" i="3"/>
  <c r="AU337" i="3"/>
  <c r="AN339" i="3" l="1"/>
  <c r="Y339" i="3"/>
  <c r="Z339" i="3" s="1"/>
  <c r="AO339" i="3"/>
  <c r="AW338" i="3"/>
  <c r="AU338" i="3"/>
  <c r="AV338" i="3" s="1"/>
  <c r="BC336" i="3"/>
  <c r="AW339" i="3"/>
  <c r="AX338" i="3"/>
  <c r="AY338" i="3" s="1"/>
  <c r="BB336" i="3"/>
  <c r="BF336" i="3"/>
  <c r="BJ335" i="3" s="1"/>
  <c r="BK335" i="3" s="1"/>
  <c r="BQ336" i="3"/>
  <c r="AU339" i="3"/>
  <c r="A341" i="3"/>
  <c r="B340" i="3"/>
  <c r="AR340" i="3"/>
  <c r="AQ340" i="3"/>
  <c r="D340" i="3"/>
  <c r="C340" i="3"/>
  <c r="F340" i="3"/>
  <c r="BM340" i="3" s="1"/>
  <c r="G340" i="3"/>
  <c r="H340" i="3" s="1"/>
  <c r="Q340" i="3"/>
  <c r="S340" i="3"/>
  <c r="O340" i="3"/>
  <c r="U340" i="3"/>
  <c r="AE340" i="3"/>
  <c r="M340" i="3"/>
  <c r="AD340" i="3"/>
  <c r="AF340" i="3"/>
  <c r="AK340" i="3"/>
  <c r="AM340" i="3"/>
  <c r="V340" i="3"/>
  <c r="R340" i="3"/>
  <c r="P340" i="3"/>
  <c r="T340" i="3"/>
  <c r="AH339" i="3"/>
  <c r="X339" i="3"/>
  <c r="AV337" i="3"/>
  <c r="BC337" i="3" s="1"/>
  <c r="BA337" i="3"/>
  <c r="BN339" i="3"/>
  <c r="AX339" i="3" l="1"/>
  <c r="AN340" i="3"/>
  <c r="BN340" i="3"/>
  <c r="BC338" i="3"/>
  <c r="BD338" i="3"/>
  <c r="BG338" i="3"/>
  <c r="BH338" i="3" s="1"/>
  <c r="BI338" i="3" s="1"/>
  <c r="AH340" i="3"/>
  <c r="B341" i="3"/>
  <c r="A342" i="3"/>
  <c r="D341" i="3"/>
  <c r="AR341" i="3"/>
  <c r="AQ341" i="3"/>
  <c r="C341" i="3"/>
  <c r="G341" i="3"/>
  <c r="H341" i="3" s="1"/>
  <c r="BN341" i="3" s="1"/>
  <c r="F341" i="3"/>
  <c r="BM341" i="3" s="1"/>
  <c r="Q341" i="3"/>
  <c r="S341" i="3"/>
  <c r="O341" i="3"/>
  <c r="U341" i="3"/>
  <c r="AD341" i="3"/>
  <c r="AE341" i="3"/>
  <c r="AF341" i="3"/>
  <c r="M341" i="3"/>
  <c r="AK341" i="3"/>
  <c r="AM341" i="3"/>
  <c r="P341" i="3"/>
  <c r="R341" i="3"/>
  <c r="V341" i="3"/>
  <c r="T341" i="3"/>
  <c r="BD337" i="3"/>
  <c r="BG337" i="3"/>
  <c r="BH337" i="3" s="1"/>
  <c r="BI337" i="3" s="1"/>
  <c r="BQ337" i="3"/>
  <c r="BB337" i="3"/>
  <c r="BF337" i="3"/>
  <c r="BJ336" i="3" s="1"/>
  <c r="BK336" i="3" s="1"/>
  <c r="AY339" i="3"/>
  <c r="AO340" i="3"/>
  <c r="AG340" i="3"/>
  <c r="BD336" i="3"/>
  <c r="BG336" i="3"/>
  <c r="BH336" i="3" s="1"/>
  <c r="BI336" i="3" s="1"/>
  <c r="X340" i="3"/>
  <c r="AT339" i="3"/>
  <c r="AU340" i="3"/>
  <c r="BA338" i="3"/>
  <c r="Y340" i="3"/>
  <c r="Z340" i="3" s="1"/>
  <c r="AT340" i="3"/>
  <c r="AN341" i="3" l="1"/>
  <c r="AH341" i="3"/>
  <c r="AV340" i="3"/>
  <c r="Y341" i="3"/>
  <c r="Z341" i="3" s="1"/>
  <c r="AX340" i="3"/>
  <c r="BB338" i="3"/>
  <c r="BF338" i="3"/>
  <c r="BJ337" i="3" s="1"/>
  <c r="BK337" i="3" s="1"/>
  <c r="BQ338" i="3"/>
  <c r="AR342" i="3"/>
  <c r="B342" i="3"/>
  <c r="D342" i="3"/>
  <c r="C342" i="3"/>
  <c r="A343" i="3"/>
  <c r="AQ342" i="3"/>
  <c r="F342" i="3"/>
  <c r="BM342" i="3" s="1"/>
  <c r="G342" i="3"/>
  <c r="H342" i="3" s="1"/>
  <c r="BN342" i="3" s="1"/>
  <c r="Q342" i="3"/>
  <c r="S342" i="3"/>
  <c r="O342" i="3"/>
  <c r="U342" i="3"/>
  <c r="AE342" i="3"/>
  <c r="AF342" i="3"/>
  <c r="AD342" i="3"/>
  <c r="AM342" i="3"/>
  <c r="M342" i="3"/>
  <c r="AK342" i="3"/>
  <c r="R342" i="3"/>
  <c r="P342" i="3"/>
  <c r="V342" i="3"/>
  <c r="T342" i="3"/>
  <c r="X341" i="3"/>
  <c r="AU341" i="3"/>
  <c r="AV339" i="3"/>
  <c r="BC339" i="3" s="1"/>
  <c r="BA339" i="3"/>
  <c r="AO341" i="3"/>
  <c r="AW340" i="3"/>
  <c r="AG341" i="3"/>
  <c r="AW341" i="3" s="1"/>
  <c r="AO342" i="3" l="1"/>
  <c r="AH342" i="3"/>
  <c r="AY340" i="3"/>
  <c r="Y342" i="3"/>
  <c r="Z342" i="3" s="1"/>
  <c r="AG342" i="3"/>
  <c r="BA340" i="3"/>
  <c r="AU342" i="3"/>
  <c r="C343" i="3"/>
  <c r="AQ343" i="3"/>
  <c r="AR343" i="3"/>
  <c r="B343" i="3"/>
  <c r="A344" i="3"/>
  <c r="D343" i="3"/>
  <c r="G343" i="3"/>
  <c r="H343" i="3" s="1"/>
  <c r="BN343" i="3" s="1"/>
  <c r="F343" i="3"/>
  <c r="BM343" i="3" s="1"/>
  <c r="S343" i="3"/>
  <c r="Q343" i="3"/>
  <c r="O343" i="3"/>
  <c r="U343" i="3"/>
  <c r="AE343" i="3"/>
  <c r="AF343" i="3"/>
  <c r="AD343" i="3"/>
  <c r="M343" i="3"/>
  <c r="AK343" i="3"/>
  <c r="AM343" i="3"/>
  <c r="R343" i="3"/>
  <c r="P343" i="3"/>
  <c r="T343" i="3"/>
  <c r="V343" i="3"/>
  <c r="AN342" i="3"/>
  <c r="AX342" i="3" s="1"/>
  <c r="AX341" i="3"/>
  <c r="AY341" i="3" s="1"/>
  <c r="X342" i="3"/>
  <c r="BF339" i="3"/>
  <c r="BJ338" i="3" s="1"/>
  <c r="BK338" i="3" s="1"/>
  <c r="BQ339" i="3"/>
  <c r="BB339" i="3"/>
  <c r="BD339" i="3"/>
  <c r="BG339" i="3"/>
  <c r="BH339" i="3" s="1"/>
  <c r="BI339" i="3" s="1"/>
  <c r="AT341" i="3"/>
  <c r="BC340" i="3"/>
  <c r="AN343" i="3" l="1"/>
  <c r="Y343" i="3"/>
  <c r="Z343" i="3" s="1"/>
  <c r="A345" i="3"/>
  <c r="AQ344" i="3"/>
  <c r="C344" i="3"/>
  <c r="D344" i="3"/>
  <c r="B344" i="3"/>
  <c r="AR344" i="3"/>
  <c r="G344" i="3"/>
  <c r="H344" i="3" s="1"/>
  <c r="BN344" i="3" s="1"/>
  <c r="F344" i="3"/>
  <c r="BM344" i="3" s="1"/>
  <c r="Q344" i="3"/>
  <c r="S344" i="3"/>
  <c r="O344" i="3"/>
  <c r="U344" i="3"/>
  <c r="AE344" i="3"/>
  <c r="AK344" i="3"/>
  <c r="AO344" i="3" s="1"/>
  <c r="AF344" i="3"/>
  <c r="M344" i="3"/>
  <c r="AD344" i="3"/>
  <c r="AM344" i="3"/>
  <c r="V344" i="3"/>
  <c r="P344" i="3"/>
  <c r="R344" i="3"/>
  <c r="T344" i="3"/>
  <c r="X343" i="3"/>
  <c r="BB340" i="3"/>
  <c r="BQ340" i="3"/>
  <c r="BF340" i="3"/>
  <c r="BJ339" i="3" s="1"/>
  <c r="BK339" i="3" s="1"/>
  <c r="AW342" i="3"/>
  <c r="AY342" i="3" s="1"/>
  <c r="AT342" i="3"/>
  <c r="AO343" i="3"/>
  <c r="AV341" i="3"/>
  <c r="BC341" i="3" s="1"/>
  <c r="BA341" i="3"/>
  <c r="BD340" i="3"/>
  <c r="BG340" i="3"/>
  <c r="BH340" i="3" s="1"/>
  <c r="BI340" i="3" s="1"/>
  <c r="AH343" i="3"/>
  <c r="AG343" i="3"/>
  <c r="AU343" i="3" l="1"/>
  <c r="BA342" i="3"/>
  <c r="AV342" i="3"/>
  <c r="BC342" i="3" s="1"/>
  <c r="BD341" i="3"/>
  <c r="BG341" i="3"/>
  <c r="BH341" i="3" s="1"/>
  <c r="BI341" i="3" s="1"/>
  <c r="BQ341" i="3"/>
  <c r="BB341" i="3"/>
  <c r="BF341" i="3"/>
  <c r="BJ340" i="3" s="1"/>
  <c r="BK340" i="3" s="1"/>
  <c r="AW343" i="3"/>
  <c r="Y344" i="3"/>
  <c r="Z344" i="3" s="1"/>
  <c r="AG344" i="3"/>
  <c r="X344" i="3"/>
  <c r="AX343" i="3"/>
  <c r="AY343" i="3" s="1"/>
  <c r="AN344" i="3"/>
  <c r="AT343" i="3"/>
  <c r="AH344" i="3"/>
  <c r="B345" i="3"/>
  <c r="AQ345" i="3"/>
  <c r="A346" i="3"/>
  <c r="AR345" i="3"/>
  <c r="D345" i="3"/>
  <c r="C345" i="3"/>
  <c r="F345" i="3"/>
  <c r="BM345" i="3" s="1"/>
  <c r="G345" i="3"/>
  <c r="H345" i="3" s="1"/>
  <c r="BN345" i="3" s="1"/>
  <c r="Q345" i="3"/>
  <c r="S345" i="3"/>
  <c r="O345" i="3"/>
  <c r="U345" i="3"/>
  <c r="AE345" i="3"/>
  <c r="AF345" i="3"/>
  <c r="AD345" i="3"/>
  <c r="M345" i="3"/>
  <c r="AK345" i="3"/>
  <c r="AM345" i="3"/>
  <c r="R345" i="3"/>
  <c r="V345" i="3"/>
  <c r="P345" i="3"/>
  <c r="T345" i="3"/>
  <c r="AN345" i="3" l="1"/>
  <c r="X345" i="3"/>
  <c r="AW344" i="3"/>
  <c r="AU344" i="3"/>
  <c r="A347" i="3"/>
  <c r="D346" i="3"/>
  <c r="B346" i="3"/>
  <c r="AQ346" i="3"/>
  <c r="C346" i="3"/>
  <c r="AR346" i="3"/>
  <c r="G346" i="3"/>
  <c r="H346" i="3" s="1"/>
  <c r="BN346" i="3" s="1"/>
  <c r="F346" i="3"/>
  <c r="BM346" i="3" s="1"/>
  <c r="S346" i="3"/>
  <c r="Q346" i="3"/>
  <c r="O346" i="3"/>
  <c r="U346" i="3"/>
  <c r="AF346" i="3"/>
  <c r="AD346" i="3"/>
  <c r="M346" i="3"/>
  <c r="AM346" i="3"/>
  <c r="AE346" i="3"/>
  <c r="AK346" i="3"/>
  <c r="AO346" i="3" s="1"/>
  <c r="V346" i="3"/>
  <c r="T346" i="3"/>
  <c r="R346" i="3"/>
  <c r="P346" i="3"/>
  <c r="Y345" i="3"/>
  <c r="Z345" i="3" s="1"/>
  <c r="AG345" i="3"/>
  <c r="AT345" i="3" s="1"/>
  <c r="AO345" i="3"/>
  <c r="AT344" i="3"/>
  <c r="AX344" i="3"/>
  <c r="AY344" i="3" s="1"/>
  <c r="BD342" i="3"/>
  <c r="BG342" i="3"/>
  <c r="BH342" i="3" s="1"/>
  <c r="BI342" i="3" s="1"/>
  <c r="AH345" i="3"/>
  <c r="AV343" i="3"/>
  <c r="BC343" i="3" s="1"/>
  <c r="BA343" i="3"/>
  <c r="BF342" i="3"/>
  <c r="BJ341" i="3" s="1"/>
  <c r="BK341" i="3" s="1"/>
  <c r="BB342" i="3"/>
  <c r="BQ342" i="3"/>
  <c r="AU345" i="3" l="1"/>
  <c r="AH346" i="3"/>
  <c r="AV344" i="3"/>
  <c r="BC344" i="3" s="1"/>
  <c r="BA344" i="3"/>
  <c r="AT346" i="3"/>
  <c r="AV345" i="3"/>
  <c r="X346" i="3"/>
  <c r="AW345" i="3"/>
  <c r="BQ343" i="3"/>
  <c r="BB343" i="3"/>
  <c r="BF343" i="3"/>
  <c r="BJ342" i="3" s="1"/>
  <c r="BK342" i="3" s="1"/>
  <c r="AX345" i="3"/>
  <c r="AN346" i="3"/>
  <c r="AX346" i="3" s="1"/>
  <c r="AU346" i="3"/>
  <c r="Y346" i="3"/>
  <c r="Z346" i="3" s="1"/>
  <c r="BD343" i="3"/>
  <c r="BG343" i="3"/>
  <c r="BH343" i="3" s="1"/>
  <c r="BI343" i="3" s="1"/>
  <c r="AG346" i="3"/>
  <c r="B347" i="3"/>
  <c r="A348" i="3"/>
  <c r="AR347" i="3"/>
  <c r="AQ347" i="3"/>
  <c r="D347" i="3"/>
  <c r="C347" i="3"/>
  <c r="G347" i="3"/>
  <c r="H347" i="3" s="1"/>
  <c r="BN347" i="3" s="1"/>
  <c r="F347" i="3"/>
  <c r="BM347" i="3" s="1"/>
  <c r="Q347" i="3"/>
  <c r="S347" i="3"/>
  <c r="O347" i="3"/>
  <c r="U347" i="3"/>
  <c r="AD347" i="3"/>
  <c r="M347" i="3"/>
  <c r="AF347" i="3"/>
  <c r="AE347" i="3"/>
  <c r="AM347" i="3"/>
  <c r="AK347" i="3"/>
  <c r="R347" i="3"/>
  <c r="V347" i="3"/>
  <c r="P347" i="3"/>
  <c r="T347" i="3"/>
  <c r="AO347" i="3" l="1"/>
  <c r="AH347" i="3"/>
  <c r="AY345" i="3"/>
  <c r="BA345" i="3"/>
  <c r="AV346" i="3"/>
  <c r="AN347" i="3"/>
  <c r="BB344" i="3"/>
  <c r="BF344" i="3"/>
  <c r="BJ343" i="3" s="1"/>
  <c r="BK343" i="3" s="1"/>
  <c r="BQ344" i="3"/>
  <c r="X347" i="3"/>
  <c r="BC345" i="3"/>
  <c r="AG347" i="3"/>
  <c r="AW347" i="3" s="1"/>
  <c r="AW346" i="3"/>
  <c r="AY346" i="3" s="1"/>
  <c r="BD344" i="3"/>
  <c r="BG344" i="3"/>
  <c r="BH344" i="3" s="1"/>
  <c r="BI344" i="3" s="1"/>
  <c r="Y347" i="3"/>
  <c r="Z347" i="3" s="1"/>
  <c r="A349" i="3"/>
  <c r="B348" i="3"/>
  <c r="AR348" i="3"/>
  <c r="D348" i="3"/>
  <c r="C348" i="3"/>
  <c r="AQ348" i="3"/>
  <c r="G348" i="3"/>
  <c r="H348" i="3" s="1"/>
  <c r="BN348" i="3" s="1"/>
  <c r="F348" i="3"/>
  <c r="BM348" i="3" s="1"/>
  <c r="Q348" i="3"/>
  <c r="S348" i="3"/>
  <c r="O348" i="3"/>
  <c r="U348" i="3"/>
  <c r="AD348" i="3"/>
  <c r="AF348" i="3"/>
  <c r="AE348" i="3"/>
  <c r="AM348" i="3"/>
  <c r="AK348" i="3"/>
  <c r="M348" i="3"/>
  <c r="R348" i="3"/>
  <c r="T348" i="3"/>
  <c r="P348" i="3"/>
  <c r="V348" i="3"/>
  <c r="AO348" i="3" l="1"/>
  <c r="AX347" i="3"/>
  <c r="X348" i="3"/>
  <c r="AT347" i="3"/>
  <c r="Y348" i="3"/>
  <c r="Z348" i="3" s="1"/>
  <c r="BF345" i="3"/>
  <c r="BJ344" i="3" s="1"/>
  <c r="BK344" i="3" s="1"/>
  <c r="BB345" i="3"/>
  <c r="BQ345" i="3"/>
  <c r="AN348" i="3"/>
  <c r="AU347" i="3"/>
  <c r="AH348" i="3"/>
  <c r="AY347" i="3"/>
  <c r="BD345" i="3"/>
  <c r="BG345" i="3"/>
  <c r="BH345" i="3" s="1"/>
  <c r="BI345" i="3" s="1"/>
  <c r="AU348" i="3"/>
  <c r="BA346" i="3"/>
  <c r="BC346" i="3"/>
  <c r="B349" i="3"/>
  <c r="AQ349" i="3"/>
  <c r="D349" i="3"/>
  <c r="AR349" i="3"/>
  <c r="A350" i="3"/>
  <c r="C349" i="3"/>
  <c r="G349" i="3"/>
  <c r="H349" i="3" s="1"/>
  <c r="BN349" i="3" s="1"/>
  <c r="F349" i="3"/>
  <c r="BM349" i="3" s="1"/>
  <c r="Q349" i="3"/>
  <c r="S349" i="3"/>
  <c r="O349" i="3"/>
  <c r="U349" i="3"/>
  <c r="AE349" i="3"/>
  <c r="M349" i="3"/>
  <c r="AF349" i="3"/>
  <c r="AD349" i="3"/>
  <c r="AK349" i="3"/>
  <c r="AM349" i="3"/>
  <c r="V349" i="3"/>
  <c r="R349" i="3"/>
  <c r="T349" i="3"/>
  <c r="P349" i="3"/>
  <c r="AG348" i="3"/>
  <c r="AX348" i="3" l="1"/>
  <c r="AN349" i="3"/>
  <c r="AW348" i="3"/>
  <c r="AR350" i="3"/>
  <c r="B350" i="3"/>
  <c r="A351" i="3"/>
  <c r="D350" i="3"/>
  <c r="C350" i="3"/>
  <c r="AQ350" i="3"/>
  <c r="G350" i="3"/>
  <c r="H350" i="3" s="1"/>
  <c r="BN350" i="3" s="1"/>
  <c r="F350" i="3"/>
  <c r="BM350" i="3" s="1"/>
  <c r="Q350" i="3"/>
  <c r="S350" i="3"/>
  <c r="O350" i="3"/>
  <c r="U350" i="3"/>
  <c r="AD350" i="3"/>
  <c r="AF350" i="3"/>
  <c r="AE350" i="3"/>
  <c r="AM350" i="3"/>
  <c r="AK350" i="3"/>
  <c r="M350" i="3"/>
  <c r="R350" i="3"/>
  <c r="P350" i="3"/>
  <c r="V350" i="3"/>
  <c r="T350" i="3"/>
  <c r="BF346" i="3"/>
  <c r="BJ345" i="3" s="1"/>
  <c r="BK345" i="3" s="1"/>
  <c r="BQ346" i="3"/>
  <c r="BB346" i="3"/>
  <c r="AY348" i="3"/>
  <c r="Y349" i="3"/>
  <c r="Z349" i="3" s="1"/>
  <c r="AU349" i="3"/>
  <c r="AV347" i="3"/>
  <c r="BC347" i="3" s="1"/>
  <c r="BA347" i="3"/>
  <c r="AT348" i="3"/>
  <c r="AG349" i="3"/>
  <c r="X349" i="3"/>
  <c r="AO349" i="3"/>
  <c r="AH349" i="3"/>
  <c r="BG346" i="3"/>
  <c r="BH346" i="3" s="1"/>
  <c r="BI346" i="3" s="1"/>
  <c r="BD346" i="3"/>
  <c r="AX349" i="3" l="1"/>
  <c r="AO350" i="3"/>
  <c r="X350" i="3"/>
  <c r="AG350" i="3"/>
  <c r="BB347" i="3"/>
  <c r="BF347" i="3"/>
  <c r="BJ346" i="3" s="1"/>
  <c r="BK346" i="3" s="1"/>
  <c r="BQ347" i="3"/>
  <c r="BA348" i="3"/>
  <c r="AV348" i="3"/>
  <c r="BC348" i="3" s="1"/>
  <c r="BG347" i="3"/>
  <c r="BH347" i="3" s="1"/>
  <c r="BI347" i="3" s="1"/>
  <c r="BD347" i="3"/>
  <c r="AH350" i="3"/>
  <c r="AX350" i="3" s="1"/>
  <c r="Y350" i="3"/>
  <c r="Z350" i="3" s="1"/>
  <c r="C351" i="3"/>
  <c r="AQ351" i="3"/>
  <c r="B351" i="3"/>
  <c r="A352" i="3"/>
  <c r="AR351" i="3"/>
  <c r="D351" i="3"/>
  <c r="F351" i="3"/>
  <c r="G351" i="3"/>
  <c r="H351" i="3" s="1"/>
  <c r="Q351" i="3"/>
  <c r="S351" i="3"/>
  <c r="O351" i="3"/>
  <c r="U351" i="3"/>
  <c r="AD351" i="3"/>
  <c r="M351" i="3"/>
  <c r="AE351" i="3"/>
  <c r="AF351" i="3"/>
  <c r="AK351" i="3"/>
  <c r="AM351" i="3"/>
  <c r="R351" i="3"/>
  <c r="T351" i="3"/>
  <c r="P351" i="3"/>
  <c r="V351" i="3"/>
  <c r="AT349" i="3"/>
  <c r="AW349" i="3"/>
  <c r="AY349" i="3" s="1"/>
  <c r="AN350" i="3"/>
  <c r="BN351" i="3" l="1"/>
  <c r="AG351" i="3"/>
  <c r="AO351" i="3"/>
  <c r="AN351" i="3"/>
  <c r="X351" i="3"/>
  <c r="AU350" i="3"/>
  <c r="BM351" i="3"/>
  <c r="AH351" i="3"/>
  <c r="AX351" i="3" s="1"/>
  <c r="AW350" i="3"/>
  <c r="AY350" i="3" s="1"/>
  <c r="AT350" i="3"/>
  <c r="BD348" i="3"/>
  <c r="BG348" i="3"/>
  <c r="BH348" i="3" s="1"/>
  <c r="BI348" i="3" s="1"/>
  <c r="AV349" i="3"/>
  <c r="BC349" i="3" s="1"/>
  <c r="BA349" i="3"/>
  <c r="BB348" i="3"/>
  <c r="BQ348" i="3"/>
  <c r="BF348" i="3"/>
  <c r="BJ347" i="3" s="1"/>
  <c r="BK347" i="3" s="1"/>
  <c r="Y351" i="3"/>
  <c r="Z351" i="3" s="1"/>
  <c r="A353" i="3"/>
  <c r="AQ352" i="3"/>
  <c r="C352" i="3"/>
  <c r="D352" i="3"/>
  <c r="B352" i="3"/>
  <c r="AR352" i="3"/>
  <c r="F352" i="3"/>
  <c r="BM352" i="3" s="1"/>
  <c r="G352" i="3"/>
  <c r="H352" i="3" s="1"/>
  <c r="BN352" i="3" s="1"/>
  <c r="Q352" i="3"/>
  <c r="S352" i="3"/>
  <c r="O352" i="3"/>
  <c r="U352" i="3"/>
  <c r="AK352" i="3"/>
  <c r="AO352" i="3" s="1"/>
  <c r="AE352" i="3"/>
  <c r="AD352" i="3"/>
  <c r="M352" i="3"/>
  <c r="AF352" i="3"/>
  <c r="AM352" i="3"/>
  <c r="R352" i="3"/>
  <c r="V352" i="3"/>
  <c r="T352" i="3"/>
  <c r="P352" i="3"/>
  <c r="X352" i="3" l="1"/>
  <c r="AH352" i="3"/>
  <c r="BD349" i="3"/>
  <c r="BG349" i="3"/>
  <c r="BH349" i="3" s="1"/>
  <c r="BI349" i="3" s="1"/>
  <c r="AV350" i="3"/>
  <c r="BC350" i="3" s="1"/>
  <c r="BA350" i="3"/>
  <c r="Y352" i="3"/>
  <c r="Z352" i="3" s="1"/>
  <c r="AN352" i="3"/>
  <c r="AX352" i="3"/>
  <c r="AU351" i="3"/>
  <c r="BB349" i="3"/>
  <c r="BF349" i="3"/>
  <c r="BJ348" i="3" s="1"/>
  <c r="BK348" i="3" s="1"/>
  <c r="BQ349" i="3"/>
  <c r="AY351" i="3"/>
  <c r="AU352" i="3"/>
  <c r="AR353" i="3"/>
  <c r="B353" i="3"/>
  <c r="AQ353" i="3"/>
  <c r="A354" i="3"/>
  <c r="C353" i="3"/>
  <c r="D353" i="3"/>
  <c r="G353" i="3"/>
  <c r="H353" i="3" s="1"/>
  <c r="F353" i="3"/>
  <c r="BM353" i="3" s="1"/>
  <c r="Q353" i="3"/>
  <c r="S353" i="3"/>
  <c r="O353" i="3"/>
  <c r="U353" i="3"/>
  <c r="AE353" i="3"/>
  <c r="AF353" i="3"/>
  <c r="AD353" i="3"/>
  <c r="AK353" i="3"/>
  <c r="AM353" i="3"/>
  <c r="AN353" i="3" s="1"/>
  <c r="M353" i="3"/>
  <c r="R353" i="3"/>
  <c r="P353" i="3"/>
  <c r="V353" i="3"/>
  <c r="T353" i="3"/>
  <c r="AT351" i="3"/>
  <c r="AG352" i="3"/>
  <c r="AW351" i="3"/>
  <c r="BN353" i="3" l="1"/>
  <c r="AW352" i="3"/>
  <c r="AG353" i="3"/>
  <c r="X353" i="3"/>
  <c r="AH353" i="3"/>
  <c r="AT353" i="3"/>
  <c r="AV351" i="3"/>
  <c r="BC351" i="3" s="1"/>
  <c r="BA351" i="3"/>
  <c r="AO353" i="3"/>
  <c r="Y353" i="3"/>
  <c r="Z353" i="3" s="1"/>
  <c r="BD350" i="3"/>
  <c r="BG350" i="3"/>
  <c r="BH350" i="3" s="1"/>
  <c r="BI350" i="3" s="1"/>
  <c r="AU353" i="3"/>
  <c r="AY352" i="3"/>
  <c r="BQ350" i="3"/>
  <c r="BF350" i="3"/>
  <c r="BJ349" i="3" s="1"/>
  <c r="BK349" i="3" s="1"/>
  <c r="BB350" i="3"/>
  <c r="A355" i="3"/>
  <c r="D354" i="3"/>
  <c r="AR354" i="3"/>
  <c r="B354" i="3"/>
  <c r="AQ354" i="3"/>
  <c r="C354" i="3"/>
  <c r="G354" i="3"/>
  <c r="H354" i="3" s="1"/>
  <c r="F354" i="3"/>
  <c r="BM354" i="3" s="1"/>
  <c r="Q354" i="3"/>
  <c r="S354" i="3"/>
  <c r="O354" i="3"/>
  <c r="U354" i="3"/>
  <c r="AE354" i="3"/>
  <c r="AF354" i="3"/>
  <c r="M354" i="3"/>
  <c r="AD354" i="3"/>
  <c r="AM354" i="3"/>
  <c r="AK354" i="3"/>
  <c r="T354" i="3"/>
  <c r="V354" i="3"/>
  <c r="P354" i="3"/>
  <c r="R354" i="3"/>
  <c r="AT352" i="3"/>
  <c r="X354" i="3" l="1"/>
  <c r="AO354" i="3"/>
  <c r="AH354" i="3"/>
  <c r="BN354" i="3"/>
  <c r="BD351" i="3"/>
  <c r="BG351" i="3"/>
  <c r="BH351" i="3" s="1"/>
  <c r="BI351" i="3" s="1"/>
  <c r="Y354" i="3"/>
  <c r="Z354" i="3" s="1"/>
  <c r="AX353" i="3"/>
  <c r="AN354" i="3"/>
  <c r="B355" i="3"/>
  <c r="A356" i="3"/>
  <c r="AR355" i="3"/>
  <c r="AQ355" i="3"/>
  <c r="D355" i="3"/>
  <c r="C355" i="3"/>
  <c r="G355" i="3"/>
  <c r="H355" i="3" s="1"/>
  <c r="BN355" i="3" s="1"/>
  <c r="F355" i="3"/>
  <c r="Q355" i="3"/>
  <c r="S355" i="3"/>
  <c r="O355" i="3"/>
  <c r="U355" i="3"/>
  <c r="AD355" i="3"/>
  <c r="AE355" i="3"/>
  <c r="M355" i="3"/>
  <c r="AF355" i="3"/>
  <c r="AH355" i="3" s="1"/>
  <c r="AM355" i="3"/>
  <c r="AK355" i="3"/>
  <c r="AO355" i="3" s="1"/>
  <c r="P355" i="3"/>
  <c r="V355" i="3"/>
  <c r="R355" i="3"/>
  <c r="T355" i="3"/>
  <c r="AG354" i="3"/>
  <c r="AW354" i="3" s="1"/>
  <c r="BA352" i="3"/>
  <c r="AV352" i="3"/>
  <c r="BC352" i="3" s="1"/>
  <c r="BF351" i="3"/>
  <c r="BJ350" i="3" s="1"/>
  <c r="BK350" i="3" s="1"/>
  <c r="BB351" i="3"/>
  <c r="BQ351" i="3"/>
  <c r="AV353" i="3"/>
  <c r="AW353" i="3"/>
  <c r="BM355" i="3" l="1"/>
  <c r="AY353" i="3"/>
  <c r="AN355" i="3"/>
  <c r="BA353" i="3"/>
  <c r="BC353" i="3"/>
  <c r="AU354" i="3"/>
  <c r="BQ352" i="3"/>
  <c r="BB352" i="3"/>
  <c r="BF352" i="3"/>
  <c r="BJ351" i="3" s="1"/>
  <c r="BK351" i="3" s="1"/>
  <c r="AT354" i="3"/>
  <c r="X355" i="3"/>
  <c r="Y355" i="3"/>
  <c r="Z355" i="3" s="1"/>
  <c r="A357" i="3"/>
  <c r="B356" i="3"/>
  <c r="AQ356" i="3"/>
  <c r="AR356" i="3"/>
  <c r="D356" i="3"/>
  <c r="C356" i="3"/>
  <c r="F356" i="3"/>
  <c r="BM356" i="3" s="1"/>
  <c r="G356" i="3"/>
  <c r="H356" i="3" s="1"/>
  <c r="BN356" i="3" s="1"/>
  <c r="Q356" i="3"/>
  <c r="S356" i="3"/>
  <c r="O356" i="3"/>
  <c r="U356" i="3"/>
  <c r="AF356" i="3"/>
  <c r="AD356" i="3"/>
  <c r="M356" i="3"/>
  <c r="AK356" i="3"/>
  <c r="AE356" i="3"/>
  <c r="AM356" i="3"/>
  <c r="V356" i="3"/>
  <c r="P356" i="3"/>
  <c r="R356" i="3"/>
  <c r="T356" i="3"/>
  <c r="AG355" i="3"/>
  <c r="AX354" i="3"/>
  <c r="AY354" i="3" s="1"/>
  <c r="BD352" i="3"/>
  <c r="BG352" i="3"/>
  <c r="BH352" i="3" s="1"/>
  <c r="BI352" i="3" s="1"/>
  <c r="AW355" i="3" l="1"/>
  <c r="AO356" i="3"/>
  <c r="AH356" i="3"/>
  <c r="AV354" i="3"/>
  <c r="BC354" i="3" s="1"/>
  <c r="BA354" i="3"/>
  <c r="B357" i="3"/>
  <c r="AQ357" i="3"/>
  <c r="D357" i="3"/>
  <c r="C357" i="3"/>
  <c r="AR357" i="3"/>
  <c r="A358" i="3"/>
  <c r="F357" i="3"/>
  <c r="BM357" i="3" s="1"/>
  <c r="G357" i="3"/>
  <c r="H357" i="3" s="1"/>
  <c r="BN357" i="3" s="1"/>
  <c r="Q357" i="3"/>
  <c r="S357" i="3"/>
  <c r="O357" i="3"/>
  <c r="U357" i="3"/>
  <c r="AD357" i="3"/>
  <c r="AF357" i="3"/>
  <c r="M357" i="3"/>
  <c r="AE357" i="3"/>
  <c r="AM357" i="3"/>
  <c r="AK357" i="3"/>
  <c r="P357" i="3"/>
  <c r="T357" i="3"/>
  <c r="V357" i="3"/>
  <c r="R357" i="3"/>
  <c r="AG356" i="3"/>
  <c r="BG353" i="3"/>
  <c r="BH353" i="3" s="1"/>
  <c r="BI353" i="3" s="1"/>
  <c r="BD353" i="3"/>
  <c r="AU356" i="3"/>
  <c r="BF353" i="3"/>
  <c r="BJ352" i="3" s="1"/>
  <c r="BK352" i="3" s="1"/>
  <c r="BQ353" i="3"/>
  <c r="BB353" i="3"/>
  <c r="X356" i="3"/>
  <c r="AU355" i="3"/>
  <c r="AX355" i="3"/>
  <c r="AY355" i="3" s="1"/>
  <c r="AT355" i="3"/>
  <c r="Y356" i="3"/>
  <c r="Z356" i="3" s="1"/>
  <c r="AN356" i="3"/>
  <c r="AO357" i="3" l="1"/>
  <c r="AX356" i="3"/>
  <c r="AH357" i="3"/>
  <c r="AG357" i="3"/>
  <c r="BD354" i="3"/>
  <c r="BG354" i="3"/>
  <c r="BH354" i="3" s="1"/>
  <c r="BI354" i="3" s="1"/>
  <c r="X357" i="3"/>
  <c r="AW356" i="3"/>
  <c r="AY356" i="3" s="1"/>
  <c r="AR358" i="3"/>
  <c r="B358" i="3"/>
  <c r="AQ358" i="3"/>
  <c r="A359" i="3"/>
  <c r="C358" i="3"/>
  <c r="D358" i="3"/>
  <c r="G358" i="3"/>
  <c r="H358" i="3" s="1"/>
  <c r="BN358" i="3" s="1"/>
  <c r="F358" i="3"/>
  <c r="BM358" i="3" s="1"/>
  <c r="S358" i="3"/>
  <c r="Q358" i="3"/>
  <c r="O358" i="3"/>
  <c r="U358" i="3"/>
  <c r="AF358" i="3"/>
  <c r="AD358" i="3"/>
  <c r="M358" i="3"/>
  <c r="AK358" i="3"/>
  <c r="AE358" i="3"/>
  <c r="AG358" i="3" s="1"/>
  <c r="AM358" i="3"/>
  <c r="AN358" i="3" s="1"/>
  <c r="R358" i="3"/>
  <c r="P358" i="3"/>
  <c r="V358" i="3"/>
  <c r="T358" i="3"/>
  <c r="Y357" i="3"/>
  <c r="Z357" i="3" s="1"/>
  <c r="BA355" i="3"/>
  <c r="AV355" i="3"/>
  <c r="BC355" i="3" s="1"/>
  <c r="AT356" i="3"/>
  <c r="AN357" i="3"/>
  <c r="BB354" i="3"/>
  <c r="BQ354" i="3"/>
  <c r="BF354" i="3"/>
  <c r="BJ353" i="3" s="1"/>
  <c r="BK353" i="3" s="1"/>
  <c r="AX357" i="3" l="1"/>
  <c r="D359" i="3"/>
  <c r="AQ359" i="3"/>
  <c r="B359" i="3"/>
  <c r="A360" i="3"/>
  <c r="AR359" i="3"/>
  <c r="C359" i="3"/>
  <c r="F359" i="3"/>
  <c r="BM359" i="3" s="1"/>
  <c r="G359" i="3"/>
  <c r="H359" i="3" s="1"/>
  <c r="BN359" i="3" s="1"/>
  <c r="Q359" i="3"/>
  <c r="S359" i="3"/>
  <c r="O359" i="3"/>
  <c r="U359" i="3"/>
  <c r="AD359" i="3"/>
  <c r="AF359" i="3"/>
  <c r="AE359" i="3"/>
  <c r="AK359" i="3"/>
  <c r="AM359" i="3"/>
  <c r="AN359" i="3" s="1"/>
  <c r="M359" i="3"/>
  <c r="V359" i="3"/>
  <c r="P359" i="3"/>
  <c r="T359" i="3"/>
  <c r="R359" i="3"/>
  <c r="BB355" i="3"/>
  <c r="BQ355" i="3"/>
  <c r="BF355" i="3"/>
  <c r="BJ354" i="3" s="1"/>
  <c r="BK354" i="3" s="1"/>
  <c r="Y358" i="3"/>
  <c r="Z358" i="3" s="1"/>
  <c r="AO358" i="3"/>
  <c r="AH358" i="3"/>
  <c r="AT358" i="3" s="1"/>
  <c r="X358" i="3"/>
  <c r="AV356" i="3"/>
  <c r="BC356" i="3" s="1"/>
  <c r="BA356" i="3"/>
  <c r="AW357" i="3"/>
  <c r="AY357" i="3" s="1"/>
  <c r="AU357" i="3"/>
  <c r="BD355" i="3"/>
  <c r="BG355" i="3"/>
  <c r="BH355" i="3" s="1"/>
  <c r="BI355" i="3" s="1"/>
  <c r="AT357" i="3"/>
  <c r="AU358" i="3" l="1"/>
  <c r="AW358" i="3"/>
  <c r="AG359" i="3"/>
  <c r="AT359" i="3" s="1"/>
  <c r="AV358" i="3"/>
  <c r="X359" i="3"/>
  <c r="AV357" i="3"/>
  <c r="BC357" i="3" s="1"/>
  <c r="BA357" i="3"/>
  <c r="A361" i="3"/>
  <c r="AQ360" i="3"/>
  <c r="C360" i="3"/>
  <c r="D360" i="3"/>
  <c r="AR360" i="3"/>
  <c r="B360" i="3"/>
  <c r="G360" i="3"/>
  <c r="H360" i="3" s="1"/>
  <c r="BN360" i="3" s="1"/>
  <c r="F360" i="3"/>
  <c r="BM360" i="3" s="1"/>
  <c r="Q360" i="3"/>
  <c r="S360" i="3"/>
  <c r="O360" i="3"/>
  <c r="U360" i="3"/>
  <c r="AF360" i="3"/>
  <c r="M360" i="3"/>
  <c r="AD360" i="3"/>
  <c r="AM360" i="3"/>
  <c r="AK360" i="3"/>
  <c r="AE360" i="3"/>
  <c r="AG360" i="3" s="1"/>
  <c r="P360" i="3"/>
  <c r="V360" i="3"/>
  <c r="T360" i="3"/>
  <c r="R360" i="3"/>
  <c r="BB356" i="3"/>
  <c r="BF356" i="3"/>
  <c r="BJ355" i="3" s="1"/>
  <c r="BK355" i="3" s="1"/>
  <c r="BQ356" i="3"/>
  <c r="AH359" i="3"/>
  <c r="Y359" i="3"/>
  <c r="Z359" i="3" s="1"/>
  <c r="BD356" i="3"/>
  <c r="BG356" i="3"/>
  <c r="BH356" i="3" s="1"/>
  <c r="BI356" i="3" s="1"/>
  <c r="AX358" i="3"/>
  <c r="AY358" i="3" s="1"/>
  <c r="AO359" i="3"/>
  <c r="AO360" i="3" l="1"/>
  <c r="Y360" i="3"/>
  <c r="Z360" i="3" s="1"/>
  <c r="BQ357" i="3"/>
  <c r="BF357" i="3"/>
  <c r="BJ356" i="3" s="1"/>
  <c r="BK356" i="3" s="1"/>
  <c r="BB357" i="3"/>
  <c r="AH360" i="3"/>
  <c r="AX359" i="3"/>
  <c r="AW359" i="3"/>
  <c r="D361" i="3"/>
  <c r="AR361" i="3"/>
  <c r="B361" i="3"/>
  <c r="AQ361" i="3"/>
  <c r="A362" i="3"/>
  <c r="C361" i="3"/>
  <c r="F361" i="3"/>
  <c r="G361" i="3"/>
  <c r="H361" i="3" s="1"/>
  <c r="S361" i="3"/>
  <c r="Q361" i="3"/>
  <c r="O361" i="3"/>
  <c r="U361" i="3"/>
  <c r="AF361" i="3"/>
  <c r="M361" i="3"/>
  <c r="AD361" i="3"/>
  <c r="AE361" i="3"/>
  <c r="AK361" i="3"/>
  <c r="AM361" i="3"/>
  <c r="V361" i="3"/>
  <c r="P361" i="3"/>
  <c r="R361" i="3"/>
  <c r="T361" i="3"/>
  <c r="AN360" i="3"/>
  <c r="BD357" i="3"/>
  <c r="BG357" i="3"/>
  <c r="BH357" i="3" s="1"/>
  <c r="BI357" i="3" s="1"/>
  <c r="BC358" i="3"/>
  <c r="X360" i="3"/>
  <c r="BA358" i="3"/>
  <c r="AU359" i="3"/>
  <c r="AY359" i="3" l="1"/>
  <c r="BA359" i="3"/>
  <c r="AO361" i="3"/>
  <c r="AH361" i="3"/>
  <c r="AX360" i="3"/>
  <c r="BB359" i="3"/>
  <c r="BQ359" i="3"/>
  <c r="BF359" i="3"/>
  <c r="A363" i="3"/>
  <c r="D362" i="3"/>
  <c r="AR362" i="3"/>
  <c r="B362" i="3"/>
  <c r="AQ362" i="3"/>
  <c r="C362" i="3"/>
  <c r="G362" i="3"/>
  <c r="H362" i="3" s="1"/>
  <c r="BN362" i="3" s="1"/>
  <c r="F362" i="3"/>
  <c r="BM362" i="3" s="1"/>
  <c r="Q362" i="3"/>
  <c r="S362" i="3"/>
  <c r="O362" i="3"/>
  <c r="U362" i="3"/>
  <c r="AE362" i="3"/>
  <c r="AD362" i="3"/>
  <c r="AF362" i="3"/>
  <c r="M362" i="3"/>
  <c r="AK362" i="3"/>
  <c r="AM362" i="3"/>
  <c r="V362" i="3"/>
  <c r="P362" i="3"/>
  <c r="R362" i="3"/>
  <c r="T362" i="3"/>
  <c r="BQ358" i="3"/>
  <c r="BB358" i="3"/>
  <c r="BF358" i="3"/>
  <c r="BJ357" i="3" s="1"/>
  <c r="BK357" i="3" s="1"/>
  <c r="Y361" i="3"/>
  <c r="Z361" i="3" s="1"/>
  <c r="X361" i="3"/>
  <c r="BN361" i="3"/>
  <c r="AN361" i="3"/>
  <c r="BD358" i="3"/>
  <c r="BG358" i="3"/>
  <c r="BH358" i="3" s="1"/>
  <c r="BI358" i="3" s="1"/>
  <c r="AT360" i="3"/>
  <c r="AV359" i="3"/>
  <c r="BC359" i="3" s="1"/>
  <c r="BM361" i="3"/>
  <c r="AW360" i="3"/>
  <c r="AY360" i="3" s="1"/>
  <c r="AG361" i="3"/>
  <c r="AW361" i="3" s="1"/>
  <c r="AU360" i="3"/>
  <c r="AX361" i="3" l="1"/>
  <c r="AG362" i="3"/>
  <c r="AO362" i="3"/>
  <c r="AT361" i="3"/>
  <c r="AU361" i="3"/>
  <c r="X362" i="3"/>
  <c r="BD359" i="3"/>
  <c r="BG359" i="3"/>
  <c r="BH359" i="3" s="1"/>
  <c r="BI359" i="3" s="1"/>
  <c r="AY361" i="3"/>
  <c r="BA360" i="3"/>
  <c r="AV360" i="3"/>
  <c r="BC360" i="3" s="1"/>
  <c r="AT362" i="3"/>
  <c r="AN362" i="3"/>
  <c r="Y362" i="3"/>
  <c r="Z362" i="3" s="1"/>
  <c r="B363" i="3"/>
  <c r="A364" i="3"/>
  <c r="AR363" i="3"/>
  <c r="AQ363" i="3"/>
  <c r="D363" i="3"/>
  <c r="C363" i="3"/>
  <c r="F363" i="3"/>
  <c r="BM363" i="3" s="1"/>
  <c r="G363" i="3"/>
  <c r="H363" i="3" s="1"/>
  <c r="BN363" i="3" s="1"/>
  <c r="Q363" i="3"/>
  <c r="S363" i="3"/>
  <c r="O363" i="3"/>
  <c r="U363" i="3"/>
  <c r="AK363" i="3"/>
  <c r="AD363" i="3"/>
  <c r="AF363" i="3"/>
  <c r="M363" i="3"/>
  <c r="AM363" i="3"/>
  <c r="AE363" i="3"/>
  <c r="T363" i="3"/>
  <c r="P363" i="3"/>
  <c r="V363" i="3"/>
  <c r="R363" i="3"/>
  <c r="BJ358" i="3"/>
  <c r="BK358" i="3" s="1"/>
  <c r="AH362" i="3"/>
  <c r="AN363" i="3" l="1"/>
  <c r="AV361" i="3"/>
  <c r="BC361" i="3" s="1"/>
  <c r="AW362" i="3"/>
  <c r="X363" i="3"/>
  <c r="AH363" i="3"/>
  <c r="AO363" i="3"/>
  <c r="BB360" i="3"/>
  <c r="BQ360" i="3"/>
  <c r="BF360" i="3"/>
  <c r="BJ359" i="3" s="1"/>
  <c r="BK359" i="3" s="1"/>
  <c r="AX362" i="3"/>
  <c r="AY362" i="3" s="1"/>
  <c r="BD360" i="3"/>
  <c r="BG360" i="3"/>
  <c r="BH360" i="3" s="1"/>
  <c r="BI360" i="3" s="1"/>
  <c r="AU362" i="3"/>
  <c r="AV362" i="3" s="1"/>
  <c r="BC362" i="3" s="1"/>
  <c r="Y363" i="3"/>
  <c r="Z363" i="3" s="1"/>
  <c r="BA361" i="3"/>
  <c r="AG363" i="3"/>
  <c r="A365" i="3"/>
  <c r="AR364" i="3"/>
  <c r="B364" i="3"/>
  <c r="AQ364" i="3"/>
  <c r="C364" i="3"/>
  <c r="D364" i="3"/>
  <c r="G364" i="3"/>
  <c r="H364" i="3" s="1"/>
  <c r="BN364" i="3" s="1"/>
  <c r="F364" i="3"/>
  <c r="Q364" i="3"/>
  <c r="S364" i="3"/>
  <c r="O364" i="3"/>
  <c r="U364" i="3"/>
  <c r="AD364" i="3"/>
  <c r="AE364" i="3"/>
  <c r="M364" i="3"/>
  <c r="AF364" i="3"/>
  <c r="AK364" i="3"/>
  <c r="AM364" i="3"/>
  <c r="V364" i="3"/>
  <c r="R364" i="3"/>
  <c r="T364" i="3"/>
  <c r="P364" i="3"/>
  <c r="BD361" i="3" l="1"/>
  <c r="BG361" i="3"/>
  <c r="BH361" i="3" s="1"/>
  <c r="BI361" i="3" s="1"/>
  <c r="AN364" i="3"/>
  <c r="BD362" i="3"/>
  <c r="BG362" i="3"/>
  <c r="BH362" i="3" s="1"/>
  <c r="BI362" i="3" s="1"/>
  <c r="BA362" i="3"/>
  <c r="B365" i="3"/>
  <c r="AQ365" i="3"/>
  <c r="C365" i="3"/>
  <c r="D365" i="3"/>
  <c r="AR365" i="3"/>
  <c r="A366" i="3"/>
  <c r="G365" i="3"/>
  <c r="H365" i="3" s="1"/>
  <c r="BN365" i="3" s="1"/>
  <c r="F365" i="3"/>
  <c r="BM365" i="3" s="1"/>
  <c r="Q365" i="3"/>
  <c r="S365" i="3"/>
  <c r="O365" i="3"/>
  <c r="U365" i="3"/>
  <c r="AF365" i="3"/>
  <c r="AD365" i="3"/>
  <c r="M365" i="3"/>
  <c r="AE365" i="3"/>
  <c r="AK365" i="3"/>
  <c r="AM365" i="3"/>
  <c r="R365" i="3"/>
  <c r="V365" i="3"/>
  <c r="P365" i="3"/>
  <c r="T365" i="3"/>
  <c r="AW363" i="3"/>
  <c r="BM364" i="3"/>
  <c r="Y364" i="3"/>
  <c r="Z364" i="3" s="1"/>
  <c r="AT364" i="3"/>
  <c r="AO364" i="3"/>
  <c r="AX363" i="3"/>
  <c r="BF361" i="3"/>
  <c r="BJ360" i="3" s="1"/>
  <c r="BK360" i="3" s="1"/>
  <c r="BB361" i="3"/>
  <c r="BQ361" i="3"/>
  <c r="AG364" i="3"/>
  <c r="AT363" i="3"/>
  <c r="AH364" i="3"/>
  <c r="AU363" i="3"/>
  <c r="X364" i="3"/>
  <c r="AN365" i="3" l="1"/>
  <c r="AY363" i="3"/>
  <c r="AO365" i="3"/>
  <c r="AG365" i="3"/>
  <c r="AW364" i="3"/>
  <c r="Y365" i="3"/>
  <c r="Z365" i="3" s="1"/>
  <c r="X365" i="3"/>
  <c r="BA363" i="3"/>
  <c r="AV363" i="3"/>
  <c r="BC363" i="3" s="1"/>
  <c r="AR366" i="3"/>
  <c r="B366" i="3"/>
  <c r="AQ366" i="3"/>
  <c r="A367" i="3"/>
  <c r="C366" i="3"/>
  <c r="D366" i="3"/>
  <c r="F366" i="3"/>
  <c r="BM366" i="3" s="1"/>
  <c r="G366" i="3"/>
  <c r="H366" i="3" s="1"/>
  <c r="Q366" i="3"/>
  <c r="S366" i="3"/>
  <c r="O366" i="3"/>
  <c r="U366" i="3"/>
  <c r="AM366" i="3"/>
  <c r="AE366" i="3"/>
  <c r="M366" i="3"/>
  <c r="AF366" i="3"/>
  <c r="AD366" i="3"/>
  <c r="AK366" i="3"/>
  <c r="AO366" i="3" s="1"/>
  <c r="R366" i="3"/>
  <c r="T366" i="3"/>
  <c r="V366" i="3"/>
  <c r="P366" i="3"/>
  <c r="AX364" i="3"/>
  <c r="AU364" i="3"/>
  <c r="AV364" i="3" s="1"/>
  <c r="BF362" i="3"/>
  <c r="BJ361" i="3" s="1"/>
  <c r="BK361" i="3" s="1"/>
  <c r="BB362" i="3"/>
  <c r="BQ362" i="3"/>
  <c r="AH365" i="3"/>
  <c r="AX365" i="3" s="1"/>
  <c r="AH366" i="3" l="1"/>
  <c r="AY364" i="3"/>
  <c r="BC364" i="3" s="1"/>
  <c r="BD363" i="3"/>
  <c r="BG363" i="3"/>
  <c r="BH363" i="3" s="1"/>
  <c r="BI363" i="3" s="1"/>
  <c r="BF363" i="3"/>
  <c r="BJ362" i="3" s="1"/>
  <c r="BK362" i="3" s="1"/>
  <c r="BB363" i="3"/>
  <c r="BQ363" i="3"/>
  <c r="X366" i="3"/>
  <c r="AT365" i="3"/>
  <c r="AU366" i="3"/>
  <c r="AN366" i="3"/>
  <c r="AX366" i="3" s="1"/>
  <c r="Y366" i="3"/>
  <c r="Z366" i="3" s="1"/>
  <c r="C367" i="3"/>
  <c r="AQ367" i="3"/>
  <c r="B367" i="3"/>
  <c r="A368" i="3"/>
  <c r="AR367" i="3"/>
  <c r="D367" i="3"/>
  <c r="F367" i="3"/>
  <c r="G367" i="3"/>
  <c r="H367" i="3" s="1"/>
  <c r="BN367" i="3" s="1"/>
  <c r="Q367" i="3"/>
  <c r="S367" i="3"/>
  <c r="O367" i="3"/>
  <c r="U367" i="3"/>
  <c r="AD367" i="3"/>
  <c r="M367" i="3"/>
  <c r="AF367" i="3"/>
  <c r="AE367" i="3"/>
  <c r="AK367" i="3"/>
  <c r="AM367" i="3"/>
  <c r="R367" i="3"/>
  <c r="V367" i="3"/>
  <c r="P367" i="3"/>
  <c r="T367" i="3"/>
  <c r="AG366" i="3"/>
  <c r="AU365" i="3"/>
  <c r="AW365" i="3"/>
  <c r="AY365" i="3" s="1"/>
  <c r="BA364" i="3"/>
  <c r="BN366" i="3"/>
  <c r="AG367" i="3" l="1"/>
  <c r="BD364" i="3"/>
  <c r="BG364" i="3"/>
  <c r="BH364" i="3" s="1"/>
  <c r="BI364" i="3" s="1"/>
  <c r="AO367" i="3"/>
  <c r="X367" i="3"/>
  <c r="AW366" i="3"/>
  <c r="AY366" i="3" s="1"/>
  <c r="BA365" i="3"/>
  <c r="AV365" i="3"/>
  <c r="BC365" i="3" s="1"/>
  <c r="AH367" i="3"/>
  <c r="BM367" i="3"/>
  <c r="Y367" i="3"/>
  <c r="Z367" i="3" s="1"/>
  <c r="BB364" i="3"/>
  <c r="BQ364" i="3"/>
  <c r="BF364" i="3"/>
  <c r="BJ363" i="3" s="1"/>
  <c r="BK363" i="3" s="1"/>
  <c r="AT366" i="3"/>
  <c r="AT367" i="3"/>
  <c r="A369" i="3"/>
  <c r="AQ368" i="3"/>
  <c r="D368" i="3"/>
  <c r="C368" i="3"/>
  <c r="B368" i="3"/>
  <c r="AR368" i="3"/>
  <c r="F368" i="3"/>
  <c r="BM368" i="3" s="1"/>
  <c r="G368" i="3"/>
  <c r="H368" i="3" s="1"/>
  <c r="Q368" i="3"/>
  <c r="S368" i="3"/>
  <c r="O368" i="3"/>
  <c r="U368" i="3"/>
  <c r="M368" i="3"/>
  <c r="AF368" i="3"/>
  <c r="AD368" i="3"/>
  <c r="AE368" i="3"/>
  <c r="AK368" i="3"/>
  <c r="AM368" i="3"/>
  <c r="R368" i="3"/>
  <c r="V368" i="3"/>
  <c r="P368" i="3"/>
  <c r="T368" i="3"/>
  <c r="AN367" i="3"/>
  <c r="AG368" i="3" l="1"/>
  <c r="AX367" i="3"/>
  <c r="AN368" i="3"/>
  <c r="D369" i="3"/>
  <c r="C369" i="3"/>
  <c r="B369" i="3"/>
  <c r="AQ369" i="3"/>
  <c r="A370" i="3"/>
  <c r="AR369" i="3"/>
  <c r="F369" i="3"/>
  <c r="BM369" i="3" s="1"/>
  <c r="G369" i="3"/>
  <c r="H369" i="3" s="1"/>
  <c r="BN369" i="3" s="1"/>
  <c r="Q369" i="3"/>
  <c r="S369" i="3"/>
  <c r="O369" i="3"/>
  <c r="U369" i="3"/>
  <c r="AF369" i="3"/>
  <c r="M369" i="3"/>
  <c r="AD369" i="3"/>
  <c r="AE369" i="3"/>
  <c r="AM369" i="3"/>
  <c r="AK369" i="3"/>
  <c r="V369" i="3"/>
  <c r="P369" i="3"/>
  <c r="R369" i="3"/>
  <c r="T369" i="3"/>
  <c r="Y368" i="3"/>
  <c r="Z368" i="3" s="1"/>
  <c r="AO368" i="3"/>
  <c r="AV367" i="3"/>
  <c r="X368" i="3"/>
  <c r="BN368" i="3"/>
  <c r="BD365" i="3"/>
  <c r="BG365" i="3"/>
  <c r="BH365" i="3" s="1"/>
  <c r="BI365" i="3" s="1"/>
  <c r="BF365" i="3"/>
  <c r="BJ364" i="3" s="1"/>
  <c r="BK364" i="3" s="1"/>
  <c r="BB365" i="3"/>
  <c r="BQ365" i="3"/>
  <c r="AH368" i="3"/>
  <c r="AV366" i="3"/>
  <c r="BC366" i="3" s="1"/>
  <c r="BA366" i="3"/>
  <c r="AU367" i="3"/>
  <c r="AW367" i="3"/>
  <c r="AY367" i="3" s="1"/>
  <c r="AO369" i="3" l="1"/>
  <c r="AH369" i="3"/>
  <c r="AX368" i="3"/>
  <c r="X369" i="3"/>
  <c r="BA367" i="3"/>
  <c r="BQ366" i="3"/>
  <c r="BB366" i="3"/>
  <c r="BF366" i="3"/>
  <c r="BJ365" i="3" s="1"/>
  <c r="BK365" i="3" s="1"/>
  <c r="Y369" i="3"/>
  <c r="Z369" i="3" s="1"/>
  <c r="AW368" i="3"/>
  <c r="AY368" i="3" s="1"/>
  <c r="BD366" i="3"/>
  <c r="BG366" i="3"/>
  <c r="BH366" i="3" s="1"/>
  <c r="BI366" i="3" s="1"/>
  <c r="AX369" i="3"/>
  <c r="AY369" i="3" s="1"/>
  <c r="AT368" i="3"/>
  <c r="A371" i="3"/>
  <c r="C370" i="3"/>
  <c r="AR370" i="3"/>
  <c r="B370" i="3"/>
  <c r="AQ370" i="3"/>
  <c r="D370" i="3"/>
  <c r="F370" i="3"/>
  <c r="G370" i="3"/>
  <c r="H370" i="3" s="1"/>
  <c r="BN370" i="3" s="1"/>
  <c r="Q370" i="3"/>
  <c r="S370" i="3"/>
  <c r="O370" i="3"/>
  <c r="U370" i="3"/>
  <c r="AF370" i="3"/>
  <c r="AE370" i="3"/>
  <c r="AD370" i="3"/>
  <c r="M370" i="3"/>
  <c r="AM370" i="3"/>
  <c r="AK370" i="3"/>
  <c r="T370" i="3"/>
  <c r="R370" i="3"/>
  <c r="P370" i="3"/>
  <c r="V370" i="3"/>
  <c r="AN369" i="3"/>
  <c r="BC367" i="3"/>
  <c r="AG369" i="3"/>
  <c r="AW369" i="3" s="1"/>
  <c r="AU368" i="3"/>
  <c r="AH370" i="3" l="1"/>
  <c r="AO370" i="3"/>
  <c r="AQ371" i="3"/>
  <c r="B371" i="3"/>
  <c r="A372" i="3"/>
  <c r="C371" i="3"/>
  <c r="AR371" i="3"/>
  <c r="D371" i="3"/>
  <c r="G371" i="3"/>
  <c r="H371" i="3" s="1"/>
  <c r="F371" i="3"/>
  <c r="BM371" i="3" s="1"/>
  <c r="Q371" i="3"/>
  <c r="S371" i="3"/>
  <c r="O371" i="3"/>
  <c r="U371" i="3"/>
  <c r="M371" i="3"/>
  <c r="AE371" i="3"/>
  <c r="AD371" i="3"/>
  <c r="AF371" i="3"/>
  <c r="AM371" i="3"/>
  <c r="AK371" i="3"/>
  <c r="AO371" i="3" s="1"/>
  <c r="P371" i="3"/>
  <c r="V371" i="3"/>
  <c r="R371" i="3"/>
  <c r="T371" i="3"/>
  <c r="AV368" i="3"/>
  <c r="BC368" i="3" s="1"/>
  <c r="BA368" i="3"/>
  <c r="AN370" i="3"/>
  <c r="AX370" i="3" s="1"/>
  <c r="X370" i="3"/>
  <c r="AT369" i="3"/>
  <c r="BG367" i="3"/>
  <c r="BH367" i="3" s="1"/>
  <c r="BI367" i="3" s="1"/>
  <c r="BD367" i="3"/>
  <c r="AU369" i="3"/>
  <c r="BB367" i="3"/>
  <c r="BF367" i="3"/>
  <c r="BJ366" i="3" s="1"/>
  <c r="BK366" i="3" s="1"/>
  <c r="BQ367" i="3"/>
  <c r="AG370" i="3"/>
  <c r="BM370" i="3"/>
  <c r="Y370" i="3"/>
  <c r="Z370" i="3" s="1"/>
  <c r="AU370" i="3"/>
  <c r="BN371" i="3" l="1"/>
  <c r="AG371" i="3"/>
  <c r="BQ368" i="3"/>
  <c r="BB368" i="3"/>
  <c r="BF368" i="3"/>
  <c r="BJ367" i="3" s="1"/>
  <c r="BK367" i="3" s="1"/>
  <c r="BA369" i="3"/>
  <c r="AV369" i="3"/>
  <c r="BC369" i="3" s="1"/>
  <c r="BD368" i="3"/>
  <c r="BG368" i="3"/>
  <c r="BH368" i="3" s="1"/>
  <c r="BI368" i="3" s="1"/>
  <c r="X371" i="3"/>
  <c r="AT371" i="3"/>
  <c r="C372" i="3"/>
  <c r="D372" i="3"/>
  <c r="A373" i="3"/>
  <c r="B372" i="3"/>
  <c r="AR372" i="3"/>
  <c r="AQ372" i="3"/>
  <c r="F372" i="3"/>
  <c r="G372" i="3"/>
  <c r="H372" i="3" s="1"/>
  <c r="Q372" i="3"/>
  <c r="S372" i="3"/>
  <c r="O372" i="3"/>
  <c r="U372" i="3"/>
  <c r="AD372" i="3"/>
  <c r="AF372" i="3"/>
  <c r="M372" i="3"/>
  <c r="AK372" i="3"/>
  <c r="AM372" i="3"/>
  <c r="AE372" i="3"/>
  <c r="AG372" i="3" s="1"/>
  <c r="R372" i="3"/>
  <c r="P372" i="3"/>
  <c r="V372" i="3"/>
  <c r="T372" i="3"/>
  <c r="Y371" i="3"/>
  <c r="Z371" i="3" s="1"/>
  <c r="AW370" i="3"/>
  <c r="AY370" i="3" s="1"/>
  <c r="AN371" i="3"/>
  <c r="AH371" i="3"/>
  <c r="AT370" i="3"/>
  <c r="AX371" i="3" l="1"/>
  <c r="AN372" i="3"/>
  <c r="Y372" i="3"/>
  <c r="Z372" i="3" s="1"/>
  <c r="AH372" i="3"/>
  <c r="AT372" i="3" s="1"/>
  <c r="X372" i="3"/>
  <c r="BN372" i="3"/>
  <c r="AR373" i="3"/>
  <c r="B373" i="3"/>
  <c r="AQ373" i="3"/>
  <c r="A374" i="3"/>
  <c r="D373" i="3"/>
  <c r="C373" i="3"/>
  <c r="G373" i="3"/>
  <c r="H373" i="3" s="1"/>
  <c r="BN373" i="3" s="1"/>
  <c r="F373" i="3"/>
  <c r="Q373" i="3"/>
  <c r="S373" i="3"/>
  <c r="O373" i="3"/>
  <c r="U373" i="3"/>
  <c r="M373" i="3"/>
  <c r="AE373" i="3"/>
  <c r="AF373" i="3"/>
  <c r="AD373" i="3"/>
  <c r="AK373" i="3"/>
  <c r="AM373" i="3"/>
  <c r="V373" i="3"/>
  <c r="R373" i="3"/>
  <c r="P373" i="3"/>
  <c r="T373" i="3"/>
  <c r="AO372" i="3"/>
  <c r="AV370" i="3"/>
  <c r="BC370" i="3" s="1"/>
  <c r="BA370" i="3"/>
  <c r="BD369" i="3"/>
  <c r="BG369" i="3"/>
  <c r="BH369" i="3" s="1"/>
  <c r="BI369" i="3" s="1"/>
  <c r="BF369" i="3"/>
  <c r="BJ368" i="3" s="1"/>
  <c r="BK368" i="3" s="1"/>
  <c r="BQ369" i="3"/>
  <c r="BB369" i="3"/>
  <c r="AU371" i="3"/>
  <c r="BM372" i="3"/>
  <c r="AW371" i="3"/>
  <c r="AY371" i="3" s="1"/>
  <c r="AN373" i="3" l="1"/>
  <c r="AH373" i="3"/>
  <c r="X373" i="3"/>
  <c r="BA371" i="3"/>
  <c r="AX372" i="3"/>
  <c r="Y373" i="3"/>
  <c r="Z373" i="3" s="1"/>
  <c r="BB371" i="3"/>
  <c r="BQ371" i="3"/>
  <c r="BF371" i="3"/>
  <c r="AO373" i="3"/>
  <c r="AG373" i="3"/>
  <c r="AV371" i="3"/>
  <c r="BC371" i="3" s="1"/>
  <c r="AW372" i="3"/>
  <c r="AY372" i="3" s="1"/>
  <c r="AR374" i="3"/>
  <c r="AQ374" i="3"/>
  <c r="A375" i="3"/>
  <c r="C374" i="3"/>
  <c r="D374" i="3"/>
  <c r="B374" i="3"/>
  <c r="F374" i="3"/>
  <c r="G374" i="3"/>
  <c r="H374" i="3" s="1"/>
  <c r="Q374" i="3"/>
  <c r="S374" i="3"/>
  <c r="O374" i="3"/>
  <c r="U374" i="3"/>
  <c r="AE374" i="3"/>
  <c r="AD374" i="3"/>
  <c r="M374" i="3"/>
  <c r="AF374" i="3"/>
  <c r="AM374" i="3"/>
  <c r="AK374" i="3"/>
  <c r="V374" i="3"/>
  <c r="P374" i="3"/>
  <c r="T374" i="3"/>
  <c r="R374" i="3"/>
  <c r="BB370" i="3"/>
  <c r="BQ370" i="3"/>
  <c r="BF370" i="3"/>
  <c r="BJ369" i="3" s="1"/>
  <c r="BK369" i="3" s="1"/>
  <c r="BD370" i="3"/>
  <c r="BG370" i="3"/>
  <c r="BH370" i="3" s="1"/>
  <c r="BI370" i="3" s="1"/>
  <c r="BM373" i="3"/>
  <c r="AU372" i="3"/>
  <c r="AH374" i="3" l="1"/>
  <c r="AW373" i="3"/>
  <c r="AO374" i="3"/>
  <c r="BA372" i="3"/>
  <c r="AN374" i="3"/>
  <c r="BQ372" i="3"/>
  <c r="BF372" i="3"/>
  <c r="BJ371" i="3" s="1"/>
  <c r="BK371" i="3" s="1"/>
  <c r="BB372" i="3"/>
  <c r="AV372" i="3"/>
  <c r="BC372" i="3" s="1"/>
  <c r="BJ370" i="3"/>
  <c r="BK370" i="3" s="1"/>
  <c r="AX373" i="3"/>
  <c r="AY373" i="3" s="1"/>
  <c r="BN374" i="3"/>
  <c r="Y374" i="3"/>
  <c r="Z374" i="3" s="1"/>
  <c r="A376" i="3"/>
  <c r="AR375" i="3"/>
  <c r="C375" i="3"/>
  <c r="D375" i="3"/>
  <c r="AQ375" i="3"/>
  <c r="B375" i="3"/>
  <c r="G375" i="3"/>
  <c r="H375" i="3" s="1"/>
  <c r="F375" i="3"/>
  <c r="Q375" i="3"/>
  <c r="S375" i="3"/>
  <c r="O375" i="3"/>
  <c r="U375" i="3"/>
  <c r="AE375" i="3"/>
  <c r="AF375" i="3"/>
  <c r="AD375" i="3"/>
  <c r="M375" i="3"/>
  <c r="AK375" i="3"/>
  <c r="AM375" i="3"/>
  <c r="V375" i="3"/>
  <c r="P375" i="3"/>
  <c r="R375" i="3"/>
  <c r="T375" i="3"/>
  <c r="BD371" i="3"/>
  <c r="BG371" i="3"/>
  <c r="BH371" i="3" s="1"/>
  <c r="BI371" i="3" s="1"/>
  <c r="AG374" i="3"/>
  <c r="X374" i="3"/>
  <c r="AU373" i="3"/>
  <c r="AT373" i="3"/>
  <c r="BM374" i="3"/>
  <c r="AW374" i="3" l="1"/>
  <c r="AN375" i="3"/>
  <c r="AO375" i="3"/>
  <c r="AH375" i="3"/>
  <c r="Y375" i="3"/>
  <c r="Z375" i="3" s="1"/>
  <c r="A377" i="3"/>
  <c r="B376" i="3"/>
  <c r="AR376" i="3"/>
  <c r="AQ376" i="3"/>
  <c r="D376" i="3"/>
  <c r="C376" i="3"/>
  <c r="F376" i="3"/>
  <c r="BM376" i="3" s="1"/>
  <c r="G376" i="3"/>
  <c r="H376" i="3" s="1"/>
  <c r="BN376" i="3" s="1"/>
  <c r="Q376" i="3"/>
  <c r="S376" i="3"/>
  <c r="O376" i="3"/>
  <c r="U376" i="3"/>
  <c r="AE376" i="3"/>
  <c r="M376" i="3"/>
  <c r="AD376" i="3"/>
  <c r="AF376" i="3"/>
  <c r="AK376" i="3"/>
  <c r="AM376" i="3"/>
  <c r="P376" i="3"/>
  <c r="V376" i="3"/>
  <c r="R376" i="3"/>
  <c r="T376" i="3"/>
  <c r="BA373" i="3"/>
  <c r="AV373" i="3"/>
  <c r="BC373" i="3" s="1"/>
  <c r="BM375" i="3"/>
  <c r="AU374" i="3"/>
  <c r="AX374" i="3"/>
  <c r="AY374" i="3" s="1"/>
  <c r="AG375" i="3"/>
  <c r="X375" i="3"/>
  <c r="BD372" i="3"/>
  <c r="BG372" i="3"/>
  <c r="BH372" i="3" s="1"/>
  <c r="BI372" i="3" s="1"/>
  <c r="AT374" i="3"/>
  <c r="BN375" i="3"/>
  <c r="AG376" i="3" l="1"/>
  <c r="AW375" i="3"/>
  <c r="AN376" i="3"/>
  <c r="BB373" i="3"/>
  <c r="BQ373" i="3"/>
  <c r="BF373" i="3"/>
  <c r="BJ372" i="3" s="1"/>
  <c r="BK372" i="3" s="1"/>
  <c r="AX375" i="3"/>
  <c r="AY375" i="3" s="1"/>
  <c r="X376" i="3"/>
  <c r="Y376" i="3"/>
  <c r="Z376" i="3" s="1"/>
  <c r="AO376" i="3"/>
  <c r="AR377" i="3"/>
  <c r="B377" i="3"/>
  <c r="AQ377" i="3"/>
  <c r="A378" i="3"/>
  <c r="C377" i="3"/>
  <c r="D377" i="3"/>
  <c r="G377" i="3"/>
  <c r="H377" i="3" s="1"/>
  <c r="BN377" i="3" s="1"/>
  <c r="F377" i="3"/>
  <c r="BM377" i="3" s="1"/>
  <c r="Q377" i="3"/>
  <c r="S377" i="3"/>
  <c r="O377" i="3"/>
  <c r="U377" i="3"/>
  <c r="AD377" i="3"/>
  <c r="M377" i="3"/>
  <c r="AF377" i="3"/>
  <c r="AK377" i="3"/>
  <c r="AM377" i="3"/>
  <c r="AE377" i="3"/>
  <c r="R377" i="3"/>
  <c r="P377" i="3"/>
  <c r="V377" i="3"/>
  <c r="T377" i="3"/>
  <c r="AH376" i="3"/>
  <c r="BD373" i="3"/>
  <c r="BG373" i="3"/>
  <c r="BH373" i="3" s="1"/>
  <c r="BI373" i="3" s="1"/>
  <c r="AU375" i="3"/>
  <c r="AV374" i="3"/>
  <c r="BC374" i="3" s="1"/>
  <c r="BA374" i="3"/>
  <c r="AT375" i="3"/>
  <c r="AX376" i="3" l="1"/>
  <c r="AG377" i="3"/>
  <c r="AN377" i="3"/>
  <c r="AW376" i="3"/>
  <c r="AY376" i="3" s="1"/>
  <c r="AT376" i="3"/>
  <c r="AR378" i="3"/>
  <c r="B378" i="3"/>
  <c r="AQ378" i="3"/>
  <c r="A379" i="3"/>
  <c r="C378" i="3"/>
  <c r="D378" i="3"/>
  <c r="G378" i="3"/>
  <c r="H378" i="3" s="1"/>
  <c r="BN378" i="3" s="1"/>
  <c r="F378" i="3"/>
  <c r="BM378" i="3" s="1"/>
  <c r="S378" i="3"/>
  <c r="Q378" i="3"/>
  <c r="O378" i="3"/>
  <c r="U378" i="3"/>
  <c r="AE378" i="3"/>
  <c r="M378" i="3"/>
  <c r="AF378" i="3"/>
  <c r="AD378" i="3"/>
  <c r="AM378" i="3"/>
  <c r="AK378" i="3"/>
  <c r="R378" i="3"/>
  <c r="P378" i="3"/>
  <c r="V378" i="3"/>
  <c r="T378" i="3"/>
  <c r="AT377" i="3"/>
  <c r="AV375" i="3"/>
  <c r="BC375" i="3" s="1"/>
  <c r="BA375" i="3"/>
  <c r="BD374" i="3"/>
  <c r="BG374" i="3"/>
  <c r="BH374" i="3" s="1"/>
  <c r="BI374" i="3" s="1"/>
  <c r="Y377" i="3"/>
  <c r="Z377" i="3" s="1"/>
  <c r="AO377" i="3"/>
  <c r="BB374" i="3"/>
  <c r="BF374" i="3"/>
  <c r="BJ373" i="3" s="1"/>
  <c r="BK373" i="3" s="1"/>
  <c r="BQ374" i="3"/>
  <c r="AH377" i="3"/>
  <c r="AU377" i="3" s="1"/>
  <c r="AU376" i="3"/>
  <c r="X377" i="3"/>
  <c r="AO378" i="3" l="1"/>
  <c r="AG378" i="3"/>
  <c r="AX377" i="3"/>
  <c r="BQ375" i="3"/>
  <c r="BF375" i="3"/>
  <c r="BJ374" i="3" s="1"/>
  <c r="BK374" i="3" s="1"/>
  <c r="BB375" i="3"/>
  <c r="BD375" i="3"/>
  <c r="BG375" i="3"/>
  <c r="BH375" i="3" s="1"/>
  <c r="BI375" i="3" s="1"/>
  <c r="AV377" i="3"/>
  <c r="AT378" i="3"/>
  <c r="BA376" i="3"/>
  <c r="AV376" i="3"/>
  <c r="BC376" i="3" s="1"/>
  <c r="AW378" i="3"/>
  <c r="Y378" i="3"/>
  <c r="Z378" i="3" s="1"/>
  <c r="X378" i="3"/>
  <c r="AQ379" i="3"/>
  <c r="B379" i="3"/>
  <c r="A380" i="3"/>
  <c r="C379" i="3"/>
  <c r="AR379" i="3"/>
  <c r="D379" i="3"/>
  <c r="F379" i="3"/>
  <c r="BM379" i="3" s="1"/>
  <c r="G379" i="3"/>
  <c r="H379" i="3" s="1"/>
  <c r="BN379" i="3" s="1"/>
  <c r="Q379" i="3"/>
  <c r="S379" i="3"/>
  <c r="O379" i="3"/>
  <c r="U379" i="3"/>
  <c r="AD379" i="3"/>
  <c r="AE379" i="3"/>
  <c r="AF379" i="3"/>
  <c r="M379" i="3"/>
  <c r="AK379" i="3"/>
  <c r="AM379" i="3"/>
  <c r="V379" i="3"/>
  <c r="T379" i="3"/>
  <c r="R379" i="3"/>
  <c r="P379" i="3"/>
  <c r="AN378" i="3"/>
  <c r="AH378" i="3"/>
  <c r="AU378" i="3" s="1"/>
  <c r="AW377" i="3"/>
  <c r="AY377" i="3" s="1"/>
  <c r="AX378" i="3" l="1"/>
  <c r="AY378" i="3" s="1"/>
  <c r="AO379" i="3"/>
  <c r="AG379" i="3"/>
  <c r="X379" i="3"/>
  <c r="BD376" i="3"/>
  <c r="BG376" i="3"/>
  <c r="BH376" i="3" s="1"/>
  <c r="BI376" i="3" s="1"/>
  <c r="BB376" i="3"/>
  <c r="BQ376" i="3"/>
  <c r="BF376" i="3"/>
  <c r="BJ375" i="3" s="1"/>
  <c r="BK375" i="3" s="1"/>
  <c r="BA378" i="3"/>
  <c r="AV378" i="3"/>
  <c r="BC377" i="3"/>
  <c r="BA377" i="3"/>
  <c r="D380" i="3"/>
  <c r="C380" i="3"/>
  <c r="A381" i="3"/>
  <c r="B380" i="3"/>
  <c r="AQ380" i="3"/>
  <c r="AR380" i="3"/>
  <c r="F380" i="3"/>
  <c r="G380" i="3"/>
  <c r="H380" i="3" s="1"/>
  <c r="Q380" i="3"/>
  <c r="S380" i="3"/>
  <c r="O380" i="3"/>
  <c r="U380" i="3"/>
  <c r="AE380" i="3"/>
  <c r="AF380" i="3"/>
  <c r="M380" i="3"/>
  <c r="AD380" i="3"/>
  <c r="AM380" i="3"/>
  <c r="AK380" i="3"/>
  <c r="P380" i="3"/>
  <c r="V380" i="3"/>
  <c r="R380" i="3"/>
  <c r="T380" i="3"/>
  <c r="AH379" i="3"/>
  <c r="AU379" i="3" s="1"/>
  <c r="AT379" i="3"/>
  <c r="Y379" i="3"/>
  <c r="Z379" i="3" s="1"/>
  <c r="AN379" i="3"/>
  <c r="AW379" i="3" s="1"/>
  <c r="BC378" i="3" l="1"/>
  <c r="BD378" i="3" s="1"/>
  <c r="AO380" i="3"/>
  <c r="AH380" i="3"/>
  <c r="AG380" i="3"/>
  <c r="BQ377" i="3"/>
  <c r="BF377" i="3"/>
  <c r="BJ376" i="3" s="1"/>
  <c r="BK376" i="3" s="1"/>
  <c r="BB377" i="3"/>
  <c r="Y380" i="3"/>
  <c r="Z380" i="3" s="1"/>
  <c r="AN380" i="3"/>
  <c r="AX380" i="3" s="1"/>
  <c r="BQ378" i="3"/>
  <c r="BF378" i="3"/>
  <c r="BJ377" i="3" s="1"/>
  <c r="BK377" i="3" s="1"/>
  <c r="BB378" i="3"/>
  <c r="BN380" i="3"/>
  <c r="AX379" i="3"/>
  <c r="AY379" i="3" s="1"/>
  <c r="AR381" i="3"/>
  <c r="B381" i="3"/>
  <c r="AQ381" i="3"/>
  <c r="A382" i="3"/>
  <c r="C381" i="3"/>
  <c r="D381" i="3"/>
  <c r="F381" i="3"/>
  <c r="BM381" i="3" s="1"/>
  <c r="G381" i="3"/>
  <c r="H381" i="3" s="1"/>
  <c r="BN381" i="3" s="1"/>
  <c r="S381" i="3"/>
  <c r="Q381" i="3"/>
  <c r="O381" i="3"/>
  <c r="U381" i="3"/>
  <c r="AD381" i="3"/>
  <c r="AE381" i="3"/>
  <c r="AF381" i="3"/>
  <c r="AM381" i="3"/>
  <c r="M381" i="3"/>
  <c r="AK381" i="3"/>
  <c r="AO381" i="3" s="1"/>
  <c r="R381" i="3"/>
  <c r="P381" i="3"/>
  <c r="V381" i="3"/>
  <c r="T381" i="3"/>
  <c r="BD377" i="3"/>
  <c r="BG377" i="3"/>
  <c r="BH377" i="3" s="1"/>
  <c r="BI377" i="3" s="1"/>
  <c r="X380" i="3"/>
  <c r="AV379" i="3"/>
  <c r="BM380" i="3"/>
  <c r="AT380" i="3"/>
  <c r="AU380" i="3"/>
  <c r="BG378" i="3" l="1"/>
  <c r="BH378" i="3" s="1"/>
  <c r="BI378" i="3" s="1"/>
  <c r="BC379" i="3"/>
  <c r="AV380" i="3"/>
  <c r="AN381" i="3"/>
  <c r="AG381" i="3"/>
  <c r="AH381" i="3"/>
  <c r="AX381" i="3" s="1"/>
  <c r="AW380" i="3"/>
  <c r="AY380" i="3" s="1"/>
  <c r="Y381" i="3"/>
  <c r="Z381" i="3" s="1"/>
  <c r="AT381" i="3"/>
  <c r="BA379" i="3"/>
  <c r="X381" i="3"/>
  <c r="AR382" i="3"/>
  <c r="AQ382" i="3"/>
  <c r="B382" i="3"/>
  <c r="A383" i="3"/>
  <c r="C382" i="3"/>
  <c r="D382" i="3"/>
  <c r="F382" i="3"/>
  <c r="G382" i="3"/>
  <c r="H382" i="3" s="1"/>
  <c r="Q382" i="3"/>
  <c r="S382" i="3"/>
  <c r="O382" i="3"/>
  <c r="U382" i="3"/>
  <c r="AD382" i="3"/>
  <c r="AF382" i="3"/>
  <c r="AE382" i="3"/>
  <c r="M382" i="3"/>
  <c r="AM382" i="3"/>
  <c r="AK382" i="3"/>
  <c r="AO382" i="3" s="1"/>
  <c r="P382" i="3"/>
  <c r="T382" i="3"/>
  <c r="V382" i="3"/>
  <c r="R382" i="3"/>
  <c r="BN382" i="3" l="1"/>
  <c r="BM382" i="3"/>
  <c r="AH382" i="3"/>
  <c r="AN382" i="3"/>
  <c r="AG382" i="3"/>
  <c r="X382" i="3"/>
  <c r="AW381" i="3"/>
  <c r="AY381" i="3" s="1"/>
  <c r="AU381" i="3"/>
  <c r="AV381" i="3" s="1"/>
  <c r="BB379" i="3"/>
  <c r="BQ379" i="3"/>
  <c r="BF379" i="3"/>
  <c r="BJ378" i="3" s="1"/>
  <c r="BK378" i="3" s="1"/>
  <c r="BC380" i="3"/>
  <c r="BA380" i="3"/>
  <c r="Y382" i="3"/>
  <c r="Z382" i="3" s="1"/>
  <c r="BD379" i="3"/>
  <c r="BG379" i="3"/>
  <c r="BH379" i="3" s="1"/>
  <c r="BI379" i="3" s="1"/>
  <c r="A384" i="3"/>
  <c r="AR383" i="3"/>
  <c r="D383" i="3"/>
  <c r="C383" i="3"/>
  <c r="B383" i="3"/>
  <c r="AQ383" i="3"/>
  <c r="G383" i="3"/>
  <c r="H383" i="3" s="1"/>
  <c r="BN383" i="3" s="1"/>
  <c r="F383" i="3"/>
  <c r="BM383" i="3" s="1"/>
  <c r="Q383" i="3"/>
  <c r="S383" i="3"/>
  <c r="O383" i="3"/>
  <c r="U383" i="3"/>
  <c r="AD383" i="3"/>
  <c r="AF383" i="3"/>
  <c r="AE383" i="3"/>
  <c r="M383" i="3"/>
  <c r="AK383" i="3"/>
  <c r="AM383" i="3"/>
  <c r="R383" i="3"/>
  <c r="P383" i="3"/>
  <c r="V383" i="3"/>
  <c r="T383" i="3"/>
  <c r="AW382" i="3" l="1"/>
  <c r="AN383" i="3"/>
  <c r="AG383" i="3"/>
  <c r="X383" i="3"/>
  <c r="AX382" i="3"/>
  <c r="AY382" i="3" s="1"/>
  <c r="BC381" i="3"/>
  <c r="BD380" i="3"/>
  <c r="BG380" i="3"/>
  <c r="BH380" i="3" s="1"/>
  <c r="BI380" i="3" s="1"/>
  <c r="AT383" i="3"/>
  <c r="BA381" i="3"/>
  <c r="AU383" i="3"/>
  <c r="AU382" i="3"/>
  <c r="A385" i="3"/>
  <c r="B384" i="3"/>
  <c r="AR384" i="3"/>
  <c r="AQ384" i="3"/>
  <c r="D384" i="3"/>
  <c r="C384" i="3"/>
  <c r="G384" i="3"/>
  <c r="H384" i="3" s="1"/>
  <c r="F384" i="3"/>
  <c r="Q384" i="3"/>
  <c r="S384" i="3"/>
  <c r="O384" i="3"/>
  <c r="U384" i="3"/>
  <c r="AD384" i="3"/>
  <c r="M384" i="3"/>
  <c r="AF384" i="3"/>
  <c r="AE384" i="3"/>
  <c r="AM384" i="3"/>
  <c r="AK384" i="3"/>
  <c r="T384" i="3"/>
  <c r="V384" i="3"/>
  <c r="P384" i="3"/>
  <c r="R384" i="3"/>
  <c r="Y383" i="3"/>
  <c r="Z383" i="3" s="1"/>
  <c r="AO383" i="3"/>
  <c r="AH383" i="3"/>
  <c r="BB380" i="3"/>
  <c r="BF380" i="3"/>
  <c r="BJ379" i="3" s="1"/>
  <c r="BK379" i="3" s="1"/>
  <c r="BQ380" i="3"/>
  <c r="AT382" i="3"/>
  <c r="AW383" i="3" l="1"/>
  <c r="AO384" i="3"/>
  <c r="AG384" i="3"/>
  <c r="BN384" i="3"/>
  <c r="AH384" i="3"/>
  <c r="BQ381" i="3"/>
  <c r="BF381" i="3"/>
  <c r="BJ380" i="3" s="1"/>
  <c r="BK380" i="3" s="1"/>
  <c r="BB381" i="3"/>
  <c r="AN384" i="3"/>
  <c r="AW384" i="3" s="1"/>
  <c r="AV383" i="3"/>
  <c r="Y384" i="3"/>
  <c r="Z384" i="3" s="1"/>
  <c r="X384" i="3"/>
  <c r="AT384" i="3"/>
  <c r="AV382" i="3"/>
  <c r="BC382" i="3" s="1"/>
  <c r="BA382" i="3"/>
  <c r="AX383" i="3"/>
  <c r="AY383" i="3" s="1"/>
  <c r="AR385" i="3"/>
  <c r="B385" i="3"/>
  <c r="AQ385" i="3"/>
  <c r="A386" i="3"/>
  <c r="D385" i="3"/>
  <c r="C385" i="3"/>
  <c r="G385" i="3"/>
  <c r="H385" i="3" s="1"/>
  <c r="BN385" i="3" s="1"/>
  <c r="F385" i="3"/>
  <c r="BM385" i="3" s="1"/>
  <c r="Q385" i="3"/>
  <c r="S385" i="3"/>
  <c r="O385" i="3"/>
  <c r="U385" i="3"/>
  <c r="AD385" i="3"/>
  <c r="AF385" i="3"/>
  <c r="M385" i="3"/>
  <c r="AE385" i="3"/>
  <c r="AK385" i="3"/>
  <c r="AM385" i="3"/>
  <c r="R385" i="3"/>
  <c r="T385" i="3"/>
  <c r="V385" i="3"/>
  <c r="P385" i="3"/>
  <c r="BM384" i="3"/>
  <c r="BD381" i="3"/>
  <c r="BG381" i="3"/>
  <c r="BH381" i="3" s="1"/>
  <c r="BI381" i="3" s="1"/>
  <c r="AG385" i="3" l="1"/>
  <c r="AO385" i="3"/>
  <c r="AH385" i="3"/>
  <c r="AU385" i="3" s="1"/>
  <c r="BB382" i="3"/>
  <c r="BF382" i="3"/>
  <c r="BJ381" i="3" s="1"/>
  <c r="BK381" i="3" s="1"/>
  <c r="BQ382" i="3"/>
  <c r="BD382" i="3"/>
  <c r="BG382" i="3"/>
  <c r="BH382" i="3" s="1"/>
  <c r="BI382" i="3" s="1"/>
  <c r="AV384" i="3"/>
  <c r="BA384" i="3"/>
  <c r="Y385" i="3"/>
  <c r="Z385" i="3" s="1"/>
  <c r="AR386" i="3"/>
  <c r="B386" i="3"/>
  <c r="AQ386" i="3"/>
  <c r="A387" i="3"/>
  <c r="C386" i="3"/>
  <c r="D386" i="3"/>
  <c r="F386" i="3"/>
  <c r="G386" i="3"/>
  <c r="H386" i="3" s="1"/>
  <c r="BN386" i="3" s="1"/>
  <c r="Q386" i="3"/>
  <c r="S386" i="3"/>
  <c r="O386" i="3"/>
  <c r="U386" i="3"/>
  <c r="M386" i="3"/>
  <c r="AF386" i="3"/>
  <c r="AD386" i="3"/>
  <c r="AE386" i="3"/>
  <c r="AM386" i="3"/>
  <c r="AK386" i="3"/>
  <c r="V386" i="3"/>
  <c r="R386" i="3"/>
  <c r="P386" i="3"/>
  <c r="T386" i="3"/>
  <c r="AX384" i="3"/>
  <c r="AY384" i="3" s="1"/>
  <c r="X385" i="3"/>
  <c r="BC383" i="3"/>
  <c r="BA383" i="3"/>
  <c r="AN385" i="3"/>
  <c r="AU384" i="3"/>
  <c r="AO386" i="3" l="1"/>
  <c r="BM386" i="3"/>
  <c r="Y386" i="3"/>
  <c r="Z386" i="3" s="1"/>
  <c r="AW385" i="3"/>
  <c r="AN386" i="3"/>
  <c r="AH386" i="3"/>
  <c r="BB384" i="3"/>
  <c r="BF384" i="3"/>
  <c r="BQ384" i="3"/>
  <c r="BC384" i="3"/>
  <c r="BD383" i="3"/>
  <c r="BG383" i="3"/>
  <c r="BH383" i="3" s="1"/>
  <c r="BI383" i="3" s="1"/>
  <c r="AG386" i="3"/>
  <c r="AW386" i="3" s="1"/>
  <c r="BF383" i="3"/>
  <c r="BJ382" i="3" s="1"/>
  <c r="BK382" i="3" s="1"/>
  <c r="BQ383" i="3"/>
  <c r="BB383" i="3"/>
  <c r="AT386" i="3"/>
  <c r="X386" i="3"/>
  <c r="AX385" i="3"/>
  <c r="AT385" i="3"/>
  <c r="AQ387" i="3"/>
  <c r="B387" i="3"/>
  <c r="A388" i="3"/>
  <c r="D387" i="3"/>
  <c r="AR387" i="3"/>
  <c r="C387" i="3"/>
  <c r="F387" i="3"/>
  <c r="BM387" i="3" s="1"/>
  <c r="G387" i="3"/>
  <c r="H387" i="3" s="1"/>
  <c r="BN387" i="3" s="1"/>
  <c r="Q387" i="3"/>
  <c r="S387" i="3"/>
  <c r="O387" i="3"/>
  <c r="U387" i="3"/>
  <c r="M387" i="3"/>
  <c r="AE387" i="3"/>
  <c r="AD387" i="3"/>
  <c r="AF387" i="3"/>
  <c r="AM387" i="3"/>
  <c r="AK387" i="3"/>
  <c r="T387" i="3"/>
  <c r="V387" i="3"/>
  <c r="P387" i="3"/>
  <c r="R387" i="3"/>
  <c r="AO387" i="3" l="1"/>
  <c r="AG387" i="3"/>
  <c r="AY385" i="3"/>
  <c r="AU386" i="3"/>
  <c r="D388" i="3"/>
  <c r="C388" i="3"/>
  <c r="B388" i="3"/>
  <c r="AR388" i="3"/>
  <c r="A389" i="3"/>
  <c r="AQ388" i="3"/>
  <c r="G388" i="3"/>
  <c r="H388" i="3" s="1"/>
  <c r="BN388" i="3" s="1"/>
  <c r="F388" i="3"/>
  <c r="BM388" i="3" s="1"/>
  <c r="Q388" i="3"/>
  <c r="S388" i="3"/>
  <c r="O388" i="3"/>
  <c r="U388" i="3"/>
  <c r="M388" i="3"/>
  <c r="AE388" i="3"/>
  <c r="AF388" i="3"/>
  <c r="AD388" i="3"/>
  <c r="AK388" i="3"/>
  <c r="AM388" i="3"/>
  <c r="AN388" i="3" s="1"/>
  <c r="V388" i="3"/>
  <c r="R388" i="3"/>
  <c r="P388" i="3"/>
  <c r="T388" i="3"/>
  <c r="BJ383" i="3"/>
  <c r="BK383" i="3" s="1"/>
  <c r="AH387" i="3"/>
  <c r="AX386" i="3"/>
  <c r="AY386" i="3" s="1"/>
  <c r="X387" i="3"/>
  <c r="Y387" i="3"/>
  <c r="Z387" i="3" s="1"/>
  <c r="BG384" i="3"/>
  <c r="BH384" i="3" s="1"/>
  <c r="BI384" i="3" s="1"/>
  <c r="BD384" i="3"/>
  <c r="AN387" i="3"/>
  <c r="AV385" i="3"/>
  <c r="BA385" i="3"/>
  <c r="BC385" i="3" l="1"/>
  <c r="AH388" i="3"/>
  <c r="BA386" i="3"/>
  <c r="AX387" i="3"/>
  <c r="AO388" i="3"/>
  <c r="BF386" i="3"/>
  <c r="BQ386" i="3"/>
  <c r="BB386" i="3"/>
  <c r="AR389" i="3"/>
  <c r="B389" i="3"/>
  <c r="AQ389" i="3"/>
  <c r="A390" i="3"/>
  <c r="D389" i="3"/>
  <c r="C389" i="3"/>
  <c r="G389" i="3"/>
  <c r="H389" i="3" s="1"/>
  <c r="F389" i="3"/>
  <c r="BM389" i="3" s="1"/>
  <c r="Q389" i="3"/>
  <c r="S389" i="3"/>
  <c r="O389" i="3"/>
  <c r="U389" i="3"/>
  <c r="AD389" i="3"/>
  <c r="M389" i="3"/>
  <c r="AF389" i="3"/>
  <c r="AM389" i="3"/>
  <c r="AE389" i="3"/>
  <c r="AG389" i="3" s="1"/>
  <c r="AK389" i="3"/>
  <c r="AO389" i="3" s="1"/>
  <c r="R389" i="3"/>
  <c r="T389" i="3"/>
  <c r="P389" i="3"/>
  <c r="V389" i="3"/>
  <c r="AT388" i="3"/>
  <c r="Y388" i="3"/>
  <c r="Z388" i="3" s="1"/>
  <c r="AT387" i="3"/>
  <c r="BD385" i="3"/>
  <c r="BG385" i="3"/>
  <c r="BH385" i="3" s="1"/>
  <c r="BI385" i="3" s="1"/>
  <c r="BB385" i="3"/>
  <c r="BQ385" i="3"/>
  <c r="BF385" i="3"/>
  <c r="BJ384" i="3" s="1"/>
  <c r="BK384" i="3" s="1"/>
  <c r="AG388" i="3"/>
  <c r="AW388" i="3" s="1"/>
  <c r="AV386" i="3"/>
  <c r="BC386" i="3" s="1"/>
  <c r="AU387" i="3"/>
  <c r="X388" i="3"/>
  <c r="AW387" i="3"/>
  <c r="AY387" i="3" s="1"/>
  <c r="BN389" i="3" l="1"/>
  <c r="AX388" i="3"/>
  <c r="AY388" i="3" s="1"/>
  <c r="BA387" i="3"/>
  <c r="AV387" i="3"/>
  <c r="BC387" i="3" s="1"/>
  <c r="X389" i="3"/>
  <c r="Y389" i="3"/>
  <c r="Z389" i="3" s="1"/>
  <c r="AR390" i="3"/>
  <c r="AQ390" i="3"/>
  <c r="C390" i="3"/>
  <c r="B390" i="3"/>
  <c r="A391" i="3"/>
  <c r="D390" i="3"/>
  <c r="G390" i="3"/>
  <c r="H390" i="3" s="1"/>
  <c r="F390" i="3"/>
  <c r="Q390" i="3"/>
  <c r="S390" i="3"/>
  <c r="O390" i="3"/>
  <c r="U390" i="3"/>
  <c r="AK390" i="3"/>
  <c r="M390" i="3"/>
  <c r="AE390" i="3"/>
  <c r="AF390" i="3"/>
  <c r="AD390" i="3"/>
  <c r="AM390" i="3"/>
  <c r="AN390" i="3" s="1"/>
  <c r="P390" i="3"/>
  <c r="R390" i="3"/>
  <c r="V390" i="3"/>
  <c r="T390" i="3"/>
  <c r="BD386" i="3"/>
  <c r="BG386" i="3"/>
  <c r="BH386" i="3" s="1"/>
  <c r="BI386" i="3" s="1"/>
  <c r="AN389" i="3"/>
  <c r="AU388" i="3"/>
  <c r="AV388" i="3" s="1"/>
  <c r="BC388" i="3" s="1"/>
  <c r="AH389" i="3"/>
  <c r="BJ385" i="3"/>
  <c r="BK385" i="3" s="1"/>
  <c r="BN390" i="3" l="1"/>
  <c r="AH390" i="3"/>
  <c r="AW389" i="3"/>
  <c r="BA388" i="3"/>
  <c r="AX389" i="3"/>
  <c r="AY389" i="3" s="1"/>
  <c r="BD388" i="3"/>
  <c r="BG388" i="3"/>
  <c r="BH388" i="3" s="1"/>
  <c r="BI388" i="3" s="1"/>
  <c r="Y390" i="3"/>
  <c r="Z390" i="3" s="1"/>
  <c r="AG390" i="3"/>
  <c r="AO390" i="3"/>
  <c r="X390" i="3"/>
  <c r="BB387" i="3"/>
  <c r="BF387" i="3"/>
  <c r="BJ386" i="3" s="1"/>
  <c r="BK386" i="3" s="1"/>
  <c r="BQ387" i="3"/>
  <c r="A392" i="3"/>
  <c r="AR391" i="3"/>
  <c r="C391" i="3"/>
  <c r="D391" i="3"/>
  <c r="AQ391" i="3"/>
  <c r="B391" i="3"/>
  <c r="F391" i="3"/>
  <c r="G391" i="3"/>
  <c r="H391" i="3" s="1"/>
  <c r="Q391" i="3"/>
  <c r="S391" i="3"/>
  <c r="O391" i="3"/>
  <c r="U391" i="3"/>
  <c r="AK391" i="3"/>
  <c r="AE391" i="3"/>
  <c r="M391" i="3"/>
  <c r="AF391" i="3"/>
  <c r="AD391" i="3"/>
  <c r="AM391" i="3"/>
  <c r="V391" i="3"/>
  <c r="P391" i="3"/>
  <c r="T391" i="3"/>
  <c r="R391" i="3"/>
  <c r="BB388" i="3"/>
  <c r="BQ388" i="3"/>
  <c r="BF388" i="3"/>
  <c r="BD387" i="3"/>
  <c r="BG387" i="3"/>
  <c r="BH387" i="3" s="1"/>
  <c r="BI387" i="3" s="1"/>
  <c r="AT389" i="3"/>
  <c r="BM390" i="3"/>
  <c r="AU389" i="3"/>
  <c r="AN391" i="3" l="1"/>
  <c r="AH391" i="3"/>
  <c r="Y391" i="3"/>
  <c r="Z391" i="3" s="1"/>
  <c r="AG391" i="3"/>
  <c r="AO391" i="3"/>
  <c r="AX391" i="3" s="1"/>
  <c r="AW390" i="3"/>
  <c r="BM391" i="3"/>
  <c r="A393" i="3"/>
  <c r="B392" i="3"/>
  <c r="AR392" i="3"/>
  <c r="AQ392" i="3"/>
  <c r="C392" i="3"/>
  <c r="D392" i="3"/>
  <c r="G392" i="3"/>
  <c r="H392" i="3" s="1"/>
  <c r="BN392" i="3" s="1"/>
  <c r="F392" i="3"/>
  <c r="BM392" i="3" s="1"/>
  <c r="Q392" i="3"/>
  <c r="S392" i="3"/>
  <c r="O392" i="3"/>
  <c r="U392" i="3"/>
  <c r="AF392" i="3"/>
  <c r="AD392" i="3"/>
  <c r="M392" i="3"/>
  <c r="AK392" i="3"/>
  <c r="AE392" i="3"/>
  <c r="AG392" i="3" s="1"/>
  <c r="AM392" i="3"/>
  <c r="R392" i="3"/>
  <c r="V392" i="3"/>
  <c r="P392" i="3"/>
  <c r="T392" i="3"/>
  <c r="BA389" i="3"/>
  <c r="AV389" i="3"/>
  <c r="BC389" i="3" s="1"/>
  <c r="X391" i="3"/>
  <c r="BJ387" i="3"/>
  <c r="BK387" i="3" s="1"/>
  <c r="AU390" i="3"/>
  <c r="BN391" i="3"/>
  <c r="AT390" i="3"/>
  <c r="AX390" i="3"/>
  <c r="AU391" i="3"/>
  <c r="AN392" i="3" l="1"/>
  <c r="A394" i="3"/>
  <c r="B393" i="3"/>
  <c r="AR393" i="3"/>
  <c r="AQ393" i="3"/>
  <c r="D393" i="3"/>
  <c r="C393" i="3"/>
  <c r="F393" i="3"/>
  <c r="BM393" i="3" s="1"/>
  <c r="G393" i="3"/>
  <c r="H393" i="3" s="1"/>
  <c r="BN393" i="3" s="1"/>
  <c r="Q393" i="3"/>
  <c r="S393" i="3"/>
  <c r="O393" i="3"/>
  <c r="U393" i="3"/>
  <c r="AF393" i="3"/>
  <c r="AD393" i="3"/>
  <c r="M393" i="3"/>
  <c r="AM393" i="3"/>
  <c r="AE393" i="3"/>
  <c r="AK393" i="3"/>
  <c r="P393" i="3"/>
  <c r="V393" i="3"/>
  <c r="T393" i="3"/>
  <c r="R393" i="3"/>
  <c r="AH392" i="3"/>
  <c r="BD389" i="3"/>
  <c r="BG389" i="3"/>
  <c r="BH389" i="3" s="1"/>
  <c r="BI389" i="3" s="1"/>
  <c r="BB389" i="3"/>
  <c r="BQ389" i="3"/>
  <c r="BF389" i="3"/>
  <c r="BJ388" i="3" s="1"/>
  <c r="BK388" i="3" s="1"/>
  <c r="Y392" i="3"/>
  <c r="Z392" i="3" s="1"/>
  <c r="AO392" i="3"/>
  <c r="AY390" i="3"/>
  <c r="BA390" i="3"/>
  <c r="AV390" i="3"/>
  <c r="X392" i="3"/>
  <c r="AW391" i="3"/>
  <c r="AY391" i="3" s="1"/>
  <c r="AT391" i="3"/>
  <c r="AX392" i="3" l="1"/>
  <c r="X393" i="3"/>
  <c r="AO393" i="3"/>
  <c r="BC390" i="3"/>
  <c r="AG393" i="3"/>
  <c r="Y393" i="3"/>
  <c r="Z393" i="3" s="1"/>
  <c r="BD390" i="3"/>
  <c r="BG390" i="3"/>
  <c r="BH390" i="3" s="1"/>
  <c r="BI390" i="3" s="1"/>
  <c r="AQ394" i="3"/>
  <c r="B394" i="3"/>
  <c r="A395" i="3"/>
  <c r="AR394" i="3"/>
  <c r="D394" i="3"/>
  <c r="C394" i="3"/>
  <c r="G394" i="3"/>
  <c r="H394" i="3" s="1"/>
  <c r="F394" i="3"/>
  <c r="BM394" i="3" s="1"/>
  <c r="Q394" i="3"/>
  <c r="S394" i="3"/>
  <c r="O394" i="3"/>
  <c r="U394" i="3"/>
  <c r="AF394" i="3"/>
  <c r="AD394" i="3"/>
  <c r="AE394" i="3"/>
  <c r="AG394" i="3" s="1"/>
  <c r="AK394" i="3"/>
  <c r="M394" i="3"/>
  <c r="AM394" i="3"/>
  <c r="AN394" i="3" s="1"/>
  <c r="P394" i="3"/>
  <c r="V394" i="3"/>
  <c r="R394" i="3"/>
  <c r="T394" i="3"/>
  <c r="BB390" i="3"/>
  <c r="BQ390" i="3"/>
  <c r="BF390" i="3"/>
  <c r="BJ389" i="3" s="1"/>
  <c r="BK389" i="3" s="1"/>
  <c r="AH393" i="3"/>
  <c r="AT392" i="3"/>
  <c r="AV391" i="3"/>
  <c r="BC391" i="3" s="1"/>
  <c r="BA391" i="3"/>
  <c r="AN393" i="3"/>
  <c r="AW392" i="3"/>
  <c r="AY392" i="3" s="1"/>
  <c r="AU392" i="3"/>
  <c r="BN394" i="3" l="1"/>
  <c r="AX393" i="3"/>
  <c r="BA392" i="3"/>
  <c r="AV392" i="3"/>
  <c r="BC392" i="3" s="1"/>
  <c r="AT394" i="3"/>
  <c r="X394" i="3"/>
  <c r="AW393" i="3"/>
  <c r="AY393" i="3" s="1"/>
  <c r="AT393" i="3"/>
  <c r="Y394" i="3"/>
  <c r="Z394" i="3" s="1"/>
  <c r="A396" i="3"/>
  <c r="B395" i="3"/>
  <c r="AR395" i="3"/>
  <c r="C395" i="3"/>
  <c r="D395" i="3"/>
  <c r="AQ395" i="3"/>
  <c r="F395" i="3"/>
  <c r="BM395" i="3" s="1"/>
  <c r="G395" i="3"/>
  <c r="H395" i="3" s="1"/>
  <c r="Q395" i="3"/>
  <c r="S395" i="3"/>
  <c r="O395" i="3"/>
  <c r="U395" i="3"/>
  <c r="AD395" i="3"/>
  <c r="AK395" i="3"/>
  <c r="AF395" i="3"/>
  <c r="M395" i="3"/>
  <c r="AE395" i="3"/>
  <c r="AG395" i="3" s="1"/>
  <c r="AM395" i="3"/>
  <c r="AN395" i="3" s="1"/>
  <c r="V395" i="3"/>
  <c r="P395" i="3"/>
  <c r="R395" i="3"/>
  <c r="T395" i="3"/>
  <c r="AU394" i="3"/>
  <c r="AO394" i="3"/>
  <c r="AH394" i="3"/>
  <c r="BQ391" i="3"/>
  <c r="BF391" i="3"/>
  <c r="BJ390" i="3" s="1"/>
  <c r="BK390" i="3" s="1"/>
  <c r="BB391" i="3"/>
  <c r="BD391" i="3"/>
  <c r="BG391" i="3"/>
  <c r="BH391" i="3" s="1"/>
  <c r="BI391" i="3" s="1"/>
  <c r="AU393" i="3"/>
  <c r="BN395" i="3" l="1"/>
  <c r="Y395" i="3"/>
  <c r="Z395" i="3" s="1"/>
  <c r="D396" i="3"/>
  <c r="C396" i="3"/>
  <c r="AR396" i="3"/>
  <c r="AQ396" i="3"/>
  <c r="A397" i="3"/>
  <c r="B396" i="3"/>
  <c r="F396" i="3"/>
  <c r="BM396" i="3" s="1"/>
  <c r="G396" i="3"/>
  <c r="H396" i="3" s="1"/>
  <c r="BN396" i="3" s="1"/>
  <c r="Q396" i="3"/>
  <c r="S396" i="3"/>
  <c r="O396" i="3"/>
  <c r="U396" i="3"/>
  <c r="AE396" i="3"/>
  <c r="AF396" i="3"/>
  <c r="AD396" i="3"/>
  <c r="AK396" i="3"/>
  <c r="M396" i="3"/>
  <c r="AM396" i="3"/>
  <c r="R396" i="3"/>
  <c r="T396" i="3"/>
  <c r="V396" i="3"/>
  <c r="P396" i="3"/>
  <c r="AV393" i="3"/>
  <c r="BC393" i="3" s="1"/>
  <c r="BA393" i="3"/>
  <c r="AO395" i="3"/>
  <c r="AH395" i="3"/>
  <c r="AX395" i="3" s="1"/>
  <c r="X395" i="3"/>
  <c r="AV394" i="3"/>
  <c r="AX394" i="3"/>
  <c r="BD392" i="3"/>
  <c r="BG392" i="3"/>
  <c r="BH392" i="3" s="1"/>
  <c r="BI392" i="3" s="1"/>
  <c r="AW394" i="3"/>
  <c r="BF392" i="3"/>
  <c r="BJ391" i="3" s="1"/>
  <c r="BK391" i="3" s="1"/>
  <c r="BQ392" i="3"/>
  <c r="BB392" i="3"/>
  <c r="AN396" i="3" l="1"/>
  <c r="AH396" i="3"/>
  <c r="BA394" i="3"/>
  <c r="BB394" i="3" s="1"/>
  <c r="BF394" i="3"/>
  <c r="BB393" i="3"/>
  <c r="BQ393" i="3"/>
  <c r="BF393" i="3"/>
  <c r="BJ392" i="3" s="1"/>
  <c r="BK392" i="3" s="1"/>
  <c r="AR397" i="3"/>
  <c r="B397" i="3"/>
  <c r="AQ397" i="3"/>
  <c r="A398" i="3"/>
  <c r="C397" i="3"/>
  <c r="D397" i="3"/>
  <c r="F397" i="3"/>
  <c r="G397" i="3"/>
  <c r="H397" i="3" s="1"/>
  <c r="BN397" i="3" s="1"/>
  <c r="S397" i="3"/>
  <c r="Q397" i="3"/>
  <c r="O397" i="3"/>
  <c r="U397" i="3"/>
  <c r="AD397" i="3"/>
  <c r="M397" i="3"/>
  <c r="AF397" i="3"/>
  <c r="AE397" i="3"/>
  <c r="AG397" i="3" s="1"/>
  <c r="AK397" i="3"/>
  <c r="AM397" i="3"/>
  <c r="R397" i="3"/>
  <c r="V397" i="3"/>
  <c r="P397" i="3"/>
  <c r="T397" i="3"/>
  <c r="AY394" i="3"/>
  <c r="BC394" i="3" s="1"/>
  <c r="Y396" i="3"/>
  <c r="Z396" i="3" s="1"/>
  <c r="BG393" i="3"/>
  <c r="BH393" i="3" s="1"/>
  <c r="BI393" i="3" s="1"/>
  <c r="BD393" i="3"/>
  <c r="AO396" i="3"/>
  <c r="AW395" i="3"/>
  <c r="AY395" i="3" s="1"/>
  <c r="AG396" i="3"/>
  <c r="AW396" i="3" s="1"/>
  <c r="AT395" i="3"/>
  <c r="X396" i="3"/>
  <c r="AU395" i="3"/>
  <c r="BQ394" i="3" l="1"/>
  <c r="AN397" i="3"/>
  <c r="BM397" i="3"/>
  <c r="AT396" i="3"/>
  <c r="BD394" i="3"/>
  <c r="BG394" i="3"/>
  <c r="BH394" i="3" s="1"/>
  <c r="BI394" i="3" s="1"/>
  <c r="Y397" i="3"/>
  <c r="Z397" i="3" s="1"/>
  <c r="AQ398" i="3"/>
  <c r="A399" i="3"/>
  <c r="AR398" i="3"/>
  <c r="D398" i="3"/>
  <c r="C398" i="3"/>
  <c r="B398" i="3"/>
  <c r="F398" i="3"/>
  <c r="BM398" i="3" s="1"/>
  <c r="G398" i="3"/>
  <c r="H398" i="3" s="1"/>
  <c r="BN398" i="3" s="1"/>
  <c r="Q398" i="3"/>
  <c r="S398" i="3"/>
  <c r="O398" i="3"/>
  <c r="U398" i="3"/>
  <c r="AD398" i="3"/>
  <c r="M398" i="3"/>
  <c r="AE398" i="3"/>
  <c r="AF398" i="3"/>
  <c r="AM398" i="3"/>
  <c r="AK398" i="3"/>
  <c r="T398" i="3"/>
  <c r="P398" i="3"/>
  <c r="V398" i="3"/>
  <c r="R398" i="3"/>
  <c r="AO397" i="3"/>
  <c r="BJ393" i="3"/>
  <c r="BK393" i="3" s="1"/>
  <c r="AU396" i="3"/>
  <c r="AV396" i="3" s="1"/>
  <c r="BA395" i="3"/>
  <c r="AV395" i="3"/>
  <c r="BC395" i="3" s="1"/>
  <c r="AX396" i="3"/>
  <c r="AY396" i="3" s="1"/>
  <c r="AH397" i="3"/>
  <c r="AU397" i="3" s="1"/>
  <c r="X397" i="3"/>
  <c r="AO398" i="3" l="1"/>
  <c r="Y398" i="3"/>
  <c r="Z398" i="3" s="1"/>
  <c r="AG398" i="3"/>
  <c r="AR399" i="3"/>
  <c r="AQ399" i="3"/>
  <c r="D399" i="3"/>
  <c r="C399" i="3"/>
  <c r="A400" i="3"/>
  <c r="B399" i="3"/>
  <c r="G399" i="3"/>
  <c r="H399" i="3" s="1"/>
  <c r="BN399" i="3" s="1"/>
  <c r="F399" i="3"/>
  <c r="BM399" i="3" s="1"/>
  <c r="S399" i="3"/>
  <c r="Q399" i="3"/>
  <c r="O399" i="3"/>
  <c r="U399" i="3"/>
  <c r="M399" i="3"/>
  <c r="AE399" i="3"/>
  <c r="AD399" i="3"/>
  <c r="AF399" i="3"/>
  <c r="AM399" i="3"/>
  <c r="AK399" i="3"/>
  <c r="P399" i="3"/>
  <c r="R399" i="3"/>
  <c r="V399" i="3"/>
  <c r="T399" i="3"/>
  <c r="AN398" i="3"/>
  <c r="AH398" i="3"/>
  <c r="AX397" i="3"/>
  <c r="AW397" i="3"/>
  <c r="AT397" i="3"/>
  <c r="X398" i="3"/>
  <c r="BC396" i="3"/>
  <c r="BD395" i="3"/>
  <c r="BG395" i="3"/>
  <c r="BH395" i="3" s="1"/>
  <c r="BI395" i="3" s="1"/>
  <c r="BA396" i="3"/>
  <c r="BB395" i="3"/>
  <c r="BF395" i="3"/>
  <c r="BJ394" i="3" s="1"/>
  <c r="BK394" i="3" s="1"/>
  <c r="BQ395" i="3"/>
  <c r="AO399" i="3" l="1"/>
  <c r="AX398" i="3"/>
  <c r="AG399" i="3"/>
  <c r="AU398" i="3"/>
  <c r="AT398" i="3"/>
  <c r="AY397" i="3"/>
  <c r="X399" i="3"/>
  <c r="AV398" i="3"/>
  <c r="Y399" i="3"/>
  <c r="Z399" i="3" s="1"/>
  <c r="BQ396" i="3"/>
  <c r="BB396" i="3"/>
  <c r="BF396" i="3"/>
  <c r="BJ395" i="3" s="1"/>
  <c r="BK395" i="3" s="1"/>
  <c r="BA397" i="3"/>
  <c r="AV397" i="3"/>
  <c r="BC397" i="3" s="1"/>
  <c r="AR400" i="3"/>
  <c r="B400" i="3"/>
  <c r="AQ400" i="3"/>
  <c r="A401" i="3"/>
  <c r="D400" i="3"/>
  <c r="C400" i="3"/>
  <c r="G400" i="3"/>
  <c r="H400" i="3" s="1"/>
  <c r="F400" i="3"/>
  <c r="S400" i="3"/>
  <c r="Q400" i="3"/>
  <c r="O400" i="3"/>
  <c r="U400" i="3"/>
  <c r="AE400" i="3"/>
  <c r="AF400" i="3"/>
  <c r="M400" i="3"/>
  <c r="AD400" i="3"/>
  <c r="AH400" i="3" s="1"/>
  <c r="AM400" i="3"/>
  <c r="AK400" i="3"/>
  <c r="T400" i="3"/>
  <c r="V400" i="3"/>
  <c r="P400" i="3"/>
  <c r="R400" i="3"/>
  <c r="AN399" i="3"/>
  <c r="BD396" i="3"/>
  <c r="BG396" i="3"/>
  <c r="BH396" i="3" s="1"/>
  <c r="BI396" i="3" s="1"/>
  <c r="AW398" i="3"/>
  <c r="AY398" i="3" s="1"/>
  <c r="AH399" i="3"/>
  <c r="BN400" i="3" l="1"/>
  <c r="AN400" i="3"/>
  <c r="AX399" i="3"/>
  <c r="BD397" i="3"/>
  <c r="BG397" i="3"/>
  <c r="BH397" i="3" s="1"/>
  <c r="BI397" i="3" s="1"/>
  <c r="Y400" i="3"/>
  <c r="Z400" i="3" s="1"/>
  <c r="AR401" i="3"/>
  <c r="B401" i="3"/>
  <c r="AQ401" i="3"/>
  <c r="A402" i="3"/>
  <c r="C401" i="3"/>
  <c r="D401" i="3"/>
  <c r="G401" i="3"/>
  <c r="H401" i="3" s="1"/>
  <c r="BN401" i="3" s="1"/>
  <c r="F401" i="3"/>
  <c r="BM401" i="3" s="1"/>
  <c r="Q401" i="3"/>
  <c r="S401" i="3"/>
  <c r="O401" i="3"/>
  <c r="U401" i="3"/>
  <c r="AF401" i="3"/>
  <c r="M401" i="3"/>
  <c r="AD401" i="3"/>
  <c r="AM401" i="3"/>
  <c r="AK401" i="3"/>
  <c r="AE401" i="3"/>
  <c r="AG401" i="3" s="1"/>
  <c r="V401" i="3"/>
  <c r="R401" i="3"/>
  <c r="T401" i="3"/>
  <c r="P401" i="3"/>
  <c r="AO400" i="3"/>
  <c r="BB397" i="3"/>
  <c r="BQ397" i="3"/>
  <c r="BF397" i="3"/>
  <c r="BJ396" i="3" s="1"/>
  <c r="BK396" i="3" s="1"/>
  <c r="AG400" i="3"/>
  <c r="AU400" i="3" s="1"/>
  <c r="X400" i="3"/>
  <c r="AT399" i="3"/>
  <c r="AW399" i="3"/>
  <c r="BA398" i="3"/>
  <c r="AU399" i="3"/>
  <c r="BM400" i="3"/>
  <c r="BC398" i="3"/>
  <c r="AY399" i="3" l="1"/>
  <c r="AO401" i="3"/>
  <c r="AX400" i="3"/>
  <c r="BD398" i="3"/>
  <c r="BG398" i="3"/>
  <c r="BH398" i="3" s="1"/>
  <c r="BI398" i="3" s="1"/>
  <c r="AU401" i="3"/>
  <c r="AQ402" i="3"/>
  <c r="B402" i="3"/>
  <c r="A403" i="3"/>
  <c r="AR402" i="3"/>
  <c r="C402" i="3"/>
  <c r="D402" i="3"/>
  <c r="G402" i="3"/>
  <c r="H402" i="3" s="1"/>
  <c r="BN402" i="3" s="1"/>
  <c r="F402" i="3"/>
  <c r="BM402" i="3" s="1"/>
  <c r="S402" i="3"/>
  <c r="Q402" i="3"/>
  <c r="O402" i="3"/>
  <c r="U402" i="3"/>
  <c r="AF402" i="3"/>
  <c r="M402" i="3"/>
  <c r="AD402" i="3"/>
  <c r="AE402" i="3"/>
  <c r="AM402" i="3"/>
  <c r="AK402" i="3"/>
  <c r="R402" i="3"/>
  <c r="P402" i="3"/>
  <c r="V402" i="3"/>
  <c r="T402" i="3"/>
  <c r="BB398" i="3"/>
  <c r="BQ398" i="3"/>
  <c r="BF398" i="3"/>
  <c r="BJ397" i="3" s="1"/>
  <c r="BK397" i="3" s="1"/>
  <c r="BA399" i="3"/>
  <c r="AV399" i="3"/>
  <c r="BC399" i="3" s="1"/>
  <c r="AH401" i="3"/>
  <c r="AT401" i="3" s="1"/>
  <c r="Y401" i="3"/>
  <c r="Z401" i="3" s="1"/>
  <c r="AW400" i="3"/>
  <c r="AY400" i="3" s="1"/>
  <c r="X401" i="3"/>
  <c r="AN401" i="3"/>
  <c r="AW401" i="3" s="1"/>
  <c r="AT400" i="3"/>
  <c r="AO402" i="3" l="1"/>
  <c r="AG402" i="3"/>
  <c r="AV401" i="3"/>
  <c r="BD399" i="3"/>
  <c r="BG399" i="3"/>
  <c r="BH399" i="3" s="1"/>
  <c r="BI399" i="3" s="1"/>
  <c r="BQ399" i="3"/>
  <c r="BB399" i="3"/>
  <c r="BF399" i="3"/>
  <c r="BJ398" i="3" s="1"/>
  <c r="BK398" i="3" s="1"/>
  <c r="X402" i="3"/>
  <c r="Y402" i="3"/>
  <c r="Z402" i="3" s="1"/>
  <c r="AT402" i="3"/>
  <c r="AV400" i="3"/>
  <c r="BC400" i="3" s="1"/>
  <c r="BA400" i="3"/>
  <c r="A404" i="3"/>
  <c r="B403" i="3"/>
  <c r="AR403" i="3"/>
  <c r="D403" i="3"/>
  <c r="AQ403" i="3"/>
  <c r="C403" i="3"/>
  <c r="G403" i="3"/>
  <c r="H403" i="3" s="1"/>
  <c r="F403" i="3"/>
  <c r="BM403" i="3" s="1"/>
  <c r="Q403" i="3"/>
  <c r="S403" i="3"/>
  <c r="O403" i="3"/>
  <c r="U403" i="3"/>
  <c r="M403" i="3"/>
  <c r="AE403" i="3"/>
  <c r="AD403" i="3"/>
  <c r="AF403" i="3"/>
  <c r="AK403" i="3"/>
  <c r="AM403" i="3"/>
  <c r="V403" i="3"/>
  <c r="P403" i="3"/>
  <c r="R403" i="3"/>
  <c r="T403" i="3"/>
  <c r="AN402" i="3"/>
  <c r="AX401" i="3"/>
  <c r="AY401" i="3" s="1"/>
  <c r="AH402" i="3"/>
  <c r="AX402" i="3" s="1"/>
  <c r="BN403" i="3" l="1"/>
  <c r="AO403" i="3"/>
  <c r="AH403" i="3"/>
  <c r="BD400" i="3"/>
  <c r="BG400" i="3"/>
  <c r="BH400" i="3" s="1"/>
  <c r="BI400" i="3" s="1"/>
  <c r="AN403" i="3"/>
  <c r="AX403" i="3" s="1"/>
  <c r="D404" i="3"/>
  <c r="C404" i="3"/>
  <c r="A405" i="3"/>
  <c r="AR404" i="3"/>
  <c r="B404" i="3"/>
  <c r="AQ404" i="3"/>
  <c r="F404" i="3"/>
  <c r="BM404" i="3" s="1"/>
  <c r="G404" i="3"/>
  <c r="H404" i="3" s="1"/>
  <c r="BN404" i="3" s="1"/>
  <c r="Q404" i="3"/>
  <c r="S404" i="3"/>
  <c r="O404" i="3"/>
  <c r="U404" i="3"/>
  <c r="AF404" i="3"/>
  <c r="AE404" i="3"/>
  <c r="AD404" i="3"/>
  <c r="M404" i="3"/>
  <c r="AM404" i="3"/>
  <c r="AK404" i="3"/>
  <c r="R404" i="3"/>
  <c r="V404" i="3"/>
  <c r="P404" i="3"/>
  <c r="T404" i="3"/>
  <c r="BQ400" i="3"/>
  <c r="BF400" i="3"/>
  <c r="BJ399" i="3" s="1"/>
  <c r="BK399" i="3" s="1"/>
  <c r="BB400" i="3"/>
  <c r="AU402" i="3"/>
  <c r="AW402" i="3"/>
  <c r="AY402" i="3" s="1"/>
  <c r="AG403" i="3"/>
  <c r="X403" i="3"/>
  <c r="AU403" i="3"/>
  <c r="BA401" i="3"/>
  <c r="BC401" i="3"/>
  <c r="Y403" i="3"/>
  <c r="Z403" i="3" s="1"/>
  <c r="AT403" i="3"/>
  <c r="AO404" i="3" l="1"/>
  <c r="AH404" i="3"/>
  <c r="BA402" i="3"/>
  <c r="AW403" i="3"/>
  <c r="BQ402" i="3"/>
  <c r="BF402" i="3"/>
  <c r="BB402" i="3"/>
  <c r="Y404" i="3"/>
  <c r="Z404" i="3" s="1"/>
  <c r="AV403" i="3"/>
  <c r="BA403" i="3"/>
  <c r="AY403" i="3"/>
  <c r="BQ401" i="3"/>
  <c r="BB401" i="3"/>
  <c r="BF401" i="3"/>
  <c r="BJ400" i="3" s="1"/>
  <c r="BK400" i="3" s="1"/>
  <c r="X404" i="3"/>
  <c r="AV402" i="3"/>
  <c r="BC402" i="3" s="1"/>
  <c r="BD401" i="3"/>
  <c r="BG401" i="3"/>
  <c r="BH401" i="3" s="1"/>
  <c r="BI401" i="3" s="1"/>
  <c r="AR405" i="3"/>
  <c r="B405" i="3"/>
  <c r="AQ405" i="3"/>
  <c r="A406" i="3"/>
  <c r="C405" i="3"/>
  <c r="D405" i="3"/>
  <c r="F405" i="3"/>
  <c r="BM405" i="3" s="1"/>
  <c r="G405" i="3"/>
  <c r="H405" i="3" s="1"/>
  <c r="BN405" i="3" s="1"/>
  <c r="S405" i="3"/>
  <c r="Q405" i="3"/>
  <c r="O405" i="3"/>
  <c r="U405" i="3"/>
  <c r="AF405" i="3"/>
  <c r="AD405" i="3"/>
  <c r="AE405" i="3"/>
  <c r="M405" i="3"/>
  <c r="AM405" i="3"/>
  <c r="AK405" i="3"/>
  <c r="R405" i="3"/>
  <c r="V405" i="3"/>
  <c r="P405" i="3"/>
  <c r="T405" i="3"/>
  <c r="AG404" i="3"/>
  <c r="AT404" i="3" s="1"/>
  <c r="AN404" i="3"/>
  <c r="AX404" i="3" l="1"/>
  <c r="AO405" i="3"/>
  <c r="AU404" i="3"/>
  <c r="AV404" i="3" s="1"/>
  <c r="X405" i="3"/>
  <c r="AH405" i="3"/>
  <c r="BC403" i="3"/>
  <c r="BB403" i="3"/>
  <c r="BF403" i="3"/>
  <c r="BJ402" i="3" s="1"/>
  <c r="BK402" i="3" s="1"/>
  <c r="BQ403" i="3"/>
  <c r="BD402" i="3"/>
  <c r="BG402" i="3"/>
  <c r="BH402" i="3" s="1"/>
  <c r="BI402" i="3" s="1"/>
  <c r="Y405" i="3"/>
  <c r="Z405" i="3" s="1"/>
  <c r="AQ406" i="3"/>
  <c r="A407" i="3"/>
  <c r="B406" i="3"/>
  <c r="AR406" i="3"/>
  <c r="C406" i="3"/>
  <c r="D406" i="3"/>
  <c r="F406" i="3"/>
  <c r="G406" i="3"/>
  <c r="H406" i="3" s="1"/>
  <c r="Q406" i="3"/>
  <c r="S406" i="3"/>
  <c r="O406" i="3"/>
  <c r="U406" i="3"/>
  <c r="M406" i="3"/>
  <c r="AF406" i="3"/>
  <c r="AD406" i="3"/>
  <c r="AE406" i="3"/>
  <c r="AG406" i="3" s="1"/>
  <c r="AK406" i="3"/>
  <c r="AM406" i="3"/>
  <c r="AN406" i="3" s="1"/>
  <c r="V406" i="3"/>
  <c r="P406" i="3"/>
  <c r="R406" i="3"/>
  <c r="T406" i="3"/>
  <c r="AG405" i="3"/>
  <c r="AW404" i="3"/>
  <c r="AY404" i="3" s="1"/>
  <c r="BJ401" i="3"/>
  <c r="BK401" i="3" s="1"/>
  <c r="AN405" i="3"/>
  <c r="AT405" i="3"/>
  <c r="AU405" i="3" l="1"/>
  <c r="BN406" i="3"/>
  <c r="AX405" i="3"/>
  <c r="Y406" i="3"/>
  <c r="Z406" i="3" s="1"/>
  <c r="AR407" i="3"/>
  <c r="AQ407" i="3"/>
  <c r="C407" i="3"/>
  <c r="D407" i="3"/>
  <c r="A408" i="3"/>
  <c r="B407" i="3"/>
  <c r="F407" i="3"/>
  <c r="BM407" i="3" s="1"/>
  <c r="G407" i="3"/>
  <c r="H407" i="3" s="1"/>
  <c r="BN407" i="3" s="1"/>
  <c r="Q407" i="3"/>
  <c r="S407" i="3"/>
  <c r="O407" i="3"/>
  <c r="U407" i="3"/>
  <c r="M407" i="3"/>
  <c r="AD407" i="3"/>
  <c r="AF407" i="3"/>
  <c r="AE407" i="3"/>
  <c r="AK407" i="3"/>
  <c r="AM407" i="3"/>
  <c r="T407" i="3"/>
  <c r="V407" i="3"/>
  <c r="R407" i="3"/>
  <c r="P407" i="3"/>
  <c r="AW405" i="3"/>
  <c r="BC404" i="3"/>
  <c r="AO406" i="3"/>
  <c r="AH406" i="3"/>
  <c r="BA405" i="3"/>
  <c r="AV405" i="3"/>
  <c r="X406" i="3"/>
  <c r="BD403" i="3"/>
  <c r="BG403" i="3"/>
  <c r="BH403" i="3" s="1"/>
  <c r="BI403" i="3" s="1"/>
  <c r="BM406" i="3"/>
  <c r="BA404" i="3"/>
  <c r="AH407" i="3" l="1"/>
  <c r="AN407" i="3"/>
  <c r="BQ405" i="3"/>
  <c r="BF405" i="3"/>
  <c r="BB405" i="3"/>
  <c r="BD404" i="3"/>
  <c r="BG404" i="3"/>
  <c r="BH404" i="3" s="1"/>
  <c r="BI404" i="3" s="1"/>
  <c r="AR408" i="3"/>
  <c r="B408" i="3"/>
  <c r="AQ408" i="3"/>
  <c r="A409" i="3"/>
  <c r="D408" i="3"/>
  <c r="C408" i="3"/>
  <c r="G408" i="3"/>
  <c r="H408" i="3" s="1"/>
  <c r="BN408" i="3" s="1"/>
  <c r="F408" i="3"/>
  <c r="BM408" i="3" s="1"/>
  <c r="Q408" i="3"/>
  <c r="S408" i="3"/>
  <c r="O408" i="3"/>
  <c r="U408" i="3"/>
  <c r="AK408" i="3"/>
  <c r="AD408" i="3"/>
  <c r="AF408" i="3"/>
  <c r="M408" i="3"/>
  <c r="AE408" i="3"/>
  <c r="AG408" i="3" s="1"/>
  <c r="AM408" i="3"/>
  <c r="AN408" i="3" s="1"/>
  <c r="R408" i="3"/>
  <c r="P408" i="3"/>
  <c r="V408" i="3"/>
  <c r="T408" i="3"/>
  <c r="AU407" i="3"/>
  <c r="AX406" i="3"/>
  <c r="AY405" i="3"/>
  <c r="BC405" i="3" s="1"/>
  <c r="AW406" i="3"/>
  <c r="BF404" i="3"/>
  <c r="BJ403" i="3" s="1"/>
  <c r="BK403" i="3" s="1"/>
  <c r="BB404" i="3"/>
  <c r="BQ404" i="3"/>
  <c r="AO407" i="3"/>
  <c r="AU406" i="3"/>
  <c r="Y407" i="3"/>
  <c r="Z407" i="3" s="1"/>
  <c r="AG407" i="3"/>
  <c r="AW407" i="3" s="1"/>
  <c r="X407" i="3"/>
  <c r="AT406" i="3"/>
  <c r="AX407" i="3" l="1"/>
  <c r="AY407" i="3" s="1"/>
  <c r="BD405" i="3"/>
  <c r="BG405" i="3"/>
  <c r="BH405" i="3" s="1"/>
  <c r="BI405" i="3" s="1"/>
  <c r="AR409" i="3"/>
  <c r="B409" i="3"/>
  <c r="C409" i="3"/>
  <c r="AQ409" i="3"/>
  <c r="A410" i="3"/>
  <c r="D409" i="3"/>
  <c r="G409" i="3"/>
  <c r="H409" i="3" s="1"/>
  <c r="F409" i="3"/>
  <c r="BM409" i="3" s="1"/>
  <c r="Q409" i="3"/>
  <c r="S409" i="3"/>
  <c r="O409" i="3"/>
  <c r="U409" i="3"/>
  <c r="AF409" i="3"/>
  <c r="AD409" i="3"/>
  <c r="M409" i="3"/>
  <c r="AE409" i="3"/>
  <c r="AM409" i="3"/>
  <c r="AK409" i="3"/>
  <c r="R409" i="3"/>
  <c r="V409" i="3"/>
  <c r="P409" i="3"/>
  <c r="T409" i="3"/>
  <c r="AT407" i="3"/>
  <c r="AH408" i="3"/>
  <c r="AV406" i="3"/>
  <c r="BA406" i="3"/>
  <c r="AO408" i="3"/>
  <c r="BJ404" i="3"/>
  <c r="BK404" i="3" s="1"/>
  <c r="AY406" i="3"/>
  <c r="Y408" i="3"/>
  <c r="Z408" i="3" s="1"/>
  <c r="X408" i="3"/>
  <c r="AH409" i="3" l="1"/>
  <c r="AO409" i="3"/>
  <c r="BC406" i="3"/>
  <c r="BD406" i="3" s="1"/>
  <c r="AX408" i="3"/>
  <c r="BG406" i="3"/>
  <c r="BH406" i="3" s="1"/>
  <c r="BI406" i="3" s="1"/>
  <c r="AU408" i="3"/>
  <c r="AQ410" i="3"/>
  <c r="B410" i="3"/>
  <c r="A411" i="3"/>
  <c r="AR410" i="3"/>
  <c r="D410" i="3"/>
  <c r="C410" i="3"/>
  <c r="F410" i="3"/>
  <c r="BM410" i="3" s="1"/>
  <c r="G410" i="3"/>
  <c r="H410" i="3" s="1"/>
  <c r="BN410" i="3" s="1"/>
  <c r="Q410" i="3"/>
  <c r="S410" i="3"/>
  <c r="O410" i="3"/>
  <c r="U410" i="3"/>
  <c r="AF410" i="3"/>
  <c r="AD410" i="3"/>
  <c r="AM410" i="3"/>
  <c r="M410" i="3"/>
  <c r="AK410" i="3"/>
  <c r="AO410" i="3" s="1"/>
  <c r="AE410" i="3"/>
  <c r="AG410" i="3" s="1"/>
  <c r="P410" i="3"/>
  <c r="R410" i="3"/>
  <c r="V410" i="3"/>
  <c r="T410" i="3"/>
  <c r="AT408" i="3"/>
  <c r="AN409" i="3"/>
  <c r="AX409" i="3" s="1"/>
  <c r="BA407" i="3"/>
  <c r="AV407" i="3"/>
  <c r="BC407" i="3" s="1"/>
  <c r="Y409" i="3"/>
  <c r="Z409" i="3" s="1"/>
  <c r="AG409" i="3"/>
  <c r="BB406" i="3"/>
  <c r="BQ406" i="3"/>
  <c r="BF406" i="3"/>
  <c r="BJ405" i="3" s="1"/>
  <c r="BK405" i="3" s="1"/>
  <c r="X409" i="3"/>
  <c r="BN409" i="3"/>
  <c r="AU409" i="3"/>
  <c r="AW408" i="3"/>
  <c r="AY408" i="3" s="1"/>
  <c r="AT409" i="3"/>
  <c r="BQ407" i="3" l="1"/>
  <c r="BF407" i="3"/>
  <c r="BJ406" i="3" s="1"/>
  <c r="BK406" i="3" s="1"/>
  <c r="BB407" i="3"/>
  <c r="BA408" i="3"/>
  <c r="AV408" i="3"/>
  <c r="BC408" i="3" s="1"/>
  <c r="AV409" i="3"/>
  <c r="A412" i="3"/>
  <c r="B411" i="3"/>
  <c r="AR411" i="3"/>
  <c r="C411" i="3"/>
  <c r="AQ411" i="3"/>
  <c r="D411" i="3"/>
  <c r="F411" i="3"/>
  <c r="BM411" i="3" s="1"/>
  <c r="G411" i="3"/>
  <c r="H411" i="3" s="1"/>
  <c r="BN411" i="3" s="1"/>
  <c r="Q411" i="3"/>
  <c r="S411" i="3"/>
  <c r="O411" i="3"/>
  <c r="U411" i="3"/>
  <c r="AD411" i="3"/>
  <c r="M411" i="3"/>
  <c r="AF411" i="3"/>
  <c r="AE411" i="3"/>
  <c r="AG411" i="3" s="1"/>
  <c r="AM411" i="3"/>
  <c r="AK411" i="3"/>
  <c r="P411" i="3"/>
  <c r="R411" i="3"/>
  <c r="T411" i="3"/>
  <c r="V411" i="3"/>
  <c r="BD407" i="3"/>
  <c r="BG407" i="3"/>
  <c r="BH407" i="3" s="1"/>
  <c r="BI407" i="3" s="1"/>
  <c r="AN410" i="3"/>
  <c r="Y410" i="3"/>
  <c r="Z410" i="3" s="1"/>
  <c r="AH410" i="3"/>
  <c r="AW409" i="3"/>
  <c r="AY409" i="3" s="1"/>
  <c r="X410" i="3"/>
  <c r="BC409" i="3" l="1"/>
  <c r="AO411" i="3"/>
  <c r="AX410" i="3"/>
  <c r="C412" i="3"/>
  <c r="D412" i="3"/>
  <c r="B412" i="3"/>
  <c r="AQ412" i="3"/>
  <c r="A413" i="3"/>
  <c r="AR412" i="3"/>
  <c r="F412" i="3"/>
  <c r="BM412" i="3" s="1"/>
  <c r="G412" i="3"/>
  <c r="H412" i="3" s="1"/>
  <c r="BN412" i="3" s="1"/>
  <c r="S412" i="3"/>
  <c r="Q412" i="3"/>
  <c r="O412" i="3"/>
  <c r="U412" i="3"/>
  <c r="AE412" i="3"/>
  <c r="AD412" i="3"/>
  <c r="AF412" i="3"/>
  <c r="M412" i="3"/>
  <c r="AM412" i="3"/>
  <c r="AK412" i="3"/>
  <c r="P412" i="3"/>
  <c r="V412" i="3"/>
  <c r="R412" i="3"/>
  <c r="T412" i="3"/>
  <c r="BD409" i="3"/>
  <c r="BG409" i="3"/>
  <c r="BH409" i="3" s="1"/>
  <c r="BI409" i="3" s="1"/>
  <c r="BA409" i="3"/>
  <c r="AN411" i="3"/>
  <c r="AW410" i="3"/>
  <c r="AY410" i="3" s="1"/>
  <c r="Y411" i="3"/>
  <c r="Z411" i="3" s="1"/>
  <c r="AH411" i="3"/>
  <c r="AT411" i="3" s="1"/>
  <c r="BD408" i="3"/>
  <c r="BG408" i="3"/>
  <c r="BH408" i="3" s="1"/>
  <c r="BI408" i="3" s="1"/>
  <c r="X411" i="3"/>
  <c r="BF408" i="3"/>
  <c r="BJ407" i="3" s="1"/>
  <c r="BK407" i="3" s="1"/>
  <c r="BQ408" i="3"/>
  <c r="BB408" i="3"/>
  <c r="AT410" i="3"/>
  <c r="AU410" i="3"/>
  <c r="AO412" i="3" l="1"/>
  <c r="AG412" i="3"/>
  <c r="AU411" i="3"/>
  <c r="AV411" i="3"/>
  <c r="AU412" i="3"/>
  <c r="BQ409" i="3"/>
  <c r="BF409" i="3"/>
  <c r="BJ408" i="3" s="1"/>
  <c r="BK408" i="3" s="1"/>
  <c r="BB409" i="3"/>
  <c r="AV410" i="3"/>
  <c r="BC410" i="3" s="1"/>
  <c r="BA410" i="3"/>
  <c r="AR413" i="3"/>
  <c r="B413" i="3"/>
  <c r="AQ413" i="3"/>
  <c r="A414" i="3"/>
  <c r="D413" i="3"/>
  <c r="C413" i="3"/>
  <c r="F413" i="3"/>
  <c r="BM413" i="3" s="1"/>
  <c r="G413" i="3"/>
  <c r="H413" i="3" s="1"/>
  <c r="Q413" i="3"/>
  <c r="S413" i="3"/>
  <c r="O413" i="3"/>
  <c r="U413" i="3"/>
  <c r="AD413" i="3"/>
  <c r="M413" i="3"/>
  <c r="AF413" i="3"/>
  <c r="AE413" i="3"/>
  <c r="AG413" i="3" s="1"/>
  <c r="AM413" i="3"/>
  <c r="AK413" i="3"/>
  <c r="R413" i="3"/>
  <c r="V413" i="3"/>
  <c r="P413" i="3"/>
  <c r="T413" i="3"/>
  <c r="Y412" i="3"/>
  <c r="Z412" i="3" s="1"/>
  <c r="AH412" i="3"/>
  <c r="X412" i="3"/>
  <c r="AT412" i="3"/>
  <c r="AN412" i="3"/>
  <c r="AW412" i="3" s="1"/>
  <c r="AX411" i="3"/>
  <c r="AW411" i="3"/>
  <c r="AY411" i="3" l="1"/>
  <c r="AO413" i="3"/>
  <c r="BD410" i="3"/>
  <c r="BG410" i="3"/>
  <c r="BH410" i="3" s="1"/>
  <c r="BI410" i="3" s="1"/>
  <c r="AH413" i="3"/>
  <c r="A415" i="3"/>
  <c r="AQ414" i="3"/>
  <c r="B414" i="3"/>
  <c r="AR414" i="3"/>
  <c r="D414" i="3"/>
  <c r="C414" i="3"/>
  <c r="F414" i="3"/>
  <c r="G414" i="3"/>
  <c r="H414" i="3" s="1"/>
  <c r="BN414" i="3" s="1"/>
  <c r="Q414" i="3"/>
  <c r="S414" i="3"/>
  <c r="O414" i="3"/>
  <c r="U414" i="3"/>
  <c r="M414" i="3"/>
  <c r="AF414" i="3"/>
  <c r="AD414" i="3"/>
  <c r="AM414" i="3"/>
  <c r="AK414" i="3"/>
  <c r="AE414" i="3"/>
  <c r="AG414" i="3" s="1"/>
  <c r="V414" i="3"/>
  <c r="P414" i="3"/>
  <c r="T414" i="3"/>
  <c r="R414" i="3"/>
  <c r="AN413" i="3"/>
  <c r="BB410" i="3"/>
  <c r="BF410" i="3"/>
  <c r="BJ409" i="3" s="1"/>
  <c r="BK409" i="3" s="1"/>
  <c r="BQ410" i="3"/>
  <c r="AX412" i="3"/>
  <c r="AY412" i="3" s="1"/>
  <c r="BA411" i="3"/>
  <c r="Y413" i="3"/>
  <c r="Z413" i="3" s="1"/>
  <c r="X413" i="3"/>
  <c r="AV412" i="3"/>
  <c r="BN413" i="3"/>
  <c r="BC411" i="3"/>
  <c r="AO414" i="3" l="1"/>
  <c r="AW413" i="3"/>
  <c r="BA412" i="3"/>
  <c r="BF412" i="3" s="1"/>
  <c r="BD411" i="3"/>
  <c r="BG411" i="3"/>
  <c r="BH411" i="3" s="1"/>
  <c r="BI411" i="3" s="1"/>
  <c r="AN414" i="3"/>
  <c r="AH414" i="3"/>
  <c r="BM414" i="3"/>
  <c r="Y414" i="3"/>
  <c r="Z414" i="3" s="1"/>
  <c r="AW414" i="3"/>
  <c r="BC412" i="3"/>
  <c r="AR415" i="3"/>
  <c r="AQ415" i="3"/>
  <c r="C415" i="3"/>
  <c r="D415" i="3"/>
  <c r="A416" i="3"/>
  <c r="B415" i="3"/>
  <c r="F415" i="3"/>
  <c r="G415" i="3"/>
  <c r="H415" i="3" s="1"/>
  <c r="S415" i="3"/>
  <c r="Q415" i="3"/>
  <c r="O415" i="3"/>
  <c r="U415" i="3"/>
  <c r="AF415" i="3"/>
  <c r="AE415" i="3"/>
  <c r="AD415" i="3"/>
  <c r="AH415" i="3" s="1"/>
  <c r="M415" i="3"/>
  <c r="AK415" i="3"/>
  <c r="AM415" i="3"/>
  <c r="R415" i="3"/>
  <c r="P415" i="3"/>
  <c r="V415" i="3"/>
  <c r="T415" i="3"/>
  <c r="AX413" i="3"/>
  <c r="AU413" i="3"/>
  <c r="BB411" i="3"/>
  <c r="BQ411" i="3"/>
  <c r="BF411" i="3"/>
  <c r="BJ410" i="3" s="1"/>
  <c r="BK410" i="3" s="1"/>
  <c r="X414" i="3"/>
  <c r="AT413" i="3"/>
  <c r="AY413" i="3" l="1"/>
  <c r="BB412" i="3"/>
  <c r="BQ412" i="3"/>
  <c r="BN415" i="3"/>
  <c r="AX414" i="3"/>
  <c r="BM415" i="3"/>
  <c r="AO415" i="3"/>
  <c r="AG415" i="3"/>
  <c r="AT415" i="3" s="1"/>
  <c r="AY414" i="3"/>
  <c r="BA413" i="3"/>
  <c r="AV413" i="3"/>
  <c r="BC413" i="3" s="1"/>
  <c r="AU414" i="3"/>
  <c r="BD412" i="3"/>
  <c r="BG412" i="3"/>
  <c r="BH412" i="3" s="1"/>
  <c r="BI412" i="3" s="1"/>
  <c r="AX415" i="3"/>
  <c r="X415" i="3"/>
  <c r="BJ411" i="3"/>
  <c r="BK411" i="3" s="1"/>
  <c r="A417" i="3"/>
  <c r="B416" i="3"/>
  <c r="AQ416" i="3"/>
  <c r="AR416" i="3"/>
  <c r="C416" i="3"/>
  <c r="D416" i="3"/>
  <c r="G416" i="3"/>
  <c r="H416" i="3" s="1"/>
  <c r="F416" i="3"/>
  <c r="Q416" i="3"/>
  <c r="S416" i="3"/>
  <c r="O416" i="3"/>
  <c r="U416" i="3"/>
  <c r="AM416" i="3"/>
  <c r="AF416" i="3"/>
  <c r="AE416" i="3"/>
  <c r="AD416" i="3"/>
  <c r="M416" i="3"/>
  <c r="AK416" i="3"/>
  <c r="P416" i="3"/>
  <c r="T416" i="3"/>
  <c r="V416" i="3"/>
  <c r="R416" i="3"/>
  <c r="Y415" i="3"/>
  <c r="Z415" i="3" s="1"/>
  <c r="AT414" i="3"/>
  <c r="AN415" i="3"/>
  <c r="AW415" i="3" s="1"/>
  <c r="AU415" i="3"/>
  <c r="AV415" i="3" l="1"/>
  <c r="AO416" i="3"/>
  <c r="AG416" i="3"/>
  <c r="AY415" i="3"/>
  <c r="Y416" i="3"/>
  <c r="Z416" i="3" s="1"/>
  <c r="BC415" i="3"/>
  <c r="BA415" i="3"/>
  <c r="AH416" i="3"/>
  <c r="AN416" i="3"/>
  <c r="BM416" i="3"/>
  <c r="BD413" i="3"/>
  <c r="BG413" i="3"/>
  <c r="BH413" i="3" s="1"/>
  <c r="BI413" i="3" s="1"/>
  <c r="AU416" i="3"/>
  <c r="AR417" i="3"/>
  <c r="D417" i="3"/>
  <c r="C417" i="3"/>
  <c r="AQ417" i="3"/>
  <c r="B417" i="3"/>
  <c r="A418" i="3"/>
  <c r="G417" i="3"/>
  <c r="H417" i="3" s="1"/>
  <c r="F417" i="3"/>
  <c r="Q417" i="3"/>
  <c r="S417" i="3"/>
  <c r="O417" i="3"/>
  <c r="U417" i="3"/>
  <c r="AF417" i="3"/>
  <c r="AK417" i="3"/>
  <c r="AE417" i="3"/>
  <c r="AD417" i="3"/>
  <c r="M417" i="3"/>
  <c r="AM417" i="3"/>
  <c r="AN417" i="3" s="1"/>
  <c r="P417" i="3"/>
  <c r="T417" i="3"/>
  <c r="V417" i="3"/>
  <c r="R417" i="3"/>
  <c r="BA414" i="3"/>
  <c r="AV414" i="3"/>
  <c r="BC414" i="3" s="1"/>
  <c r="BN416" i="3"/>
  <c r="BF413" i="3"/>
  <c r="BJ412" i="3" s="1"/>
  <c r="BK412" i="3" s="1"/>
  <c r="BQ413" i="3"/>
  <c r="BB413" i="3"/>
  <c r="X416" i="3"/>
  <c r="AR418" i="3" l="1"/>
  <c r="A419" i="3"/>
  <c r="B418" i="3"/>
  <c r="AQ418" i="3"/>
  <c r="D418" i="3"/>
  <c r="C418" i="3"/>
  <c r="F418" i="3"/>
  <c r="BM418" i="3" s="1"/>
  <c r="G418" i="3"/>
  <c r="H418" i="3" s="1"/>
  <c r="BN418" i="3" s="1"/>
  <c r="Q418" i="3"/>
  <c r="S418" i="3"/>
  <c r="O418" i="3"/>
  <c r="U418" i="3"/>
  <c r="M418" i="3"/>
  <c r="AF418" i="3"/>
  <c r="AE418" i="3"/>
  <c r="AD418" i="3"/>
  <c r="AM418" i="3"/>
  <c r="AK418" i="3"/>
  <c r="AO418" i="3" s="1"/>
  <c r="V418" i="3"/>
  <c r="R418" i="3"/>
  <c r="P418" i="3"/>
  <c r="T418" i="3"/>
  <c r="X417" i="3"/>
  <c r="AX416" i="3"/>
  <c r="AY416" i="3" s="1"/>
  <c r="AT416" i="3"/>
  <c r="AG417" i="3"/>
  <c r="BM417" i="3"/>
  <c r="Y417" i="3"/>
  <c r="Z417" i="3" s="1"/>
  <c r="AO417" i="3"/>
  <c r="AH417" i="3"/>
  <c r="BQ415" i="3"/>
  <c r="BF415" i="3"/>
  <c r="BB415" i="3"/>
  <c r="BD414" i="3"/>
  <c r="BG414" i="3"/>
  <c r="BH414" i="3" s="1"/>
  <c r="BI414" i="3" s="1"/>
  <c r="AW416" i="3"/>
  <c r="BB414" i="3"/>
  <c r="BF414" i="3"/>
  <c r="BJ413" i="3" s="1"/>
  <c r="BK413" i="3" s="1"/>
  <c r="BQ414" i="3"/>
  <c r="BN417" i="3"/>
  <c r="BD415" i="3"/>
  <c r="BG415" i="3"/>
  <c r="BH415" i="3" s="1"/>
  <c r="BI415" i="3" s="1"/>
  <c r="X418" i="3" l="1"/>
  <c r="AW417" i="3"/>
  <c r="BA416" i="3"/>
  <c r="AV416" i="3"/>
  <c r="BC416" i="3" s="1"/>
  <c r="AT417" i="3"/>
  <c r="AG418" i="3"/>
  <c r="AH418" i="3"/>
  <c r="BJ414" i="3"/>
  <c r="BK414" i="3" s="1"/>
  <c r="AU417" i="3"/>
  <c r="A420" i="3"/>
  <c r="B419" i="3"/>
  <c r="C419" i="3"/>
  <c r="AR419" i="3"/>
  <c r="AQ419" i="3"/>
  <c r="D419" i="3"/>
  <c r="G419" i="3"/>
  <c r="H419" i="3" s="1"/>
  <c r="BN419" i="3" s="1"/>
  <c r="F419" i="3"/>
  <c r="Q419" i="3"/>
  <c r="S419" i="3"/>
  <c r="O419" i="3"/>
  <c r="U419" i="3"/>
  <c r="AK419" i="3"/>
  <c r="M419" i="3"/>
  <c r="AE419" i="3"/>
  <c r="AD419" i="3"/>
  <c r="AF419" i="3"/>
  <c r="AM419" i="3"/>
  <c r="V419" i="3"/>
  <c r="R419" i="3"/>
  <c r="P419" i="3"/>
  <c r="T419" i="3"/>
  <c r="AU418" i="3"/>
  <c r="Y418" i="3"/>
  <c r="Z418" i="3" s="1"/>
  <c r="AX417" i="3"/>
  <c r="AN418" i="3"/>
  <c r="AN419" i="3" l="1"/>
  <c r="BM419" i="3"/>
  <c r="AY417" i="3"/>
  <c r="AW418" i="3"/>
  <c r="AV417" i="3"/>
  <c r="BC417" i="3" s="1"/>
  <c r="BA417" i="3"/>
  <c r="Y419" i="3"/>
  <c r="Z419" i="3" s="1"/>
  <c r="AG419" i="3"/>
  <c r="AX418" i="3"/>
  <c r="AY418" i="3" s="1"/>
  <c r="AT418" i="3"/>
  <c r="BD416" i="3"/>
  <c r="BG416" i="3"/>
  <c r="BH416" i="3" s="1"/>
  <c r="BI416" i="3" s="1"/>
  <c r="C420" i="3"/>
  <c r="D420" i="3"/>
  <c r="A421" i="3"/>
  <c r="B420" i="3"/>
  <c r="AQ420" i="3"/>
  <c r="AR420" i="3"/>
  <c r="F420" i="3"/>
  <c r="G420" i="3"/>
  <c r="H420" i="3" s="1"/>
  <c r="Q420" i="3"/>
  <c r="S420" i="3"/>
  <c r="O420" i="3"/>
  <c r="U420" i="3"/>
  <c r="AE420" i="3"/>
  <c r="AD420" i="3"/>
  <c r="M420" i="3"/>
  <c r="AF420" i="3"/>
  <c r="AK420" i="3"/>
  <c r="AM420" i="3"/>
  <c r="T420" i="3"/>
  <c r="V420" i="3"/>
  <c r="R420" i="3"/>
  <c r="P420" i="3"/>
  <c r="X419" i="3"/>
  <c r="BQ416" i="3"/>
  <c r="BB416" i="3"/>
  <c r="BF416" i="3"/>
  <c r="BJ415" i="3" s="1"/>
  <c r="BK415" i="3" s="1"/>
  <c r="AH419" i="3"/>
  <c r="AO419" i="3"/>
  <c r="AN420" i="3" l="1"/>
  <c r="AO420" i="3"/>
  <c r="AG420" i="3"/>
  <c r="Y420" i="3"/>
  <c r="Z420" i="3" s="1"/>
  <c r="AH420" i="3"/>
  <c r="AT420" i="3" s="1"/>
  <c r="AU419" i="3"/>
  <c r="AR421" i="3"/>
  <c r="B421" i="3"/>
  <c r="AQ421" i="3"/>
  <c r="A422" i="3"/>
  <c r="C421" i="3"/>
  <c r="D421" i="3"/>
  <c r="F421" i="3"/>
  <c r="BM421" i="3" s="1"/>
  <c r="G421" i="3"/>
  <c r="H421" i="3" s="1"/>
  <c r="BN421" i="3" s="1"/>
  <c r="Q421" i="3"/>
  <c r="S421" i="3"/>
  <c r="O421" i="3"/>
  <c r="U421" i="3"/>
  <c r="AD421" i="3"/>
  <c r="M421" i="3"/>
  <c r="AE421" i="3"/>
  <c r="AF421" i="3"/>
  <c r="AK421" i="3"/>
  <c r="AM421" i="3"/>
  <c r="P421" i="3"/>
  <c r="R421" i="3"/>
  <c r="T421" i="3"/>
  <c r="V421" i="3"/>
  <c r="AU420" i="3"/>
  <c r="AW420" i="3"/>
  <c r="AX420" i="3"/>
  <c r="AV418" i="3"/>
  <c r="BC418" i="3" s="1"/>
  <c r="BA418" i="3"/>
  <c r="AW419" i="3"/>
  <c r="AX419" i="3"/>
  <c r="X420" i="3"/>
  <c r="AT419" i="3"/>
  <c r="BQ417" i="3"/>
  <c r="BB417" i="3"/>
  <c r="BF417" i="3"/>
  <c r="BJ416" i="3" s="1"/>
  <c r="BK416" i="3" s="1"/>
  <c r="BD417" i="3"/>
  <c r="BG417" i="3"/>
  <c r="BH417" i="3" s="1"/>
  <c r="BI417" i="3" s="1"/>
  <c r="BN420" i="3"/>
  <c r="BM420" i="3"/>
  <c r="AY420" i="3" l="1"/>
  <c r="BA420" i="3"/>
  <c r="AV420" i="3"/>
  <c r="BC420" i="3" s="1"/>
  <c r="BD420" i="3" s="1"/>
  <c r="AO421" i="3"/>
  <c r="AG421" i="3"/>
  <c r="X421" i="3"/>
  <c r="BB420" i="3"/>
  <c r="BQ420" i="3"/>
  <c r="BF420" i="3"/>
  <c r="Y421" i="3"/>
  <c r="Z421" i="3" s="1"/>
  <c r="AH421" i="3"/>
  <c r="AX421" i="3" s="1"/>
  <c r="AY419" i="3"/>
  <c r="B422" i="3"/>
  <c r="AR422" i="3"/>
  <c r="C422" i="3"/>
  <c r="A423" i="3"/>
  <c r="AQ422" i="3"/>
  <c r="D422" i="3"/>
  <c r="F422" i="3"/>
  <c r="G422" i="3"/>
  <c r="H422" i="3" s="1"/>
  <c r="BN422" i="3" s="1"/>
  <c r="Q422" i="3"/>
  <c r="S422" i="3"/>
  <c r="O422" i="3"/>
  <c r="U422" i="3"/>
  <c r="AD422" i="3"/>
  <c r="AE422" i="3"/>
  <c r="AF422" i="3"/>
  <c r="AH422" i="3" s="1"/>
  <c r="M422" i="3"/>
  <c r="AK422" i="3"/>
  <c r="AM422" i="3"/>
  <c r="P422" i="3"/>
  <c r="V422" i="3"/>
  <c r="R422" i="3"/>
  <c r="T422" i="3"/>
  <c r="AV419" i="3"/>
  <c r="BA419" i="3"/>
  <c r="AN421" i="3"/>
  <c r="BB418" i="3"/>
  <c r="BF418" i="3"/>
  <c r="BJ417" i="3" s="1"/>
  <c r="BK417" i="3" s="1"/>
  <c r="BQ418" i="3"/>
  <c r="BD418" i="3"/>
  <c r="BG418" i="3"/>
  <c r="BH418" i="3" s="1"/>
  <c r="BI418" i="3" s="1"/>
  <c r="BG420" i="3"/>
  <c r="BH420" i="3" s="1"/>
  <c r="BI420" i="3" s="1"/>
  <c r="AT421" i="3"/>
  <c r="BM422" i="3" l="1"/>
  <c r="AO422" i="3"/>
  <c r="BC419" i="3"/>
  <c r="AU421" i="3"/>
  <c r="Y422" i="3"/>
  <c r="Z422" i="3" s="1"/>
  <c r="X422" i="3"/>
  <c r="AV421" i="3"/>
  <c r="AU422" i="3"/>
  <c r="BD419" i="3"/>
  <c r="BG419" i="3"/>
  <c r="BH419" i="3" s="1"/>
  <c r="BI419" i="3" s="1"/>
  <c r="AN422" i="3"/>
  <c r="AX422" i="3" s="1"/>
  <c r="AR423" i="3"/>
  <c r="AQ423" i="3"/>
  <c r="D423" i="3"/>
  <c r="C423" i="3"/>
  <c r="A424" i="3"/>
  <c r="B423" i="3"/>
  <c r="F423" i="3"/>
  <c r="G423" i="3"/>
  <c r="H423" i="3" s="1"/>
  <c r="Q423" i="3"/>
  <c r="S423" i="3"/>
  <c r="O423" i="3"/>
  <c r="U423" i="3"/>
  <c r="AD423" i="3"/>
  <c r="M423" i="3"/>
  <c r="AF423" i="3"/>
  <c r="AE423" i="3"/>
  <c r="AK423" i="3"/>
  <c r="AM423" i="3"/>
  <c r="P423" i="3"/>
  <c r="R423" i="3"/>
  <c r="T423" i="3"/>
  <c r="V423" i="3"/>
  <c r="AG422" i="3"/>
  <c r="BF419" i="3"/>
  <c r="BJ418" i="3" s="1"/>
  <c r="BK418" i="3" s="1"/>
  <c r="BB419" i="3"/>
  <c r="BQ419" i="3"/>
  <c r="AW421" i="3"/>
  <c r="BA421" i="3" s="1"/>
  <c r="AN423" i="3" l="1"/>
  <c r="BQ421" i="3"/>
  <c r="BB421" i="3"/>
  <c r="BF421" i="3"/>
  <c r="BJ420" i="3" s="1"/>
  <c r="BK420" i="3" s="1"/>
  <c r="AH423" i="3"/>
  <c r="AY421" i="3"/>
  <c r="BC421" i="3" s="1"/>
  <c r="AO423" i="3"/>
  <c r="AG423" i="3"/>
  <c r="BM423" i="3"/>
  <c r="A425" i="3"/>
  <c r="B424" i="3"/>
  <c r="AQ424" i="3"/>
  <c r="AR424" i="3"/>
  <c r="D424" i="3"/>
  <c r="C424" i="3"/>
  <c r="F424" i="3"/>
  <c r="G424" i="3"/>
  <c r="H424" i="3" s="1"/>
  <c r="Q424" i="3"/>
  <c r="S424" i="3"/>
  <c r="O424" i="3"/>
  <c r="U424" i="3"/>
  <c r="AD424" i="3"/>
  <c r="M424" i="3"/>
  <c r="AE424" i="3"/>
  <c r="AF424" i="3"/>
  <c r="AK424" i="3"/>
  <c r="AM424" i="3"/>
  <c r="AN424" i="3" s="1"/>
  <c r="V424" i="3"/>
  <c r="R424" i="3"/>
  <c r="P424" i="3"/>
  <c r="T424" i="3"/>
  <c r="X423" i="3"/>
  <c r="BJ419" i="3"/>
  <c r="BK419" i="3" s="1"/>
  <c r="AW422" i="3"/>
  <c r="AY422" i="3" s="1"/>
  <c r="BN423" i="3"/>
  <c r="AT422" i="3"/>
  <c r="Y423" i="3"/>
  <c r="Z423" i="3" s="1"/>
  <c r="AH424" i="3" l="1"/>
  <c r="AW423" i="3"/>
  <c r="Y424" i="3"/>
  <c r="Z424" i="3" s="1"/>
  <c r="BA422" i="3"/>
  <c r="AV422" i="3"/>
  <c r="BC422" i="3" s="1"/>
  <c r="X424" i="3"/>
  <c r="AO424" i="3"/>
  <c r="AG424" i="3"/>
  <c r="BN424" i="3"/>
  <c r="AR425" i="3"/>
  <c r="B425" i="3"/>
  <c r="AQ425" i="3"/>
  <c r="A426" i="3"/>
  <c r="C425" i="3"/>
  <c r="D425" i="3"/>
  <c r="G425" i="3"/>
  <c r="H425" i="3" s="1"/>
  <c r="BN425" i="3" s="1"/>
  <c r="F425" i="3"/>
  <c r="Q425" i="3"/>
  <c r="S425" i="3"/>
  <c r="O425" i="3"/>
  <c r="U425" i="3"/>
  <c r="M425" i="3"/>
  <c r="AM425" i="3"/>
  <c r="AD425" i="3"/>
  <c r="AE425" i="3"/>
  <c r="AF425" i="3"/>
  <c r="AK425" i="3"/>
  <c r="AO425" i="3" s="1"/>
  <c r="V425" i="3"/>
  <c r="P425" i="3"/>
  <c r="R425" i="3"/>
  <c r="T425" i="3"/>
  <c r="BD421" i="3"/>
  <c r="BG421" i="3"/>
  <c r="BH421" i="3" s="1"/>
  <c r="BI421" i="3" s="1"/>
  <c r="AX423" i="3"/>
  <c r="AU423" i="3"/>
  <c r="AT423" i="3"/>
  <c r="BM424" i="3"/>
  <c r="AW424" i="3" l="1"/>
  <c r="AY423" i="3"/>
  <c r="Y425" i="3"/>
  <c r="Z425" i="3" s="1"/>
  <c r="AV423" i="3"/>
  <c r="BC423" i="3" s="1"/>
  <c r="BA423" i="3"/>
  <c r="AR426" i="3"/>
  <c r="A427" i="3"/>
  <c r="B426" i="3"/>
  <c r="AQ426" i="3"/>
  <c r="C426" i="3"/>
  <c r="D426" i="3"/>
  <c r="F426" i="3"/>
  <c r="BM426" i="3" s="1"/>
  <c r="G426" i="3"/>
  <c r="H426" i="3" s="1"/>
  <c r="BN426" i="3" s="1"/>
  <c r="Q426" i="3"/>
  <c r="S426" i="3"/>
  <c r="O426" i="3"/>
  <c r="U426" i="3"/>
  <c r="AD426" i="3"/>
  <c r="AM426" i="3"/>
  <c r="AF426" i="3"/>
  <c r="AE426" i="3"/>
  <c r="M426" i="3"/>
  <c r="AK426" i="3"/>
  <c r="AO426" i="3" s="1"/>
  <c r="R426" i="3"/>
  <c r="V426" i="3"/>
  <c r="P426" i="3"/>
  <c r="T426" i="3"/>
  <c r="AH425" i="3"/>
  <c r="BM425" i="3"/>
  <c r="AG425" i="3"/>
  <c r="AU425" i="3" s="1"/>
  <c r="AX424" i="3"/>
  <c r="AY424" i="3" s="1"/>
  <c r="AN425" i="3"/>
  <c r="AU424" i="3"/>
  <c r="X425" i="3"/>
  <c r="BD422" i="3"/>
  <c r="BG422" i="3"/>
  <c r="BH422" i="3" s="1"/>
  <c r="BI422" i="3" s="1"/>
  <c r="BB422" i="3"/>
  <c r="BF422" i="3"/>
  <c r="BJ421" i="3" s="1"/>
  <c r="BK421" i="3" s="1"/>
  <c r="BQ422" i="3"/>
  <c r="AT424" i="3"/>
  <c r="AH426" i="3" l="1"/>
  <c r="Y426" i="3"/>
  <c r="Z426" i="3" s="1"/>
  <c r="AW425" i="3"/>
  <c r="AX425" i="3"/>
  <c r="BA424" i="3"/>
  <c r="AV424" i="3"/>
  <c r="BC424" i="3" s="1"/>
  <c r="X426" i="3"/>
  <c r="A428" i="3"/>
  <c r="B427" i="3"/>
  <c r="D427" i="3"/>
  <c r="AR427" i="3"/>
  <c r="AQ427" i="3"/>
  <c r="C427" i="3"/>
  <c r="F427" i="3"/>
  <c r="G427" i="3"/>
  <c r="H427" i="3" s="1"/>
  <c r="Q427" i="3"/>
  <c r="S427" i="3"/>
  <c r="O427" i="3"/>
  <c r="U427" i="3"/>
  <c r="AD427" i="3"/>
  <c r="M427" i="3"/>
  <c r="AF427" i="3"/>
  <c r="AE427" i="3"/>
  <c r="AG427" i="3" s="1"/>
  <c r="AK427" i="3"/>
  <c r="AM427" i="3"/>
  <c r="P427" i="3"/>
  <c r="V427" i="3"/>
  <c r="R427" i="3"/>
  <c r="T427" i="3"/>
  <c r="AG426" i="3"/>
  <c r="BQ423" i="3"/>
  <c r="BF423" i="3"/>
  <c r="BJ422" i="3" s="1"/>
  <c r="BK422" i="3" s="1"/>
  <c r="BB423" i="3"/>
  <c r="BD423" i="3"/>
  <c r="BG423" i="3"/>
  <c r="BH423" i="3" s="1"/>
  <c r="BI423" i="3" s="1"/>
  <c r="AN426" i="3"/>
  <c r="AT425" i="3"/>
  <c r="AU426" i="3" l="1"/>
  <c r="AN427" i="3"/>
  <c r="BM427" i="3"/>
  <c r="AT426" i="3"/>
  <c r="AX426" i="3"/>
  <c r="X427" i="3"/>
  <c r="BQ424" i="3"/>
  <c r="BF424" i="3"/>
  <c r="BJ423" i="3" s="1"/>
  <c r="BK423" i="3" s="1"/>
  <c r="BB424" i="3"/>
  <c r="BA425" i="3"/>
  <c r="AV425" i="3"/>
  <c r="AO427" i="3"/>
  <c r="AV426" i="3"/>
  <c r="AT427" i="3"/>
  <c r="Y427" i="3"/>
  <c r="Z427" i="3" s="1"/>
  <c r="C428" i="3"/>
  <c r="D428" i="3"/>
  <c r="AQ428" i="3"/>
  <c r="A429" i="3"/>
  <c r="B428" i="3"/>
  <c r="AR428" i="3"/>
  <c r="G428" i="3"/>
  <c r="H428" i="3" s="1"/>
  <c r="F428" i="3"/>
  <c r="Q428" i="3"/>
  <c r="S428" i="3"/>
  <c r="O428" i="3"/>
  <c r="U428" i="3"/>
  <c r="AE428" i="3"/>
  <c r="AF428" i="3"/>
  <c r="AD428" i="3"/>
  <c r="AK428" i="3"/>
  <c r="M428" i="3"/>
  <c r="AM428" i="3"/>
  <c r="P428" i="3"/>
  <c r="T428" i="3"/>
  <c r="V428" i="3"/>
  <c r="R428" i="3"/>
  <c r="BD424" i="3"/>
  <c r="BG424" i="3"/>
  <c r="BH424" i="3" s="1"/>
  <c r="BI424" i="3" s="1"/>
  <c r="AH427" i="3"/>
  <c r="AY425" i="3"/>
  <c r="AW426" i="3"/>
  <c r="AY426" i="3" s="1"/>
  <c r="BN427" i="3"/>
  <c r="BN428" i="3" l="1"/>
  <c r="AH428" i="3"/>
  <c r="AO428" i="3"/>
  <c r="AX427" i="3"/>
  <c r="BF425" i="3"/>
  <c r="BJ424" i="3" s="1"/>
  <c r="BK424" i="3" s="1"/>
  <c r="BQ425" i="3"/>
  <c r="BB425" i="3"/>
  <c r="AW427" i="3"/>
  <c r="AY427" i="3" s="1"/>
  <c r="X428" i="3"/>
  <c r="BC425" i="3"/>
  <c r="AG428" i="3"/>
  <c r="AW428" i="3" s="1"/>
  <c r="BM428" i="3"/>
  <c r="B429" i="3"/>
  <c r="A430" i="3"/>
  <c r="D429" i="3"/>
  <c r="C429" i="3"/>
  <c r="AR429" i="3"/>
  <c r="AQ429" i="3"/>
  <c r="F429" i="3"/>
  <c r="G429" i="3"/>
  <c r="H429" i="3" s="1"/>
  <c r="Q429" i="3"/>
  <c r="S429" i="3"/>
  <c r="O429" i="3"/>
  <c r="U429" i="3"/>
  <c r="AD429" i="3"/>
  <c r="AF429" i="3"/>
  <c r="AE429" i="3"/>
  <c r="AG429" i="3" s="1"/>
  <c r="M429" i="3"/>
  <c r="AM429" i="3"/>
  <c r="AK429" i="3"/>
  <c r="P429" i="3"/>
  <c r="V429" i="3"/>
  <c r="T429" i="3"/>
  <c r="R429" i="3"/>
  <c r="BC426" i="3"/>
  <c r="BA426" i="3"/>
  <c r="AU427" i="3"/>
  <c r="AV427" i="3" s="1"/>
  <c r="Y428" i="3"/>
  <c r="Z428" i="3" s="1"/>
  <c r="AN428" i="3"/>
  <c r="BA427" i="3" l="1"/>
  <c r="Y429" i="3"/>
  <c r="Z429" i="3" s="1"/>
  <c r="BC427" i="3"/>
  <c r="AN429" i="3"/>
  <c r="BD427" i="3"/>
  <c r="BG427" i="3"/>
  <c r="BH427" i="3" s="1"/>
  <c r="BI427" i="3" s="1"/>
  <c r="B430" i="3"/>
  <c r="A431" i="3"/>
  <c r="AQ430" i="3"/>
  <c r="C430" i="3"/>
  <c r="D430" i="3"/>
  <c r="AR430" i="3"/>
  <c r="F430" i="3"/>
  <c r="BM430" i="3" s="1"/>
  <c r="G430" i="3"/>
  <c r="H430" i="3" s="1"/>
  <c r="BN430" i="3" s="1"/>
  <c r="Q430" i="3"/>
  <c r="S430" i="3"/>
  <c r="O430" i="3"/>
  <c r="U430" i="3"/>
  <c r="M430" i="3"/>
  <c r="AE430" i="3"/>
  <c r="AD430" i="3"/>
  <c r="AF430" i="3"/>
  <c r="AK430" i="3"/>
  <c r="AM430" i="3"/>
  <c r="T430" i="3"/>
  <c r="P430" i="3"/>
  <c r="V430" i="3"/>
  <c r="R430" i="3"/>
  <c r="BN429" i="3"/>
  <c r="AO429" i="3"/>
  <c r="AH429" i="3"/>
  <c r="AX429" i="3" s="1"/>
  <c r="X429" i="3"/>
  <c r="AU428" i="3"/>
  <c r="BM429" i="3"/>
  <c r="AX428" i="3"/>
  <c r="AY428" i="3" s="1"/>
  <c r="BD425" i="3"/>
  <c r="BG425" i="3"/>
  <c r="BH425" i="3" s="1"/>
  <c r="BI425" i="3" s="1"/>
  <c r="BB427" i="3"/>
  <c r="BQ427" i="3"/>
  <c r="BF427" i="3"/>
  <c r="AT428" i="3"/>
  <c r="BB426" i="3"/>
  <c r="BQ426" i="3"/>
  <c r="BF426" i="3"/>
  <c r="BJ425" i="3" s="1"/>
  <c r="BK425" i="3" s="1"/>
  <c r="BD426" i="3"/>
  <c r="BG426" i="3"/>
  <c r="BH426" i="3" s="1"/>
  <c r="BI426" i="3" s="1"/>
  <c r="AN430" i="3" l="1"/>
  <c r="AU429" i="3"/>
  <c r="AG430" i="3"/>
  <c r="X430" i="3"/>
  <c r="AT429" i="3"/>
  <c r="AW429" i="3"/>
  <c r="AY429" i="3" s="1"/>
  <c r="AV428" i="3"/>
  <c r="BC428" i="3" s="1"/>
  <c r="BA428" i="3"/>
  <c r="BJ426" i="3"/>
  <c r="BK426" i="3" s="1"/>
  <c r="Y430" i="3"/>
  <c r="Z430" i="3" s="1"/>
  <c r="AU430" i="3"/>
  <c r="AR431" i="3"/>
  <c r="AQ431" i="3"/>
  <c r="D431" i="3"/>
  <c r="A432" i="3"/>
  <c r="B431" i="3"/>
  <c r="C431" i="3"/>
  <c r="F431" i="3"/>
  <c r="G431" i="3"/>
  <c r="H431" i="3" s="1"/>
  <c r="Q431" i="3"/>
  <c r="S431" i="3"/>
  <c r="O431" i="3"/>
  <c r="U431" i="3"/>
  <c r="AE431" i="3"/>
  <c r="M431" i="3"/>
  <c r="AD431" i="3"/>
  <c r="AF431" i="3"/>
  <c r="AM431" i="3"/>
  <c r="AK431" i="3"/>
  <c r="P431" i="3"/>
  <c r="R431" i="3"/>
  <c r="V431" i="3"/>
  <c r="T431" i="3"/>
  <c r="AO430" i="3"/>
  <c r="AH430" i="3"/>
  <c r="AO431" i="3" l="1"/>
  <c r="AH431" i="3"/>
  <c r="BM431" i="3"/>
  <c r="Y431" i="3"/>
  <c r="Z431" i="3" s="1"/>
  <c r="AN431" i="3"/>
  <c r="AX430" i="3"/>
  <c r="X431" i="3"/>
  <c r="BD428" i="3"/>
  <c r="BG428" i="3"/>
  <c r="BH428" i="3" s="1"/>
  <c r="BI428" i="3" s="1"/>
  <c r="AT430" i="3"/>
  <c r="B432" i="3"/>
  <c r="AQ432" i="3"/>
  <c r="AR432" i="3"/>
  <c r="A433" i="3"/>
  <c r="D432" i="3"/>
  <c r="C432" i="3"/>
  <c r="G432" i="3"/>
  <c r="H432" i="3" s="1"/>
  <c r="F432" i="3"/>
  <c r="Q432" i="3"/>
  <c r="S432" i="3"/>
  <c r="O432" i="3"/>
  <c r="U432" i="3"/>
  <c r="AE432" i="3"/>
  <c r="AD432" i="3"/>
  <c r="AF432" i="3"/>
  <c r="AK432" i="3"/>
  <c r="M432" i="3"/>
  <c r="AM432" i="3"/>
  <c r="R432" i="3"/>
  <c r="P432" i="3"/>
  <c r="V432" i="3"/>
  <c r="T432" i="3"/>
  <c r="AG431" i="3"/>
  <c r="BB428" i="3"/>
  <c r="BF428" i="3"/>
  <c r="BJ427" i="3" s="1"/>
  <c r="BK427" i="3" s="1"/>
  <c r="BQ428" i="3"/>
  <c r="BA429" i="3"/>
  <c r="AV429" i="3"/>
  <c r="BC429" i="3" s="1"/>
  <c r="BN431" i="3"/>
  <c r="AW430" i="3"/>
  <c r="AY430" i="3" l="1"/>
  <c r="AN432" i="3"/>
  <c r="BM432" i="3"/>
  <c r="BN432" i="3"/>
  <c r="AW431" i="3"/>
  <c r="AR433" i="3"/>
  <c r="AQ433" i="3"/>
  <c r="C433" i="3"/>
  <c r="D433" i="3"/>
  <c r="B433" i="3"/>
  <c r="A434" i="3"/>
  <c r="G433" i="3"/>
  <c r="H433" i="3" s="1"/>
  <c r="BN433" i="3" s="1"/>
  <c r="F433" i="3"/>
  <c r="BM433" i="3" s="1"/>
  <c r="S433" i="3"/>
  <c r="Q433" i="3"/>
  <c r="O433" i="3"/>
  <c r="U433" i="3"/>
  <c r="M433" i="3"/>
  <c r="AF433" i="3"/>
  <c r="AD433" i="3"/>
  <c r="AK433" i="3"/>
  <c r="AM433" i="3"/>
  <c r="AE433" i="3"/>
  <c r="V433" i="3"/>
  <c r="R433" i="3"/>
  <c r="P433" i="3"/>
  <c r="T433" i="3"/>
  <c r="AO432" i="3"/>
  <c r="AV430" i="3"/>
  <c r="BC430" i="3" s="1"/>
  <c r="BA430" i="3"/>
  <c r="AT431" i="3"/>
  <c r="BD429" i="3"/>
  <c r="BG429" i="3"/>
  <c r="BH429" i="3" s="1"/>
  <c r="BI429" i="3" s="1"/>
  <c r="Y432" i="3"/>
  <c r="Z432" i="3" s="1"/>
  <c r="AH432" i="3"/>
  <c r="AG432" i="3"/>
  <c r="BB429" i="3"/>
  <c r="BF429" i="3"/>
  <c r="BJ428" i="3" s="1"/>
  <c r="BK428" i="3" s="1"/>
  <c r="BQ429" i="3"/>
  <c r="X432" i="3"/>
  <c r="AX431" i="3"/>
  <c r="AY431" i="3" s="1"/>
  <c r="AU431" i="3"/>
  <c r="AO433" i="3" l="1"/>
  <c r="AH433" i="3"/>
  <c r="AU432" i="3"/>
  <c r="AT432" i="3"/>
  <c r="AV432" i="3"/>
  <c r="BA431" i="3"/>
  <c r="AV431" i="3"/>
  <c r="BC431" i="3" s="1"/>
  <c r="BB430" i="3"/>
  <c r="BF430" i="3"/>
  <c r="BJ429" i="3" s="1"/>
  <c r="BK429" i="3" s="1"/>
  <c r="BQ430" i="3"/>
  <c r="X433" i="3"/>
  <c r="AR434" i="3"/>
  <c r="A435" i="3"/>
  <c r="AQ434" i="3"/>
  <c r="C434" i="3"/>
  <c r="D434" i="3"/>
  <c r="B434" i="3"/>
  <c r="F434" i="3"/>
  <c r="G434" i="3"/>
  <c r="H434" i="3" s="1"/>
  <c r="Q434" i="3"/>
  <c r="S434" i="3"/>
  <c r="O434" i="3"/>
  <c r="U434" i="3"/>
  <c r="AD434" i="3"/>
  <c r="AF434" i="3"/>
  <c r="M434" i="3"/>
  <c r="AE434" i="3"/>
  <c r="AM434" i="3"/>
  <c r="AK434" i="3"/>
  <c r="AO434" i="3" s="1"/>
  <c r="T434" i="3"/>
  <c r="R434" i="3"/>
  <c r="V434" i="3"/>
  <c r="P434" i="3"/>
  <c r="AG433" i="3"/>
  <c r="BD430" i="3"/>
  <c r="BG430" i="3"/>
  <c r="BH430" i="3" s="1"/>
  <c r="BI430" i="3" s="1"/>
  <c r="Y433" i="3"/>
  <c r="Z433" i="3" s="1"/>
  <c r="AW432" i="3"/>
  <c r="AX432" i="3"/>
  <c r="AN433" i="3"/>
  <c r="AG434" i="3" l="1"/>
  <c r="AW433" i="3"/>
  <c r="BM434" i="3"/>
  <c r="BA432" i="3"/>
  <c r="AX433" i="3"/>
  <c r="AY433" i="3" s="1"/>
  <c r="BB432" i="3"/>
  <c r="BQ432" i="3"/>
  <c r="BF432" i="3"/>
  <c r="AH434" i="3"/>
  <c r="AN434" i="3"/>
  <c r="X434" i="3"/>
  <c r="A436" i="3"/>
  <c r="B435" i="3"/>
  <c r="C435" i="3"/>
  <c r="AR435" i="3"/>
  <c r="AQ435" i="3"/>
  <c r="D435" i="3"/>
  <c r="F435" i="3"/>
  <c r="G435" i="3"/>
  <c r="H435" i="3" s="1"/>
  <c r="Q435" i="3"/>
  <c r="S435" i="3"/>
  <c r="O435" i="3"/>
  <c r="U435" i="3"/>
  <c r="M435" i="3"/>
  <c r="AD435" i="3"/>
  <c r="AF435" i="3"/>
  <c r="AM435" i="3"/>
  <c r="AK435" i="3"/>
  <c r="AE435" i="3"/>
  <c r="AG435" i="3" s="1"/>
  <c r="R435" i="3"/>
  <c r="P435" i="3"/>
  <c r="V435" i="3"/>
  <c r="T435" i="3"/>
  <c r="AT433" i="3"/>
  <c r="Y434" i="3"/>
  <c r="Z434" i="3" s="1"/>
  <c r="AU433" i="3"/>
  <c r="AY432" i="3"/>
  <c r="BD431" i="3"/>
  <c r="BG431" i="3"/>
  <c r="BH431" i="3" s="1"/>
  <c r="BI431" i="3" s="1"/>
  <c r="BF431" i="3"/>
  <c r="BJ430" i="3" s="1"/>
  <c r="BK430" i="3" s="1"/>
  <c r="BQ431" i="3"/>
  <c r="BB431" i="3"/>
  <c r="BN434" i="3"/>
  <c r="BC432" i="3"/>
  <c r="AO435" i="3" l="1"/>
  <c r="BM435" i="3"/>
  <c r="AW434" i="3"/>
  <c r="BD432" i="3"/>
  <c r="BG432" i="3"/>
  <c r="BH432" i="3" s="1"/>
  <c r="BI432" i="3" s="1"/>
  <c r="AU435" i="3"/>
  <c r="Y435" i="3"/>
  <c r="Z435" i="3" s="1"/>
  <c r="AN435" i="3"/>
  <c r="X435" i="3"/>
  <c r="AW435" i="3"/>
  <c r="D436" i="3"/>
  <c r="C436" i="3"/>
  <c r="A437" i="3"/>
  <c r="B436" i="3"/>
  <c r="AQ436" i="3"/>
  <c r="AR436" i="3"/>
  <c r="G436" i="3"/>
  <c r="H436" i="3" s="1"/>
  <c r="BN436" i="3" s="1"/>
  <c r="F436" i="3"/>
  <c r="Q436" i="3"/>
  <c r="S436" i="3"/>
  <c r="O436" i="3"/>
  <c r="U436" i="3"/>
  <c r="AF436" i="3"/>
  <c r="AD436" i="3"/>
  <c r="AE436" i="3"/>
  <c r="AM436" i="3"/>
  <c r="M436" i="3"/>
  <c r="AK436" i="3"/>
  <c r="AO436" i="3" s="1"/>
  <c r="P436" i="3"/>
  <c r="R436" i="3"/>
  <c r="V436" i="3"/>
  <c r="T436" i="3"/>
  <c r="AV433" i="3"/>
  <c r="BC433" i="3" s="1"/>
  <c r="BA433" i="3"/>
  <c r="AH435" i="3"/>
  <c r="AX434" i="3"/>
  <c r="AY434" i="3" s="1"/>
  <c r="AT434" i="3"/>
  <c r="AU434" i="3"/>
  <c r="BJ431" i="3"/>
  <c r="BK431" i="3" s="1"/>
  <c r="BN435" i="3"/>
  <c r="AG436" i="3" l="1"/>
  <c r="B437" i="3"/>
  <c r="A438" i="3"/>
  <c r="D437" i="3"/>
  <c r="C437" i="3"/>
  <c r="AR437" i="3"/>
  <c r="AQ437" i="3"/>
  <c r="F437" i="3"/>
  <c r="BM437" i="3" s="1"/>
  <c r="G437" i="3"/>
  <c r="H437" i="3" s="1"/>
  <c r="BN437" i="3" s="1"/>
  <c r="S437" i="3"/>
  <c r="Q437" i="3"/>
  <c r="O437" i="3"/>
  <c r="U437" i="3"/>
  <c r="AF437" i="3"/>
  <c r="AE437" i="3"/>
  <c r="M437" i="3"/>
  <c r="AD437" i="3"/>
  <c r="AM437" i="3"/>
  <c r="AK437" i="3"/>
  <c r="AO437" i="3" s="1"/>
  <c r="V437" i="3"/>
  <c r="R437" i="3"/>
  <c r="P437" i="3"/>
  <c r="T437" i="3"/>
  <c r="BD433" i="3"/>
  <c r="BG433" i="3"/>
  <c r="BH433" i="3" s="1"/>
  <c r="BI433" i="3" s="1"/>
  <c r="Y436" i="3"/>
  <c r="Z436" i="3" s="1"/>
  <c r="AN436" i="3"/>
  <c r="AH436" i="3"/>
  <c r="X436" i="3"/>
  <c r="BA434" i="3"/>
  <c r="AV434" i="3"/>
  <c r="BC434" i="3" s="1"/>
  <c r="AX435" i="3"/>
  <c r="AY435" i="3" s="1"/>
  <c r="BF433" i="3"/>
  <c r="BJ432" i="3" s="1"/>
  <c r="BK432" i="3" s="1"/>
  <c r="BB433" i="3"/>
  <c r="BQ433" i="3"/>
  <c r="BM436" i="3"/>
  <c r="AT435" i="3"/>
  <c r="AX436" i="3" l="1"/>
  <c r="AG437" i="3"/>
  <c r="AV435" i="3"/>
  <c r="BC435" i="3" s="1"/>
  <c r="BA435" i="3"/>
  <c r="AU436" i="3"/>
  <c r="AW436" i="3"/>
  <c r="AY436" i="3" s="1"/>
  <c r="X437" i="3"/>
  <c r="Y437" i="3"/>
  <c r="Z437" i="3" s="1"/>
  <c r="BD434" i="3"/>
  <c r="BG434" i="3"/>
  <c r="BH434" i="3" s="1"/>
  <c r="BI434" i="3" s="1"/>
  <c r="AW437" i="3"/>
  <c r="AY437" i="3" s="1"/>
  <c r="B438" i="3"/>
  <c r="A439" i="3"/>
  <c r="AR438" i="3"/>
  <c r="AQ438" i="3"/>
  <c r="D438" i="3"/>
  <c r="C438" i="3"/>
  <c r="F438" i="3"/>
  <c r="G438" i="3"/>
  <c r="H438" i="3" s="1"/>
  <c r="Q438" i="3"/>
  <c r="S438" i="3"/>
  <c r="O438" i="3"/>
  <c r="U438" i="3"/>
  <c r="AD438" i="3"/>
  <c r="M438" i="3"/>
  <c r="AE438" i="3"/>
  <c r="AF438" i="3"/>
  <c r="AM438" i="3"/>
  <c r="AK438" i="3"/>
  <c r="R438" i="3"/>
  <c r="T438" i="3"/>
  <c r="V438" i="3"/>
  <c r="P438" i="3"/>
  <c r="AN437" i="3"/>
  <c r="BB434" i="3"/>
  <c r="BF434" i="3"/>
  <c r="BJ433" i="3" s="1"/>
  <c r="BK433" i="3" s="1"/>
  <c r="BQ434" i="3"/>
  <c r="AH437" i="3"/>
  <c r="AX437" i="3" s="1"/>
  <c r="AT436" i="3"/>
  <c r="AO438" i="3" l="1"/>
  <c r="BN438" i="3"/>
  <c r="BM438" i="3"/>
  <c r="X438" i="3"/>
  <c r="AR439" i="3"/>
  <c r="AQ439" i="3"/>
  <c r="D439" i="3"/>
  <c r="B439" i="3"/>
  <c r="C439" i="3"/>
  <c r="A440" i="3"/>
  <c r="G439" i="3"/>
  <c r="H439" i="3" s="1"/>
  <c r="BN439" i="3" s="1"/>
  <c r="F439" i="3"/>
  <c r="BM439" i="3" s="1"/>
  <c r="Q439" i="3"/>
  <c r="S439" i="3"/>
  <c r="O439" i="3"/>
  <c r="U439" i="3"/>
  <c r="AD439" i="3"/>
  <c r="AF439" i="3"/>
  <c r="AE439" i="3"/>
  <c r="AK439" i="3"/>
  <c r="M439" i="3"/>
  <c r="AM439" i="3"/>
  <c r="R439" i="3"/>
  <c r="P439" i="3"/>
  <c r="V439" i="3"/>
  <c r="T439" i="3"/>
  <c r="AN438" i="3"/>
  <c r="AH438" i="3"/>
  <c r="AG438" i="3"/>
  <c r="AW438" i="3" s="1"/>
  <c r="AV436" i="3"/>
  <c r="BC436" i="3" s="1"/>
  <c r="BA436" i="3"/>
  <c r="AT437" i="3"/>
  <c r="AU437" i="3"/>
  <c r="BB435" i="3"/>
  <c r="BQ435" i="3"/>
  <c r="BF435" i="3"/>
  <c r="BJ434" i="3" s="1"/>
  <c r="BK434" i="3" s="1"/>
  <c r="Y438" i="3"/>
  <c r="Z438" i="3" s="1"/>
  <c r="BD435" i="3"/>
  <c r="BG435" i="3"/>
  <c r="BH435" i="3" s="1"/>
  <c r="BI435" i="3" s="1"/>
  <c r="X439" i="3" l="1"/>
  <c r="AG439" i="3"/>
  <c r="AO439" i="3"/>
  <c r="AH439" i="3"/>
  <c r="AU438" i="3"/>
  <c r="AV437" i="3"/>
  <c r="BC437" i="3" s="1"/>
  <c r="BA437" i="3"/>
  <c r="AT438" i="3"/>
  <c r="BD436" i="3"/>
  <c r="BG436" i="3"/>
  <c r="BH436" i="3" s="1"/>
  <c r="BI436" i="3" s="1"/>
  <c r="BQ436" i="3"/>
  <c r="BF436" i="3"/>
  <c r="BJ435" i="3" s="1"/>
  <c r="BK435" i="3" s="1"/>
  <c r="BB436" i="3"/>
  <c r="AX438" i="3"/>
  <c r="AY438" i="3" s="1"/>
  <c r="B440" i="3"/>
  <c r="AQ440" i="3"/>
  <c r="AR440" i="3"/>
  <c r="A441" i="3"/>
  <c r="D440" i="3"/>
  <c r="C440" i="3"/>
  <c r="F440" i="3"/>
  <c r="BM440" i="3" s="1"/>
  <c r="G440" i="3"/>
  <c r="H440" i="3" s="1"/>
  <c r="BN440" i="3" s="1"/>
  <c r="Q440" i="3"/>
  <c r="S440" i="3"/>
  <c r="O440" i="3"/>
  <c r="U440" i="3"/>
  <c r="M440" i="3"/>
  <c r="AF440" i="3"/>
  <c r="AM440" i="3"/>
  <c r="AD440" i="3"/>
  <c r="AE440" i="3"/>
  <c r="AK440" i="3"/>
  <c r="AO440" i="3" s="1"/>
  <c r="P440" i="3"/>
  <c r="V440" i="3"/>
  <c r="T440" i="3"/>
  <c r="R440" i="3"/>
  <c r="AN439" i="3"/>
  <c r="Y439" i="3"/>
  <c r="Z439" i="3" s="1"/>
  <c r="AU439" i="3"/>
  <c r="AT439" i="3"/>
  <c r="Y440" i="3" l="1"/>
  <c r="Z440" i="3" s="1"/>
  <c r="AG440" i="3"/>
  <c r="X440" i="3"/>
  <c r="AN440" i="3"/>
  <c r="AR441" i="3"/>
  <c r="B441" i="3"/>
  <c r="AQ441" i="3"/>
  <c r="A442" i="3"/>
  <c r="D441" i="3"/>
  <c r="C441" i="3"/>
  <c r="F441" i="3"/>
  <c r="BM441" i="3" s="1"/>
  <c r="G441" i="3"/>
  <c r="H441" i="3" s="1"/>
  <c r="BN441" i="3" s="1"/>
  <c r="Q441" i="3"/>
  <c r="S441" i="3"/>
  <c r="O441" i="3"/>
  <c r="U441" i="3"/>
  <c r="AF441" i="3"/>
  <c r="AD441" i="3"/>
  <c r="M441" i="3"/>
  <c r="AK441" i="3"/>
  <c r="AM441" i="3"/>
  <c r="AE441" i="3"/>
  <c r="V441" i="3"/>
  <c r="P441" i="3"/>
  <c r="R441" i="3"/>
  <c r="T441" i="3"/>
  <c r="BA438" i="3"/>
  <c r="AV438" i="3"/>
  <c r="BC438" i="3" s="1"/>
  <c r="BB437" i="3"/>
  <c r="BF437" i="3"/>
  <c r="BJ436" i="3" s="1"/>
  <c r="BK436" i="3" s="1"/>
  <c r="BQ437" i="3"/>
  <c r="AH440" i="3"/>
  <c r="AX440" i="3" s="1"/>
  <c r="BD437" i="3"/>
  <c r="BG437" i="3"/>
  <c r="BH437" i="3" s="1"/>
  <c r="BI437" i="3" s="1"/>
  <c r="AX439" i="3"/>
  <c r="AV439" i="3"/>
  <c r="AW439" i="3"/>
  <c r="AN441" i="3" l="1"/>
  <c r="AY439" i="3"/>
  <c r="AH441" i="3"/>
  <c r="AR442" i="3"/>
  <c r="AQ442" i="3"/>
  <c r="A443" i="3"/>
  <c r="D442" i="3"/>
  <c r="C442" i="3"/>
  <c r="B442" i="3"/>
  <c r="G442" i="3"/>
  <c r="H442" i="3" s="1"/>
  <c r="BN442" i="3" s="1"/>
  <c r="F442" i="3"/>
  <c r="BM442" i="3" s="1"/>
  <c r="Q442" i="3"/>
  <c r="S442" i="3"/>
  <c r="O442" i="3"/>
  <c r="U442" i="3"/>
  <c r="AD442" i="3"/>
  <c r="AF442" i="3"/>
  <c r="AK442" i="3"/>
  <c r="AM442" i="3"/>
  <c r="M442" i="3"/>
  <c r="AE442" i="3"/>
  <c r="R442" i="3"/>
  <c r="P442" i="3"/>
  <c r="V442" i="3"/>
  <c r="T442" i="3"/>
  <c r="X441" i="3"/>
  <c r="AY440" i="3"/>
  <c r="AT440" i="3"/>
  <c r="BB438" i="3"/>
  <c r="BQ438" i="3"/>
  <c r="BF438" i="3"/>
  <c r="BJ437" i="3" s="1"/>
  <c r="BK437" i="3" s="1"/>
  <c r="BA439" i="3"/>
  <c r="AG441" i="3"/>
  <c r="Y441" i="3"/>
  <c r="Z441" i="3" s="1"/>
  <c r="AW440" i="3"/>
  <c r="BD438" i="3"/>
  <c r="BG438" i="3"/>
  <c r="BH438" i="3" s="1"/>
  <c r="BI438" i="3" s="1"/>
  <c r="BC439" i="3"/>
  <c r="AU440" i="3"/>
  <c r="AO441" i="3"/>
  <c r="AT441" i="3" l="1"/>
  <c r="AH442" i="3"/>
  <c r="AU441" i="3"/>
  <c r="AN442" i="3"/>
  <c r="BD439" i="3"/>
  <c r="BG439" i="3"/>
  <c r="BH439" i="3" s="1"/>
  <c r="BI439" i="3" s="1"/>
  <c r="AV440" i="3"/>
  <c r="BC440" i="3" s="1"/>
  <c r="BA440" i="3"/>
  <c r="BF439" i="3"/>
  <c r="BJ438" i="3" s="1"/>
  <c r="BK438" i="3" s="1"/>
  <c r="BQ439" i="3"/>
  <c r="BB439" i="3"/>
  <c r="Y442" i="3"/>
  <c r="Z442" i="3" s="1"/>
  <c r="AG442" i="3"/>
  <c r="AW442" i="3" s="1"/>
  <c r="X442" i="3"/>
  <c r="AR443" i="3"/>
  <c r="B443" i="3"/>
  <c r="D443" i="3"/>
  <c r="A444" i="3"/>
  <c r="C443" i="3"/>
  <c r="AQ443" i="3"/>
  <c r="F443" i="3"/>
  <c r="BM443" i="3" s="1"/>
  <c r="G443" i="3"/>
  <c r="H443" i="3" s="1"/>
  <c r="S443" i="3"/>
  <c r="Q443" i="3"/>
  <c r="O443" i="3"/>
  <c r="U443" i="3"/>
  <c r="AF443" i="3"/>
  <c r="AD443" i="3"/>
  <c r="AE443" i="3"/>
  <c r="M443" i="3"/>
  <c r="AK443" i="3"/>
  <c r="AM443" i="3"/>
  <c r="R443" i="3"/>
  <c r="V443" i="3"/>
  <c r="P443" i="3"/>
  <c r="T443" i="3"/>
  <c r="AV441" i="3"/>
  <c r="AW441" i="3"/>
  <c r="AO442" i="3"/>
  <c r="AX441" i="3"/>
  <c r="AY441" i="3" l="1"/>
  <c r="AN443" i="3"/>
  <c r="BN443" i="3"/>
  <c r="AO443" i="3"/>
  <c r="BA441" i="3"/>
  <c r="BB441" i="3" s="1"/>
  <c r="BC441" i="3"/>
  <c r="AG443" i="3"/>
  <c r="AT442" i="3"/>
  <c r="AH443" i="3"/>
  <c r="AX443" i="3" s="1"/>
  <c r="AU442" i="3"/>
  <c r="BQ440" i="3"/>
  <c r="BF440" i="3"/>
  <c r="BJ439" i="3" s="1"/>
  <c r="BK439" i="3" s="1"/>
  <c r="BB440" i="3"/>
  <c r="AU443" i="3"/>
  <c r="Y443" i="3"/>
  <c r="Z443" i="3" s="1"/>
  <c r="D444" i="3"/>
  <c r="C444" i="3"/>
  <c r="AR444" i="3"/>
  <c r="B444" i="3"/>
  <c r="A445" i="3"/>
  <c r="AQ444" i="3"/>
  <c r="G444" i="3"/>
  <c r="H444" i="3" s="1"/>
  <c r="F444" i="3"/>
  <c r="BM444" i="3" s="1"/>
  <c r="Q444" i="3"/>
  <c r="S444" i="3"/>
  <c r="O444" i="3"/>
  <c r="U444" i="3"/>
  <c r="AD444" i="3"/>
  <c r="AF444" i="3"/>
  <c r="AM444" i="3"/>
  <c r="M444" i="3"/>
  <c r="AE444" i="3"/>
  <c r="AK444" i="3"/>
  <c r="T444" i="3"/>
  <c r="P444" i="3"/>
  <c r="R444" i="3"/>
  <c r="V444" i="3"/>
  <c r="BD440" i="3"/>
  <c r="BG440" i="3"/>
  <c r="BH440" i="3" s="1"/>
  <c r="BI440" i="3" s="1"/>
  <c r="X443" i="3"/>
  <c r="AX442" i="3"/>
  <c r="AY442" i="3" s="1"/>
  <c r="BF441" i="3" l="1"/>
  <c r="BQ441" i="3"/>
  <c r="AG444" i="3"/>
  <c r="AN444" i="3"/>
  <c r="AH444" i="3"/>
  <c r="AT444" i="3" s="1"/>
  <c r="AW443" i="3"/>
  <c r="AY443" i="3" s="1"/>
  <c r="BD441" i="3"/>
  <c r="BG441" i="3"/>
  <c r="BH441" i="3" s="1"/>
  <c r="BI441" i="3" s="1"/>
  <c r="AQ445" i="3"/>
  <c r="AR445" i="3"/>
  <c r="C445" i="3"/>
  <c r="D445" i="3"/>
  <c r="A446" i="3"/>
  <c r="B445" i="3"/>
  <c r="G445" i="3"/>
  <c r="H445" i="3" s="1"/>
  <c r="F445" i="3"/>
  <c r="BM445" i="3" s="1"/>
  <c r="Q445" i="3"/>
  <c r="S445" i="3"/>
  <c r="O445" i="3"/>
  <c r="U445" i="3"/>
  <c r="AD445" i="3"/>
  <c r="M445" i="3"/>
  <c r="AF445" i="3"/>
  <c r="AM445" i="3"/>
  <c r="AE445" i="3"/>
  <c r="AG445" i="3" s="1"/>
  <c r="AK445" i="3"/>
  <c r="AO445" i="3" s="1"/>
  <c r="T445" i="3"/>
  <c r="V445" i="3"/>
  <c r="R445" i="3"/>
  <c r="P445" i="3"/>
  <c r="X444" i="3"/>
  <c r="BN444" i="3"/>
  <c r="BJ440" i="3"/>
  <c r="BK440" i="3" s="1"/>
  <c r="AV442" i="3"/>
  <c r="BC442" i="3" s="1"/>
  <c r="BA442" i="3"/>
  <c r="Y444" i="3"/>
  <c r="Z444" i="3" s="1"/>
  <c r="AT443" i="3"/>
  <c r="AO444" i="3"/>
  <c r="AW444" i="3" s="1"/>
  <c r="BN445" i="3" l="1"/>
  <c r="AU444" i="3"/>
  <c r="AV444" i="3" s="1"/>
  <c r="BB442" i="3"/>
  <c r="BF442" i="3"/>
  <c r="BJ441" i="3" s="1"/>
  <c r="BK441" i="3" s="1"/>
  <c r="BQ442" i="3"/>
  <c r="AQ446" i="3"/>
  <c r="B446" i="3"/>
  <c r="A447" i="3"/>
  <c r="AR446" i="3"/>
  <c r="C446" i="3"/>
  <c r="D446" i="3"/>
  <c r="G446" i="3"/>
  <c r="H446" i="3" s="1"/>
  <c r="BN446" i="3" s="1"/>
  <c r="F446" i="3"/>
  <c r="BM446" i="3" s="1"/>
  <c r="Q446" i="3"/>
  <c r="S446" i="3"/>
  <c r="O446" i="3"/>
  <c r="U446" i="3"/>
  <c r="AD446" i="3"/>
  <c r="M446" i="3"/>
  <c r="AF446" i="3"/>
  <c r="AM446" i="3"/>
  <c r="AE446" i="3"/>
  <c r="AK446" i="3"/>
  <c r="AO446" i="3" s="1"/>
  <c r="R446" i="3"/>
  <c r="V446" i="3"/>
  <c r="P446" i="3"/>
  <c r="T446" i="3"/>
  <c r="BD442" i="3"/>
  <c r="BG442" i="3"/>
  <c r="BH442" i="3" s="1"/>
  <c r="BI442" i="3" s="1"/>
  <c r="Y445" i="3"/>
  <c r="Z445" i="3" s="1"/>
  <c r="AV443" i="3"/>
  <c r="BC443" i="3" s="1"/>
  <c r="BA443" i="3"/>
  <c r="AN445" i="3"/>
  <c r="AH445" i="3"/>
  <c r="AT445" i="3" s="1"/>
  <c r="X445" i="3"/>
  <c r="AX444" i="3"/>
  <c r="AY444" i="3" s="1"/>
  <c r="AW445" i="3" l="1"/>
  <c r="AG446" i="3"/>
  <c r="AX445" i="3"/>
  <c r="AY445" i="3" s="1"/>
  <c r="BD443" i="3"/>
  <c r="BG443" i="3"/>
  <c r="BH443" i="3" s="1"/>
  <c r="BI443" i="3" s="1"/>
  <c r="BF443" i="3"/>
  <c r="BJ442" i="3" s="1"/>
  <c r="BK442" i="3" s="1"/>
  <c r="BB443" i="3"/>
  <c r="BQ443" i="3"/>
  <c r="Y446" i="3"/>
  <c r="Z446" i="3" s="1"/>
  <c r="BA444" i="3"/>
  <c r="AV445" i="3"/>
  <c r="BC445" i="3" s="1"/>
  <c r="BA445" i="3"/>
  <c r="X446" i="3"/>
  <c r="AR447" i="3"/>
  <c r="A448" i="3"/>
  <c r="D447" i="3"/>
  <c r="AQ447" i="3"/>
  <c r="B447" i="3"/>
  <c r="C447" i="3"/>
  <c r="G447" i="3"/>
  <c r="H447" i="3" s="1"/>
  <c r="F447" i="3"/>
  <c r="BM447" i="3" s="1"/>
  <c r="Q447" i="3"/>
  <c r="S447" i="3"/>
  <c r="O447" i="3"/>
  <c r="U447" i="3"/>
  <c r="AD447" i="3"/>
  <c r="M447" i="3"/>
  <c r="AF447" i="3"/>
  <c r="AK447" i="3"/>
  <c r="AE447" i="3"/>
  <c r="AM447" i="3"/>
  <c r="AN447" i="3" s="1"/>
  <c r="V447" i="3"/>
  <c r="T447" i="3"/>
  <c r="R447" i="3"/>
  <c r="P447" i="3"/>
  <c r="AN446" i="3"/>
  <c r="BC444" i="3"/>
  <c r="AU445" i="3"/>
  <c r="AH446" i="3"/>
  <c r="AX446" i="3" s="1"/>
  <c r="X447" i="3" l="1"/>
  <c r="AO447" i="3"/>
  <c r="AT446" i="3"/>
  <c r="BQ445" i="3"/>
  <c r="BB445" i="3"/>
  <c r="BF445" i="3"/>
  <c r="Y447" i="3"/>
  <c r="Z447" i="3" s="1"/>
  <c r="AG447" i="3"/>
  <c r="AH447" i="3"/>
  <c r="AX447" i="3" s="1"/>
  <c r="AU446" i="3"/>
  <c r="AW446" i="3"/>
  <c r="AY446" i="3" s="1"/>
  <c r="B448" i="3"/>
  <c r="AQ448" i="3"/>
  <c r="A449" i="3"/>
  <c r="AR448" i="3"/>
  <c r="D448" i="3"/>
  <c r="C448" i="3"/>
  <c r="G448" i="3"/>
  <c r="H448" i="3" s="1"/>
  <c r="F448" i="3"/>
  <c r="BM448" i="3" s="1"/>
  <c r="Q448" i="3"/>
  <c r="S448" i="3"/>
  <c r="O448" i="3"/>
  <c r="U448" i="3"/>
  <c r="AF448" i="3"/>
  <c r="AD448" i="3"/>
  <c r="M448" i="3"/>
  <c r="AE448" i="3"/>
  <c r="AG448" i="3" s="1"/>
  <c r="AM448" i="3"/>
  <c r="AK448" i="3"/>
  <c r="R448" i="3"/>
  <c r="P448" i="3"/>
  <c r="V448" i="3"/>
  <c r="T448" i="3"/>
  <c r="BD445" i="3"/>
  <c r="BG445" i="3"/>
  <c r="BH445" i="3" s="1"/>
  <c r="BI445" i="3" s="1"/>
  <c r="BB444" i="3"/>
  <c r="BF444" i="3"/>
  <c r="BJ443" i="3" s="1"/>
  <c r="BK443" i="3" s="1"/>
  <c r="BQ444" i="3"/>
  <c r="BD444" i="3"/>
  <c r="BG444" i="3"/>
  <c r="BH444" i="3" s="1"/>
  <c r="BI444" i="3" s="1"/>
  <c r="BN447" i="3"/>
  <c r="BJ444" i="3" l="1"/>
  <c r="BK444" i="3" s="1"/>
  <c r="AO448" i="3"/>
  <c r="AU447" i="3"/>
  <c r="BN448" i="3"/>
  <c r="AN448" i="3"/>
  <c r="X448" i="3"/>
  <c r="AQ449" i="3"/>
  <c r="B449" i="3"/>
  <c r="A450" i="3"/>
  <c r="AR449" i="3"/>
  <c r="C449" i="3"/>
  <c r="D449" i="3"/>
  <c r="G449" i="3"/>
  <c r="H449" i="3" s="1"/>
  <c r="BN449" i="3" s="1"/>
  <c r="F449" i="3"/>
  <c r="BM449" i="3" s="1"/>
  <c r="Q449" i="3"/>
  <c r="S449" i="3"/>
  <c r="O449" i="3"/>
  <c r="U449" i="3"/>
  <c r="M449" i="3"/>
  <c r="AM449" i="3"/>
  <c r="AE449" i="3"/>
  <c r="AF449" i="3"/>
  <c r="AD449" i="3"/>
  <c r="AK449" i="3"/>
  <c r="V449" i="3"/>
  <c r="P449" i="3"/>
  <c r="T449" i="3"/>
  <c r="R449" i="3"/>
  <c r="AW447" i="3"/>
  <c r="AY447" i="3" s="1"/>
  <c r="AH448" i="3"/>
  <c r="AX448" i="3" s="1"/>
  <c r="AT447" i="3"/>
  <c r="AV446" i="3"/>
  <c r="BC446" i="3" s="1"/>
  <c r="BA446" i="3"/>
  <c r="Y448" i="3"/>
  <c r="Z448" i="3" s="1"/>
  <c r="AN449" i="3" l="1"/>
  <c r="X449" i="3"/>
  <c r="AG449" i="3"/>
  <c r="BA447" i="3"/>
  <c r="AV447" i="3"/>
  <c r="BC447" i="3" s="1"/>
  <c r="AT448" i="3"/>
  <c r="BF446" i="3"/>
  <c r="BJ445" i="3" s="1"/>
  <c r="BK445" i="3" s="1"/>
  <c r="BQ446" i="3"/>
  <c r="BB446" i="3"/>
  <c r="AW448" i="3"/>
  <c r="AY448" i="3" s="1"/>
  <c r="Y449" i="3"/>
  <c r="Z449" i="3" s="1"/>
  <c r="AQ450" i="3"/>
  <c r="B450" i="3"/>
  <c r="AR450" i="3"/>
  <c r="D450" i="3"/>
  <c r="A451" i="3"/>
  <c r="C450" i="3"/>
  <c r="G450" i="3"/>
  <c r="H450" i="3" s="1"/>
  <c r="F450" i="3"/>
  <c r="BM450" i="3" s="1"/>
  <c r="Q450" i="3"/>
  <c r="S450" i="3"/>
  <c r="O450" i="3"/>
  <c r="U450" i="3"/>
  <c r="AE450" i="3"/>
  <c r="AD450" i="3"/>
  <c r="AF450" i="3"/>
  <c r="M450" i="3"/>
  <c r="AM450" i="3"/>
  <c r="AK450" i="3"/>
  <c r="R450" i="3"/>
  <c r="P450" i="3"/>
  <c r="T450" i="3"/>
  <c r="V450" i="3"/>
  <c r="BD446" i="3"/>
  <c r="BG446" i="3"/>
  <c r="BH446" i="3" s="1"/>
  <c r="BI446" i="3" s="1"/>
  <c r="AO449" i="3"/>
  <c r="AH449" i="3"/>
  <c r="AX449" i="3" s="1"/>
  <c r="AU448" i="3"/>
  <c r="AO450" i="3" l="1"/>
  <c r="BN450" i="3"/>
  <c r="AW449" i="3"/>
  <c r="AY449" i="3" s="1"/>
  <c r="AU449" i="3"/>
  <c r="X450" i="3"/>
  <c r="BA448" i="3"/>
  <c r="AV448" i="3"/>
  <c r="BC448" i="3" s="1"/>
  <c r="AG450" i="3"/>
  <c r="BD447" i="3"/>
  <c r="BG447" i="3"/>
  <c r="BH447" i="3" s="1"/>
  <c r="BI447" i="3" s="1"/>
  <c r="Y450" i="3"/>
  <c r="Z450" i="3" s="1"/>
  <c r="AR451" i="3"/>
  <c r="B451" i="3"/>
  <c r="D451" i="3"/>
  <c r="AQ451" i="3"/>
  <c r="A452" i="3"/>
  <c r="C451" i="3"/>
  <c r="G451" i="3"/>
  <c r="H451" i="3" s="1"/>
  <c r="F451" i="3"/>
  <c r="Q451" i="3"/>
  <c r="S451" i="3"/>
  <c r="O451" i="3"/>
  <c r="U451" i="3"/>
  <c r="M451" i="3"/>
  <c r="AD451" i="3"/>
  <c r="AF451" i="3"/>
  <c r="AM451" i="3"/>
  <c r="AK451" i="3"/>
  <c r="AE451" i="3"/>
  <c r="R451" i="3"/>
  <c r="V451" i="3"/>
  <c r="P451" i="3"/>
  <c r="T451" i="3"/>
  <c r="AN450" i="3"/>
  <c r="AH450" i="3"/>
  <c r="AT449" i="3"/>
  <c r="BB447" i="3"/>
  <c r="BQ447" i="3"/>
  <c r="BF447" i="3"/>
  <c r="BJ446" i="3" s="1"/>
  <c r="BK446" i="3" s="1"/>
  <c r="AO451" i="3" l="1"/>
  <c r="AW450" i="3"/>
  <c r="D452" i="3"/>
  <c r="C452" i="3"/>
  <c r="AR452" i="3"/>
  <c r="AQ452" i="3"/>
  <c r="B452" i="3"/>
  <c r="A453" i="3"/>
  <c r="G452" i="3"/>
  <c r="H452" i="3" s="1"/>
  <c r="BN452" i="3" s="1"/>
  <c r="F452" i="3"/>
  <c r="BM452" i="3" s="1"/>
  <c r="S452" i="3"/>
  <c r="Q452" i="3"/>
  <c r="O452" i="3"/>
  <c r="U452" i="3"/>
  <c r="M452" i="3"/>
  <c r="AD452" i="3"/>
  <c r="AF452" i="3"/>
  <c r="AE452" i="3"/>
  <c r="AM452" i="3"/>
  <c r="AK452" i="3"/>
  <c r="R452" i="3"/>
  <c r="T452" i="3"/>
  <c r="V452" i="3"/>
  <c r="P452" i="3"/>
  <c r="Y451" i="3"/>
  <c r="Z451" i="3" s="1"/>
  <c r="AU450" i="3"/>
  <c r="AV449" i="3"/>
  <c r="BC449" i="3" s="1"/>
  <c r="BA449" i="3"/>
  <c r="BQ448" i="3"/>
  <c r="BB448" i="3"/>
  <c r="BF448" i="3"/>
  <c r="BJ447" i="3" s="1"/>
  <c r="BK447" i="3" s="1"/>
  <c r="X451" i="3"/>
  <c r="BM451" i="3"/>
  <c r="AG451" i="3"/>
  <c r="AN451" i="3"/>
  <c r="AH451" i="3"/>
  <c r="AT450" i="3"/>
  <c r="BD448" i="3"/>
  <c r="BG448" i="3"/>
  <c r="BH448" i="3" s="1"/>
  <c r="BI448" i="3" s="1"/>
  <c r="AX450" i="3"/>
  <c r="AY450" i="3" s="1"/>
  <c r="BN451" i="3"/>
  <c r="AU451" i="3" l="1"/>
  <c r="AO452" i="3"/>
  <c r="AH452" i="3"/>
  <c r="BQ449" i="3"/>
  <c r="BF449" i="3"/>
  <c r="BJ448" i="3" s="1"/>
  <c r="BK448" i="3" s="1"/>
  <c r="BB449" i="3"/>
  <c r="BD449" i="3"/>
  <c r="BG449" i="3"/>
  <c r="BH449" i="3" s="1"/>
  <c r="BI449" i="3" s="1"/>
  <c r="AV450" i="3"/>
  <c r="BC450" i="3" s="1"/>
  <c r="BA450" i="3"/>
  <c r="X452" i="3"/>
  <c r="AQ453" i="3"/>
  <c r="AR453" i="3"/>
  <c r="C453" i="3"/>
  <c r="D453" i="3"/>
  <c r="A454" i="3"/>
  <c r="B453" i="3"/>
  <c r="F453" i="3"/>
  <c r="BM453" i="3" s="1"/>
  <c r="G453" i="3"/>
  <c r="H453" i="3" s="1"/>
  <c r="Q453" i="3"/>
  <c r="S453" i="3"/>
  <c r="O453" i="3"/>
  <c r="U453" i="3"/>
  <c r="AE453" i="3"/>
  <c r="M453" i="3"/>
  <c r="AD453" i="3"/>
  <c r="AF453" i="3"/>
  <c r="AM453" i="3"/>
  <c r="AK453" i="3"/>
  <c r="R453" i="3"/>
  <c r="P453" i="3"/>
  <c r="V453" i="3"/>
  <c r="T453" i="3"/>
  <c r="Y452" i="3"/>
  <c r="Z452" i="3" s="1"/>
  <c r="AX451" i="3"/>
  <c r="AW451" i="3"/>
  <c r="AN452" i="3"/>
  <c r="AG452" i="3"/>
  <c r="AT451" i="3"/>
  <c r="AW452" i="3" l="1"/>
  <c r="AO453" i="3"/>
  <c r="AX452" i="3"/>
  <c r="AY452" i="3" s="1"/>
  <c r="AH453" i="3"/>
  <c r="AU452" i="3"/>
  <c r="AV451" i="3"/>
  <c r="BA451" i="3"/>
  <c r="BD450" i="3"/>
  <c r="BG450" i="3"/>
  <c r="BH450" i="3" s="1"/>
  <c r="BI450" i="3" s="1"/>
  <c r="AG453" i="3"/>
  <c r="AT453" i="3" s="1"/>
  <c r="AQ454" i="3"/>
  <c r="B454" i="3"/>
  <c r="A455" i="3"/>
  <c r="AR454" i="3"/>
  <c r="C454" i="3"/>
  <c r="D454" i="3"/>
  <c r="G454" i="3"/>
  <c r="H454" i="3" s="1"/>
  <c r="F454" i="3"/>
  <c r="Q454" i="3"/>
  <c r="S454" i="3"/>
  <c r="O454" i="3"/>
  <c r="U454" i="3"/>
  <c r="AE454" i="3"/>
  <c r="M454" i="3"/>
  <c r="AD454" i="3"/>
  <c r="AF454" i="3"/>
  <c r="AH454" i="3" s="1"/>
  <c r="AM454" i="3"/>
  <c r="AK454" i="3"/>
  <c r="T454" i="3"/>
  <c r="R454" i="3"/>
  <c r="V454" i="3"/>
  <c r="P454" i="3"/>
  <c r="AN453" i="3"/>
  <c r="Y453" i="3"/>
  <c r="Z453" i="3" s="1"/>
  <c r="BF450" i="3"/>
  <c r="BJ449" i="3" s="1"/>
  <c r="BK449" i="3" s="1"/>
  <c r="BQ450" i="3"/>
  <c r="BB450" i="3"/>
  <c r="X453" i="3"/>
  <c r="AY451" i="3"/>
  <c r="AT452" i="3"/>
  <c r="BN453" i="3"/>
  <c r="AX453" i="3" l="1"/>
  <c r="BM454" i="3"/>
  <c r="AN454" i="3"/>
  <c r="BN454" i="3"/>
  <c r="AR455" i="3"/>
  <c r="A456" i="3"/>
  <c r="C455" i="3"/>
  <c r="B455" i="3"/>
  <c r="AQ455" i="3"/>
  <c r="D455" i="3"/>
  <c r="G455" i="3"/>
  <c r="H455" i="3" s="1"/>
  <c r="BN455" i="3" s="1"/>
  <c r="F455" i="3"/>
  <c r="BM455" i="3" s="1"/>
  <c r="Q455" i="3"/>
  <c r="S455" i="3"/>
  <c r="O455" i="3"/>
  <c r="U455" i="3"/>
  <c r="AD455" i="3"/>
  <c r="M455" i="3"/>
  <c r="AF455" i="3"/>
  <c r="AM455" i="3"/>
  <c r="AK455" i="3"/>
  <c r="AO455" i="3" s="1"/>
  <c r="AE455" i="3"/>
  <c r="R455" i="3"/>
  <c r="T455" i="3"/>
  <c r="P455" i="3"/>
  <c r="V455" i="3"/>
  <c r="BC451" i="3"/>
  <c r="Y454" i="3"/>
  <c r="Z454" i="3" s="1"/>
  <c r="AO454" i="3"/>
  <c r="AX454" i="3" s="1"/>
  <c r="AU454" i="3"/>
  <c r="AW453" i="3"/>
  <c r="AY453" i="3" s="1"/>
  <c r="BA452" i="3"/>
  <c r="AV452" i="3"/>
  <c r="BC452" i="3" s="1"/>
  <c r="AU453" i="3"/>
  <c r="AG454" i="3"/>
  <c r="AT454" i="3" s="1"/>
  <c r="X454" i="3"/>
  <c r="BB451" i="3"/>
  <c r="BF451" i="3"/>
  <c r="BJ450" i="3" s="1"/>
  <c r="BK450" i="3" s="1"/>
  <c r="BQ451" i="3"/>
  <c r="BA453" i="3" l="1"/>
  <c r="AG455" i="3"/>
  <c r="BF453" i="3"/>
  <c r="BB453" i="3"/>
  <c r="BQ453" i="3"/>
  <c r="AV454" i="3"/>
  <c r="Y455" i="3"/>
  <c r="Z455" i="3" s="1"/>
  <c r="AN455" i="3"/>
  <c r="AH455" i="3"/>
  <c r="AX455" i="3" s="1"/>
  <c r="BD451" i="3"/>
  <c r="BG451" i="3"/>
  <c r="BH451" i="3" s="1"/>
  <c r="BI451" i="3" s="1"/>
  <c r="AW455" i="3"/>
  <c r="B456" i="3"/>
  <c r="AQ456" i="3"/>
  <c r="A457" i="3"/>
  <c r="AR456" i="3"/>
  <c r="C456" i="3"/>
  <c r="D456" i="3"/>
  <c r="F456" i="3"/>
  <c r="BM456" i="3" s="1"/>
  <c r="G456" i="3"/>
  <c r="H456" i="3" s="1"/>
  <c r="BN456" i="3" s="1"/>
  <c r="Q456" i="3"/>
  <c r="S456" i="3"/>
  <c r="O456" i="3"/>
  <c r="U456" i="3"/>
  <c r="AE456" i="3"/>
  <c r="AD456" i="3"/>
  <c r="M456" i="3"/>
  <c r="AF456" i="3"/>
  <c r="AM456" i="3"/>
  <c r="AK456" i="3"/>
  <c r="R456" i="3"/>
  <c r="T456" i="3"/>
  <c r="P456" i="3"/>
  <c r="V456" i="3"/>
  <c r="AW454" i="3"/>
  <c r="BA454" i="3" s="1"/>
  <c r="AV453" i="3"/>
  <c r="BC453" i="3" s="1"/>
  <c r="BD452" i="3"/>
  <c r="BG452" i="3"/>
  <c r="BH452" i="3" s="1"/>
  <c r="BI452" i="3" s="1"/>
  <c r="BF452" i="3"/>
  <c r="BJ451" i="3" s="1"/>
  <c r="BK451" i="3" s="1"/>
  <c r="BB452" i="3"/>
  <c r="BQ452" i="3"/>
  <c r="X455" i="3"/>
  <c r="AN456" i="3" l="1"/>
  <c r="Y456" i="3"/>
  <c r="Z456" i="3" s="1"/>
  <c r="BB454" i="3"/>
  <c r="BF454" i="3"/>
  <c r="BJ453" i="3" s="1"/>
  <c r="BK453" i="3" s="1"/>
  <c r="BQ454" i="3"/>
  <c r="AH456" i="3"/>
  <c r="AT455" i="3"/>
  <c r="AQ457" i="3"/>
  <c r="B457" i="3"/>
  <c r="C457" i="3"/>
  <c r="A458" i="3"/>
  <c r="AR457" i="3"/>
  <c r="D457" i="3"/>
  <c r="F457" i="3"/>
  <c r="BM457" i="3" s="1"/>
  <c r="G457" i="3"/>
  <c r="H457" i="3" s="1"/>
  <c r="BN457" i="3" s="1"/>
  <c r="Q457" i="3"/>
  <c r="S457" i="3"/>
  <c r="O457" i="3"/>
  <c r="U457" i="3"/>
  <c r="AE457" i="3"/>
  <c r="AD457" i="3"/>
  <c r="AF457" i="3"/>
  <c r="M457" i="3"/>
  <c r="AM457" i="3"/>
  <c r="AK457" i="3"/>
  <c r="V457" i="3"/>
  <c r="R457" i="3"/>
  <c r="T457" i="3"/>
  <c r="P457" i="3"/>
  <c r="AY455" i="3"/>
  <c r="AG456" i="3"/>
  <c r="AW456" i="3" s="1"/>
  <c r="AU455" i="3"/>
  <c r="BD453" i="3"/>
  <c r="BG453" i="3"/>
  <c r="BH453" i="3" s="1"/>
  <c r="BI453" i="3" s="1"/>
  <c r="AY454" i="3"/>
  <c r="BC454" i="3" s="1"/>
  <c r="X456" i="3"/>
  <c r="AO456" i="3"/>
  <c r="BJ452" i="3"/>
  <c r="BK452" i="3" s="1"/>
  <c r="AO457" i="3" l="1"/>
  <c r="BD454" i="3"/>
  <c r="BG454" i="3"/>
  <c r="BH454" i="3" s="1"/>
  <c r="BI454" i="3" s="1"/>
  <c r="AQ458" i="3"/>
  <c r="B458" i="3"/>
  <c r="AR458" i="3"/>
  <c r="D458" i="3"/>
  <c r="A459" i="3"/>
  <c r="C458" i="3"/>
  <c r="G458" i="3"/>
  <c r="H458" i="3" s="1"/>
  <c r="BN458" i="3" s="1"/>
  <c r="F458" i="3"/>
  <c r="BM458" i="3" s="1"/>
  <c r="Q458" i="3"/>
  <c r="S458" i="3"/>
  <c r="O458" i="3"/>
  <c r="U458" i="3"/>
  <c r="AD458" i="3"/>
  <c r="AF458" i="3"/>
  <c r="M458" i="3"/>
  <c r="AE458" i="3"/>
  <c r="AM458" i="3"/>
  <c r="AK458" i="3"/>
  <c r="T458" i="3"/>
  <c r="R458" i="3"/>
  <c r="V458" i="3"/>
  <c r="P458" i="3"/>
  <c r="Y457" i="3"/>
  <c r="Z457" i="3" s="1"/>
  <c r="AG457" i="3"/>
  <c r="AN457" i="3"/>
  <c r="AU456" i="3"/>
  <c r="AT456" i="3"/>
  <c r="AH457" i="3"/>
  <c r="AT457" i="3" s="1"/>
  <c r="AV455" i="3"/>
  <c r="BC455" i="3" s="1"/>
  <c r="BA455" i="3"/>
  <c r="AX456" i="3"/>
  <c r="AY456" i="3" s="1"/>
  <c r="X457" i="3"/>
  <c r="X458" i="3" l="1"/>
  <c r="AU457" i="3"/>
  <c r="AW457" i="3"/>
  <c r="AO458" i="3"/>
  <c r="AH458" i="3"/>
  <c r="AV457" i="3"/>
  <c r="Y458" i="3"/>
  <c r="Z458" i="3" s="1"/>
  <c r="BB455" i="3"/>
  <c r="BF455" i="3"/>
  <c r="BJ454" i="3" s="1"/>
  <c r="BK454" i="3" s="1"/>
  <c r="BQ455" i="3"/>
  <c r="AV456" i="3"/>
  <c r="BC456" i="3" s="1"/>
  <c r="BA456" i="3"/>
  <c r="AR459" i="3"/>
  <c r="B459" i="3"/>
  <c r="D459" i="3"/>
  <c r="AQ459" i="3"/>
  <c r="A460" i="3"/>
  <c r="C459" i="3"/>
  <c r="G459" i="3"/>
  <c r="H459" i="3" s="1"/>
  <c r="F459" i="3"/>
  <c r="Q459" i="3"/>
  <c r="S459" i="3"/>
  <c r="O459" i="3"/>
  <c r="U459" i="3"/>
  <c r="AD459" i="3"/>
  <c r="M459" i="3"/>
  <c r="AF459" i="3"/>
  <c r="AK459" i="3"/>
  <c r="AE459" i="3"/>
  <c r="AM459" i="3"/>
  <c r="V459" i="3"/>
  <c r="T459" i="3"/>
  <c r="P459" i="3"/>
  <c r="R459" i="3"/>
  <c r="BD455" i="3"/>
  <c r="BG455" i="3"/>
  <c r="BH455" i="3" s="1"/>
  <c r="BI455" i="3" s="1"/>
  <c r="AN458" i="3"/>
  <c r="AG458" i="3"/>
  <c r="AX457" i="3"/>
  <c r="AY457" i="3" s="1"/>
  <c r="AW458" i="3" l="1"/>
  <c r="AN459" i="3"/>
  <c r="AG459" i="3"/>
  <c r="AH459" i="3"/>
  <c r="AU459" i="3" s="1"/>
  <c r="AT458" i="3"/>
  <c r="Y459" i="3"/>
  <c r="Z459" i="3" s="1"/>
  <c r="AO459" i="3"/>
  <c r="AU458" i="3"/>
  <c r="C460" i="3"/>
  <c r="D460" i="3"/>
  <c r="AQ460" i="3"/>
  <c r="AR460" i="3"/>
  <c r="B460" i="3"/>
  <c r="A461" i="3"/>
  <c r="F460" i="3"/>
  <c r="BM460" i="3" s="1"/>
  <c r="G460" i="3"/>
  <c r="H460" i="3" s="1"/>
  <c r="S460" i="3"/>
  <c r="Q460" i="3"/>
  <c r="O460" i="3"/>
  <c r="U460" i="3"/>
  <c r="M460" i="3"/>
  <c r="AD460" i="3"/>
  <c r="AE460" i="3"/>
  <c r="AF460" i="3"/>
  <c r="AM460" i="3"/>
  <c r="AK460" i="3"/>
  <c r="V460" i="3"/>
  <c r="T460" i="3"/>
  <c r="P460" i="3"/>
  <c r="R460" i="3"/>
  <c r="BB456" i="3"/>
  <c r="BQ456" i="3"/>
  <c r="BF456" i="3"/>
  <c r="BJ455" i="3" s="1"/>
  <c r="BK455" i="3" s="1"/>
  <c r="AX458" i="3"/>
  <c r="AY458" i="3" s="1"/>
  <c r="BD456" i="3"/>
  <c r="BG456" i="3"/>
  <c r="BH456" i="3" s="1"/>
  <c r="BI456" i="3" s="1"/>
  <c r="X459" i="3"/>
  <c r="BC457" i="3"/>
  <c r="BA457" i="3"/>
  <c r="BM459" i="3"/>
  <c r="BN459" i="3"/>
  <c r="AO460" i="3" l="1"/>
  <c r="AT459" i="3"/>
  <c r="Y460" i="3"/>
  <c r="Z460" i="3" s="1"/>
  <c r="AQ461" i="3"/>
  <c r="AR461" i="3"/>
  <c r="C461" i="3"/>
  <c r="D461" i="3"/>
  <c r="A462" i="3"/>
  <c r="B461" i="3"/>
  <c r="F461" i="3"/>
  <c r="BM461" i="3" s="1"/>
  <c r="G461" i="3"/>
  <c r="H461" i="3" s="1"/>
  <c r="BN461" i="3" s="1"/>
  <c r="S461" i="3"/>
  <c r="Q461" i="3"/>
  <c r="O461" i="3"/>
  <c r="U461" i="3"/>
  <c r="AD461" i="3"/>
  <c r="AF461" i="3"/>
  <c r="M461" i="3"/>
  <c r="AE461" i="3"/>
  <c r="AM461" i="3"/>
  <c r="AK461" i="3"/>
  <c r="V461" i="3"/>
  <c r="T461" i="3"/>
  <c r="R461" i="3"/>
  <c r="P461" i="3"/>
  <c r="AG460" i="3"/>
  <c r="AH460" i="3"/>
  <c r="AV459" i="3"/>
  <c r="AW459" i="3"/>
  <c r="AY459" i="3" s="1"/>
  <c r="AN460" i="3"/>
  <c r="X460" i="3"/>
  <c r="BF457" i="3"/>
  <c r="BJ456" i="3" s="1"/>
  <c r="BK456" i="3" s="1"/>
  <c r="BQ457" i="3"/>
  <c r="BB457" i="3"/>
  <c r="BD457" i="3"/>
  <c r="BG457" i="3"/>
  <c r="BH457" i="3" s="1"/>
  <c r="BI457" i="3" s="1"/>
  <c r="AV458" i="3"/>
  <c r="BC458" i="3" s="1"/>
  <c r="BA458" i="3"/>
  <c r="AX459" i="3"/>
  <c r="BN460" i="3"/>
  <c r="AO461" i="3" l="1"/>
  <c r="AT460" i="3"/>
  <c r="X461" i="3"/>
  <c r="AH461" i="3"/>
  <c r="BQ458" i="3"/>
  <c r="BF458" i="3"/>
  <c r="BJ457" i="3" s="1"/>
  <c r="BK457" i="3" s="1"/>
  <c r="BB458" i="3"/>
  <c r="BC459" i="3"/>
  <c r="BA459" i="3"/>
  <c r="BD458" i="3"/>
  <c r="BG458" i="3"/>
  <c r="BH458" i="3" s="1"/>
  <c r="BI458" i="3" s="1"/>
  <c r="Y461" i="3"/>
  <c r="Z461" i="3" s="1"/>
  <c r="AG461" i="3"/>
  <c r="AT461" i="3" s="1"/>
  <c r="AX460" i="3"/>
  <c r="AW460" i="3"/>
  <c r="AQ462" i="3"/>
  <c r="B462" i="3"/>
  <c r="A463" i="3"/>
  <c r="AR462" i="3"/>
  <c r="D462" i="3"/>
  <c r="C462" i="3"/>
  <c r="G462" i="3"/>
  <c r="H462" i="3" s="1"/>
  <c r="BN462" i="3" s="1"/>
  <c r="F462" i="3"/>
  <c r="BM462" i="3" s="1"/>
  <c r="Q462" i="3"/>
  <c r="S462" i="3"/>
  <c r="O462" i="3"/>
  <c r="U462" i="3"/>
  <c r="AF462" i="3"/>
  <c r="AD462" i="3"/>
  <c r="M462" i="3"/>
  <c r="AE462" i="3"/>
  <c r="AK462" i="3"/>
  <c r="AM462" i="3"/>
  <c r="V462" i="3"/>
  <c r="T462" i="3"/>
  <c r="R462" i="3"/>
  <c r="P462" i="3"/>
  <c r="AN461" i="3"/>
  <c r="AU460" i="3"/>
  <c r="AV460" i="3" s="1"/>
  <c r="AY460" i="3" l="1"/>
  <c r="AN462" i="3"/>
  <c r="AH462" i="3"/>
  <c r="BC460" i="3"/>
  <c r="AX461" i="3"/>
  <c r="BD460" i="3"/>
  <c r="BG460" i="3"/>
  <c r="BH460" i="3" s="1"/>
  <c r="BI460" i="3" s="1"/>
  <c r="BD459" i="3"/>
  <c r="BG459" i="3"/>
  <c r="BH459" i="3" s="1"/>
  <c r="BI459" i="3" s="1"/>
  <c r="X462" i="3"/>
  <c r="AU461" i="3"/>
  <c r="AV461" i="3" s="1"/>
  <c r="BF459" i="3"/>
  <c r="BJ458" i="3" s="1"/>
  <c r="BK458" i="3" s="1"/>
  <c r="BQ459" i="3"/>
  <c r="BB459" i="3"/>
  <c r="AT462" i="3"/>
  <c r="AR463" i="3"/>
  <c r="A464" i="3"/>
  <c r="D463" i="3"/>
  <c r="B463" i="3"/>
  <c r="AQ463" i="3"/>
  <c r="C463" i="3"/>
  <c r="F463" i="3"/>
  <c r="BM463" i="3" s="1"/>
  <c r="G463" i="3"/>
  <c r="H463" i="3" s="1"/>
  <c r="Q463" i="3"/>
  <c r="S463" i="3"/>
  <c r="O463" i="3"/>
  <c r="U463" i="3"/>
  <c r="M463" i="3"/>
  <c r="AD463" i="3"/>
  <c r="AE463" i="3"/>
  <c r="AF463" i="3"/>
  <c r="AM463" i="3"/>
  <c r="AK463" i="3"/>
  <c r="T463" i="3"/>
  <c r="R463" i="3"/>
  <c r="V463" i="3"/>
  <c r="P463" i="3"/>
  <c r="AW461" i="3"/>
  <c r="AO462" i="3"/>
  <c r="BA460" i="3"/>
  <c r="Y462" i="3"/>
  <c r="Z462" i="3" s="1"/>
  <c r="AG462" i="3"/>
  <c r="AW462" i="3" s="1"/>
  <c r="AY461" i="3" l="1"/>
  <c r="BN463" i="3"/>
  <c r="AN463" i="3"/>
  <c r="AG463" i="3"/>
  <c r="X463" i="3"/>
  <c r="BC461" i="3"/>
  <c r="AX462" i="3"/>
  <c r="AY462" i="3" s="1"/>
  <c r="AH463" i="3"/>
  <c r="BB460" i="3"/>
  <c r="BF460" i="3"/>
  <c r="BJ459" i="3" s="1"/>
  <c r="BK459" i="3" s="1"/>
  <c r="BQ460" i="3"/>
  <c r="Y463" i="3"/>
  <c r="Z463" i="3" s="1"/>
  <c r="BA461" i="3"/>
  <c r="AU462" i="3"/>
  <c r="BA462" i="3" s="1"/>
  <c r="AU463" i="3"/>
  <c r="AO463" i="3"/>
  <c r="B464" i="3"/>
  <c r="AQ464" i="3"/>
  <c r="A465" i="3"/>
  <c r="AR464" i="3"/>
  <c r="D464" i="3"/>
  <c r="C464" i="3"/>
  <c r="G464" i="3"/>
  <c r="H464" i="3" s="1"/>
  <c r="BN464" i="3" s="1"/>
  <c r="F464" i="3"/>
  <c r="BM464" i="3" s="1"/>
  <c r="Q464" i="3"/>
  <c r="S464" i="3"/>
  <c r="O464" i="3"/>
  <c r="U464" i="3"/>
  <c r="M464" i="3"/>
  <c r="AE464" i="3"/>
  <c r="AD464" i="3"/>
  <c r="AF464" i="3"/>
  <c r="AK464" i="3"/>
  <c r="AM464" i="3"/>
  <c r="V464" i="3"/>
  <c r="R464" i="3"/>
  <c r="T464" i="3"/>
  <c r="P464" i="3"/>
  <c r="AN464" i="3" l="1"/>
  <c r="AG464" i="3"/>
  <c r="AX463" i="3"/>
  <c r="BF462" i="3"/>
  <c r="BQ462" i="3"/>
  <c r="BB462" i="3"/>
  <c r="BF461" i="3"/>
  <c r="BQ461" i="3"/>
  <c r="BB461" i="3"/>
  <c r="AT463" i="3"/>
  <c r="AW463" i="3"/>
  <c r="AY463" i="3" s="1"/>
  <c r="AW464" i="3"/>
  <c r="X464" i="3"/>
  <c r="Y464" i="3"/>
  <c r="Z464" i="3" s="1"/>
  <c r="AQ465" i="3"/>
  <c r="B465" i="3"/>
  <c r="A466" i="3"/>
  <c r="AR465" i="3"/>
  <c r="D465" i="3"/>
  <c r="C465" i="3"/>
  <c r="F465" i="3"/>
  <c r="G465" i="3"/>
  <c r="H465" i="3" s="1"/>
  <c r="BN465" i="3" s="1"/>
  <c r="Q465" i="3"/>
  <c r="S465" i="3"/>
  <c r="O465" i="3"/>
  <c r="U465" i="3"/>
  <c r="AF465" i="3"/>
  <c r="AD465" i="3"/>
  <c r="AE465" i="3"/>
  <c r="M465" i="3"/>
  <c r="AM465" i="3"/>
  <c r="AK465" i="3"/>
  <c r="R465" i="3"/>
  <c r="V465" i="3"/>
  <c r="P465" i="3"/>
  <c r="T465" i="3"/>
  <c r="AV462" i="3"/>
  <c r="BC462" i="3" s="1"/>
  <c r="AO464" i="3"/>
  <c r="AH464" i="3"/>
  <c r="AX464" i="3" s="1"/>
  <c r="BD461" i="3"/>
  <c r="BG461" i="3"/>
  <c r="BH461" i="3" s="1"/>
  <c r="BI461" i="3" s="1"/>
  <c r="AN465" i="3" l="1"/>
  <c r="AH465" i="3"/>
  <c r="AQ466" i="3"/>
  <c r="B466" i="3"/>
  <c r="AR466" i="3"/>
  <c r="C466" i="3"/>
  <c r="A467" i="3"/>
  <c r="D466" i="3"/>
  <c r="G466" i="3"/>
  <c r="H466" i="3" s="1"/>
  <c r="BN466" i="3" s="1"/>
  <c r="F466" i="3"/>
  <c r="BM466" i="3" s="1"/>
  <c r="S466" i="3"/>
  <c r="Q466" i="3"/>
  <c r="O466" i="3"/>
  <c r="U466" i="3"/>
  <c r="AF466" i="3"/>
  <c r="AE466" i="3"/>
  <c r="AD466" i="3"/>
  <c r="M466" i="3"/>
  <c r="AM466" i="3"/>
  <c r="AK466" i="3"/>
  <c r="R466" i="3"/>
  <c r="P466" i="3"/>
  <c r="T466" i="3"/>
  <c r="V466" i="3"/>
  <c r="AU465" i="3"/>
  <c r="X465" i="3"/>
  <c r="AV463" i="3"/>
  <c r="BC463" i="3" s="1"/>
  <c r="BA463" i="3"/>
  <c r="AO465" i="3"/>
  <c r="AX465" i="3" s="1"/>
  <c r="BJ461" i="3"/>
  <c r="BK461" i="3" s="1"/>
  <c r="BJ460" i="3"/>
  <c r="BK460" i="3" s="1"/>
  <c r="AU464" i="3"/>
  <c r="AT464" i="3"/>
  <c r="AG465" i="3"/>
  <c r="AY464" i="3"/>
  <c r="BD462" i="3"/>
  <c r="BG462" i="3"/>
  <c r="BH462" i="3" s="1"/>
  <c r="BI462" i="3" s="1"/>
  <c r="BM465" i="3"/>
  <c r="Y465" i="3"/>
  <c r="Z465" i="3" s="1"/>
  <c r="AT465" i="3"/>
  <c r="AG466" i="3" l="1"/>
  <c r="AO466" i="3"/>
  <c r="BA464" i="3"/>
  <c r="AV464" i="3"/>
  <c r="BC464" i="3" s="1"/>
  <c r="BD463" i="3"/>
  <c r="BG463" i="3"/>
  <c r="BH463" i="3" s="1"/>
  <c r="BI463" i="3" s="1"/>
  <c r="AR467" i="3"/>
  <c r="B467" i="3"/>
  <c r="D467" i="3"/>
  <c r="C467" i="3"/>
  <c r="AQ467" i="3"/>
  <c r="A468" i="3"/>
  <c r="G467" i="3"/>
  <c r="H467" i="3" s="1"/>
  <c r="BN467" i="3" s="1"/>
  <c r="F467" i="3"/>
  <c r="BM467" i="3" s="1"/>
  <c r="Q467" i="3"/>
  <c r="S467" i="3"/>
  <c r="O467" i="3"/>
  <c r="U467" i="3"/>
  <c r="AD467" i="3"/>
  <c r="M467" i="3"/>
  <c r="AF467" i="3"/>
  <c r="AM467" i="3"/>
  <c r="AK467" i="3"/>
  <c r="AE467" i="3"/>
  <c r="AG467" i="3" s="1"/>
  <c r="R467" i="3"/>
  <c r="P467" i="3"/>
  <c r="V467" i="3"/>
  <c r="T467" i="3"/>
  <c r="AH466" i="3"/>
  <c r="X466" i="3"/>
  <c r="BB463" i="3"/>
  <c r="BF463" i="3"/>
  <c r="BJ462" i="3" s="1"/>
  <c r="BK462" i="3" s="1"/>
  <c r="BQ463" i="3"/>
  <c r="AV465" i="3"/>
  <c r="Y466" i="3"/>
  <c r="Z466" i="3" s="1"/>
  <c r="AW465" i="3"/>
  <c r="AY465" i="3" s="1"/>
  <c r="AN466" i="3"/>
  <c r="AX466" i="3" l="1"/>
  <c r="AO467" i="3"/>
  <c r="D468" i="3"/>
  <c r="C468" i="3"/>
  <c r="AQ468" i="3"/>
  <c r="AR468" i="3"/>
  <c r="B468" i="3"/>
  <c r="A469" i="3"/>
  <c r="G468" i="3"/>
  <c r="H468" i="3" s="1"/>
  <c r="BN468" i="3" s="1"/>
  <c r="F468" i="3"/>
  <c r="BM468" i="3" s="1"/>
  <c r="Q468" i="3"/>
  <c r="S468" i="3"/>
  <c r="O468" i="3"/>
  <c r="U468" i="3"/>
  <c r="AD468" i="3"/>
  <c r="AF468" i="3"/>
  <c r="M468" i="3"/>
  <c r="AM468" i="3"/>
  <c r="AK468" i="3"/>
  <c r="AE468" i="3"/>
  <c r="R468" i="3"/>
  <c r="V468" i="3"/>
  <c r="P468" i="3"/>
  <c r="T468" i="3"/>
  <c r="AU466" i="3"/>
  <c r="AW467" i="3"/>
  <c r="AT466" i="3"/>
  <c r="Y467" i="3"/>
  <c r="Z467" i="3" s="1"/>
  <c r="AT467" i="3"/>
  <c r="AW466" i="3"/>
  <c r="AY466" i="3" s="1"/>
  <c r="BC465" i="3"/>
  <c r="BD464" i="3"/>
  <c r="BG464" i="3"/>
  <c r="BH464" i="3" s="1"/>
  <c r="BI464" i="3" s="1"/>
  <c r="X467" i="3"/>
  <c r="AN467" i="3"/>
  <c r="AH467" i="3"/>
  <c r="BA465" i="3"/>
  <c r="BQ464" i="3"/>
  <c r="BB464" i="3"/>
  <c r="BF464" i="3"/>
  <c r="BJ463" i="3" s="1"/>
  <c r="BK463" i="3" s="1"/>
  <c r="AX467" i="3" l="1"/>
  <c r="AU467" i="3"/>
  <c r="AN468" i="3"/>
  <c r="AH468" i="3"/>
  <c r="BG465" i="3"/>
  <c r="BH465" i="3" s="1"/>
  <c r="BI465" i="3" s="1"/>
  <c r="BD465" i="3"/>
  <c r="BA467" i="3"/>
  <c r="AV467" i="3"/>
  <c r="BQ465" i="3"/>
  <c r="BB465" i="3"/>
  <c r="BF465" i="3"/>
  <c r="BJ464" i="3" s="1"/>
  <c r="BK464" i="3" s="1"/>
  <c r="AT468" i="3"/>
  <c r="X468" i="3"/>
  <c r="AV466" i="3"/>
  <c r="BC466" i="3" s="1"/>
  <c r="BA466" i="3"/>
  <c r="AQ469" i="3"/>
  <c r="AR469" i="3"/>
  <c r="C469" i="3"/>
  <c r="D469" i="3"/>
  <c r="A470" i="3"/>
  <c r="B469" i="3"/>
  <c r="F469" i="3"/>
  <c r="G469" i="3"/>
  <c r="H469" i="3" s="1"/>
  <c r="S469" i="3"/>
  <c r="Q469" i="3"/>
  <c r="O469" i="3"/>
  <c r="U469" i="3"/>
  <c r="AE469" i="3"/>
  <c r="AD469" i="3"/>
  <c r="M469" i="3"/>
  <c r="AK469" i="3"/>
  <c r="AF469" i="3"/>
  <c r="AM469" i="3"/>
  <c r="P469" i="3"/>
  <c r="V469" i="3"/>
  <c r="R469" i="3"/>
  <c r="T469" i="3"/>
  <c r="AY467" i="3"/>
  <c r="Y468" i="3"/>
  <c r="Z468" i="3" s="1"/>
  <c r="AG468" i="3"/>
  <c r="AO468" i="3"/>
  <c r="BC467" i="3" l="1"/>
  <c r="BD467" i="3" s="1"/>
  <c r="AN469" i="3"/>
  <c r="Y469" i="3"/>
  <c r="Z469" i="3" s="1"/>
  <c r="BD466" i="3"/>
  <c r="BG466" i="3"/>
  <c r="BH466" i="3" s="1"/>
  <c r="BI466" i="3" s="1"/>
  <c r="AG469" i="3"/>
  <c r="AH469" i="3"/>
  <c r="X469" i="3"/>
  <c r="AW468" i="3"/>
  <c r="AU468" i="3"/>
  <c r="AV468" i="3" s="1"/>
  <c r="BQ467" i="3"/>
  <c r="BF467" i="3"/>
  <c r="BB467" i="3"/>
  <c r="AO469" i="3"/>
  <c r="BF466" i="3"/>
  <c r="BJ465" i="3" s="1"/>
  <c r="BK465" i="3" s="1"/>
  <c r="BQ466" i="3"/>
  <c r="BB466" i="3"/>
  <c r="BG467" i="3"/>
  <c r="BH467" i="3" s="1"/>
  <c r="BI467" i="3" s="1"/>
  <c r="BN469" i="3"/>
  <c r="BM469" i="3"/>
  <c r="AQ470" i="3"/>
  <c r="B470" i="3"/>
  <c r="A471" i="3"/>
  <c r="AR470" i="3"/>
  <c r="D470" i="3"/>
  <c r="C470" i="3"/>
  <c r="F470" i="3"/>
  <c r="BM470" i="3" s="1"/>
  <c r="G470" i="3"/>
  <c r="H470" i="3" s="1"/>
  <c r="BN470" i="3" s="1"/>
  <c r="Q470" i="3"/>
  <c r="S470" i="3"/>
  <c r="O470" i="3"/>
  <c r="U470" i="3"/>
  <c r="AF470" i="3"/>
  <c r="AD470" i="3"/>
  <c r="AE470" i="3"/>
  <c r="AK470" i="3"/>
  <c r="M470" i="3"/>
  <c r="AM470" i="3"/>
  <c r="R470" i="3"/>
  <c r="P470" i="3"/>
  <c r="V470" i="3"/>
  <c r="T470" i="3"/>
  <c r="AX468" i="3"/>
  <c r="AN470" i="3" l="1"/>
  <c r="AX469" i="3"/>
  <c r="AG470" i="3"/>
  <c r="BJ466" i="3"/>
  <c r="BK466" i="3" s="1"/>
  <c r="AY468" i="3"/>
  <c r="BC468" i="3" s="1"/>
  <c r="AU469" i="3"/>
  <c r="AW469" i="3"/>
  <c r="AY469" i="3" s="1"/>
  <c r="AR471" i="3"/>
  <c r="A472" i="3"/>
  <c r="D471" i="3"/>
  <c r="B471" i="3"/>
  <c r="C471" i="3"/>
  <c r="AQ471" i="3"/>
  <c r="G471" i="3"/>
  <c r="H471" i="3" s="1"/>
  <c r="BN471" i="3" s="1"/>
  <c r="F471" i="3"/>
  <c r="BM471" i="3" s="1"/>
  <c r="Q471" i="3"/>
  <c r="S471" i="3"/>
  <c r="O471" i="3"/>
  <c r="U471" i="3"/>
  <c r="AE471" i="3"/>
  <c r="AD471" i="3"/>
  <c r="AF471" i="3"/>
  <c r="M471" i="3"/>
  <c r="AM471" i="3"/>
  <c r="AK471" i="3"/>
  <c r="P471" i="3"/>
  <c r="V471" i="3"/>
  <c r="R471" i="3"/>
  <c r="T471" i="3"/>
  <c r="AH470" i="3"/>
  <c r="X470" i="3"/>
  <c r="Y470" i="3"/>
  <c r="Z470" i="3" s="1"/>
  <c r="AO470" i="3"/>
  <c r="AT469" i="3"/>
  <c r="BA468" i="3"/>
  <c r="AN471" i="3" l="1"/>
  <c r="AX470" i="3"/>
  <c r="AG471" i="3"/>
  <c r="BG468" i="3"/>
  <c r="BH468" i="3" s="1"/>
  <c r="BI468" i="3" s="1"/>
  <c r="BD468" i="3"/>
  <c r="Y471" i="3"/>
  <c r="Z471" i="3" s="1"/>
  <c r="AU470" i="3"/>
  <c r="X471" i="3"/>
  <c r="BA469" i="3"/>
  <c r="AV469" i="3"/>
  <c r="BC469" i="3" s="1"/>
  <c r="AW470" i="3"/>
  <c r="AY470" i="3" s="1"/>
  <c r="AU471" i="3"/>
  <c r="AO471" i="3"/>
  <c r="B472" i="3"/>
  <c r="AQ472" i="3"/>
  <c r="A473" i="3"/>
  <c r="C472" i="3"/>
  <c r="AR472" i="3"/>
  <c r="D472" i="3"/>
  <c r="F472" i="3"/>
  <c r="G472" i="3"/>
  <c r="H472" i="3" s="1"/>
  <c r="BN472" i="3" s="1"/>
  <c r="Q472" i="3"/>
  <c r="S472" i="3"/>
  <c r="O472" i="3"/>
  <c r="U472" i="3"/>
  <c r="AF472" i="3"/>
  <c r="AD472" i="3"/>
  <c r="M472" i="3"/>
  <c r="AE472" i="3"/>
  <c r="AG472" i="3" s="1"/>
  <c r="AM472" i="3"/>
  <c r="AK472" i="3"/>
  <c r="R472" i="3"/>
  <c r="P472" i="3"/>
  <c r="V472" i="3"/>
  <c r="T472" i="3"/>
  <c r="BQ468" i="3"/>
  <c r="BF468" i="3"/>
  <c r="BJ467" i="3" s="1"/>
  <c r="BK467" i="3" s="1"/>
  <c r="BB468" i="3"/>
  <c r="AH471" i="3"/>
  <c r="AT470" i="3"/>
  <c r="AO472" i="3" l="1"/>
  <c r="AW471" i="3"/>
  <c r="X472" i="3"/>
  <c r="AN472" i="3"/>
  <c r="BF469" i="3"/>
  <c r="BJ468" i="3" s="1"/>
  <c r="BK468" i="3" s="1"/>
  <c r="BQ469" i="3"/>
  <c r="BB469" i="3"/>
  <c r="AH472" i="3"/>
  <c r="AX472" i="3" s="1"/>
  <c r="AQ473" i="3"/>
  <c r="B473" i="3"/>
  <c r="A474" i="3"/>
  <c r="AR473" i="3"/>
  <c r="C473" i="3"/>
  <c r="D473" i="3"/>
  <c r="G473" i="3"/>
  <c r="H473" i="3" s="1"/>
  <c r="F473" i="3"/>
  <c r="BM473" i="3" s="1"/>
  <c r="Q473" i="3"/>
  <c r="S473" i="3"/>
  <c r="O473" i="3"/>
  <c r="U473" i="3"/>
  <c r="AD473" i="3"/>
  <c r="AK473" i="3"/>
  <c r="AF473" i="3"/>
  <c r="AE473" i="3"/>
  <c r="M473" i="3"/>
  <c r="AM473" i="3"/>
  <c r="AN473" i="3" s="1"/>
  <c r="R473" i="3"/>
  <c r="P473" i="3"/>
  <c r="T473" i="3"/>
  <c r="V473" i="3"/>
  <c r="BM472" i="3"/>
  <c r="AW472" i="3"/>
  <c r="AY472" i="3" s="1"/>
  <c r="BA470" i="3"/>
  <c r="AV470" i="3"/>
  <c r="BC470" i="3" s="1"/>
  <c r="BD469" i="3"/>
  <c r="BG469" i="3"/>
  <c r="BH469" i="3" s="1"/>
  <c r="BI469" i="3" s="1"/>
  <c r="AX471" i="3"/>
  <c r="AY471" i="3" s="1"/>
  <c r="AT471" i="3"/>
  <c r="Y472" i="3"/>
  <c r="Z472" i="3" s="1"/>
  <c r="BN473" i="3" l="1"/>
  <c r="AG473" i="3"/>
  <c r="Y473" i="3"/>
  <c r="Z473" i="3" s="1"/>
  <c r="BQ470" i="3"/>
  <c r="BB470" i="3"/>
  <c r="BF470" i="3"/>
  <c r="BJ469" i="3" s="1"/>
  <c r="BK469" i="3" s="1"/>
  <c r="AV471" i="3"/>
  <c r="BC471" i="3" s="1"/>
  <c r="BA471" i="3"/>
  <c r="AH473" i="3"/>
  <c r="AU472" i="3"/>
  <c r="AU473" i="3"/>
  <c r="AO473" i="3"/>
  <c r="AT473" i="3"/>
  <c r="AQ474" i="3"/>
  <c r="B474" i="3"/>
  <c r="AR474" i="3"/>
  <c r="D474" i="3"/>
  <c r="A475" i="3"/>
  <c r="C474" i="3"/>
  <c r="F474" i="3"/>
  <c r="BM474" i="3" s="1"/>
  <c r="G474" i="3"/>
  <c r="H474" i="3" s="1"/>
  <c r="Q474" i="3"/>
  <c r="S474" i="3"/>
  <c r="O474" i="3"/>
  <c r="U474" i="3"/>
  <c r="AF474" i="3"/>
  <c r="M474" i="3"/>
  <c r="AD474" i="3"/>
  <c r="AE474" i="3"/>
  <c r="AG474" i="3" s="1"/>
  <c r="AK474" i="3"/>
  <c r="AM474" i="3"/>
  <c r="V474" i="3"/>
  <c r="P474" i="3"/>
  <c r="R474" i="3"/>
  <c r="T474" i="3"/>
  <c r="AT472" i="3"/>
  <c r="X473" i="3"/>
  <c r="BD470" i="3"/>
  <c r="BG470" i="3"/>
  <c r="BH470" i="3" s="1"/>
  <c r="BI470" i="3" s="1"/>
  <c r="AN474" i="3" l="1"/>
  <c r="Y474" i="3"/>
  <c r="Z474" i="3" s="1"/>
  <c r="AH474" i="3"/>
  <c r="AO474" i="3"/>
  <c r="AW474" i="3" s="1"/>
  <c r="BD471" i="3"/>
  <c r="BG471" i="3"/>
  <c r="BH471" i="3" s="1"/>
  <c r="BI471" i="3" s="1"/>
  <c r="AV473" i="3"/>
  <c r="BA472" i="3"/>
  <c r="AV472" i="3"/>
  <c r="BC472" i="3" s="1"/>
  <c r="AU474" i="3"/>
  <c r="AX473" i="3"/>
  <c r="AY473" i="3" s="1"/>
  <c r="BQ471" i="3"/>
  <c r="BF471" i="3"/>
  <c r="BJ470" i="3" s="1"/>
  <c r="BK470" i="3" s="1"/>
  <c r="BB471" i="3"/>
  <c r="BN474" i="3"/>
  <c r="X474" i="3"/>
  <c r="B475" i="3"/>
  <c r="C475" i="3"/>
  <c r="AR475" i="3"/>
  <c r="D475" i="3"/>
  <c r="AQ475" i="3"/>
  <c r="A476" i="3"/>
  <c r="F475" i="3"/>
  <c r="BM475" i="3" s="1"/>
  <c r="G475" i="3"/>
  <c r="H475" i="3" s="1"/>
  <c r="BN475" i="3" s="1"/>
  <c r="Q475" i="3"/>
  <c r="S475" i="3"/>
  <c r="O475" i="3"/>
  <c r="U475" i="3"/>
  <c r="AE475" i="3"/>
  <c r="M475" i="3"/>
  <c r="AD475" i="3"/>
  <c r="AF475" i="3"/>
  <c r="AK475" i="3"/>
  <c r="AM475" i="3"/>
  <c r="T475" i="3"/>
  <c r="R475" i="3"/>
  <c r="V475" i="3"/>
  <c r="P475" i="3"/>
  <c r="AW473" i="3"/>
  <c r="AN475" i="3" l="1"/>
  <c r="AX474" i="3"/>
  <c r="AY474" i="3" s="1"/>
  <c r="AT474" i="3"/>
  <c r="BA474" i="3"/>
  <c r="BA473" i="3"/>
  <c r="BQ474" i="3"/>
  <c r="BB474" i="3"/>
  <c r="BF474" i="3"/>
  <c r="BB473" i="3"/>
  <c r="BQ473" i="3"/>
  <c r="BF473" i="3"/>
  <c r="BC473" i="3"/>
  <c r="Y475" i="3"/>
  <c r="Z475" i="3" s="1"/>
  <c r="AV474" i="3"/>
  <c r="AG475" i="3"/>
  <c r="BD472" i="3"/>
  <c r="BG472" i="3"/>
  <c r="BH472" i="3" s="1"/>
  <c r="BI472" i="3" s="1"/>
  <c r="BF472" i="3"/>
  <c r="BJ471" i="3" s="1"/>
  <c r="BK471" i="3" s="1"/>
  <c r="BB472" i="3"/>
  <c r="BQ472" i="3"/>
  <c r="D476" i="3"/>
  <c r="C476" i="3"/>
  <c r="B476" i="3"/>
  <c r="AQ476" i="3"/>
  <c r="AR476" i="3"/>
  <c r="A477" i="3"/>
  <c r="G476" i="3"/>
  <c r="H476" i="3" s="1"/>
  <c r="F476" i="3"/>
  <c r="Q476" i="3"/>
  <c r="S476" i="3"/>
  <c r="O476" i="3"/>
  <c r="U476" i="3"/>
  <c r="AF476" i="3"/>
  <c r="M476" i="3"/>
  <c r="AE476" i="3"/>
  <c r="AD476" i="3"/>
  <c r="AK476" i="3"/>
  <c r="AM476" i="3"/>
  <c r="R476" i="3"/>
  <c r="P476" i="3"/>
  <c r="V476" i="3"/>
  <c r="T476" i="3"/>
  <c r="X475" i="3"/>
  <c r="AO475" i="3"/>
  <c r="AH475" i="3"/>
  <c r="BC474" i="3" l="1"/>
  <c r="AX475" i="3"/>
  <c r="AO476" i="3"/>
  <c r="AG476" i="3"/>
  <c r="X476" i="3"/>
  <c r="AW475" i="3"/>
  <c r="AY475" i="3" s="1"/>
  <c r="BD474" i="3"/>
  <c r="BG474" i="3"/>
  <c r="BH474" i="3" s="1"/>
  <c r="BI474" i="3" s="1"/>
  <c r="AT475" i="3"/>
  <c r="BM476" i="3"/>
  <c r="BD473" i="3"/>
  <c r="BG473" i="3"/>
  <c r="BH473" i="3" s="1"/>
  <c r="BI473" i="3" s="1"/>
  <c r="AU475" i="3"/>
  <c r="BJ472" i="3"/>
  <c r="BK472" i="3" s="1"/>
  <c r="B477" i="3"/>
  <c r="AR477" i="3"/>
  <c r="D477" i="3"/>
  <c r="AQ477" i="3"/>
  <c r="A478" i="3"/>
  <c r="C477" i="3"/>
  <c r="F477" i="3"/>
  <c r="BM477" i="3" s="1"/>
  <c r="G477" i="3"/>
  <c r="H477" i="3" s="1"/>
  <c r="Q477" i="3"/>
  <c r="S477" i="3"/>
  <c r="O477" i="3"/>
  <c r="U477" i="3"/>
  <c r="M477" i="3"/>
  <c r="AF477" i="3"/>
  <c r="AD477" i="3"/>
  <c r="AE477" i="3"/>
  <c r="AK477" i="3"/>
  <c r="AM477" i="3"/>
  <c r="V477" i="3"/>
  <c r="P477" i="3"/>
  <c r="T477" i="3"/>
  <c r="R477" i="3"/>
  <c r="Y476" i="3"/>
  <c r="Z476" i="3" s="1"/>
  <c r="BJ473" i="3"/>
  <c r="BK473" i="3" s="1"/>
  <c r="BN476" i="3"/>
  <c r="AH476" i="3"/>
  <c r="AT476" i="3" s="1"/>
  <c r="AN476" i="3"/>
  <c r="AN477" i="3" l="1"/>
  <c r="Y477" i="3"/>
  <c r="Z477" i="3" s="1"/>
  <c r="AH477" i="3"/>
  <c r="BA475" i="3"/>
  <c r="AV475" i="3"/>
  <c r="BC475" i="3" s="1"/>
  <c r="AU476" i="3"/>
  <c r="AO477" i="3"/>
  <c r="AQ478" i="3"/>
  <c r="B478" i="3"/>
  <c r="A479" i="3"/>
  <c r="AR478" i="3"/>
  <c r="C478" i="3"/>
  <c r="D478" i="3"/>
  <c r="G478" i="3"/>
  <c r="H478" i="3" s="1"/>
  <c r="BN478" i="3" s="1"/>
  <c r="F478" i="3"/>
  <c r="S478" i="3"/>
  <c r="Q478" i="3"/>
  <c r="O478" i="3"/>
  <c r="U478" i="3"/>
  <c r="AF478" i="3"/>
  <c r="AD478" i="3"/>
  <c r="AE478" i="3"/>
  <c r="AM478" i="3"/>
  <c r="M478" i="3"/>
  <c r="AK478" i="3"/>
  <c r="P478" i="3"/>
  <c r="V478" i="3"/>
  <c r="T478" i="3"/>
  <c r="R478" i="3"/>
  <c r="AG477" i="3"/>
  <c r="AU477" i="3" s="1"/>
  <c r="AX476" i="3"/>
  <c r="X477" i="3"/>
  <c r="BN477" i="3"/>
  <c r="AW476" i="3"/>
  <c r="AG478" i="3" l="1"/>
  <c r="AO478" i="3"/>
  <c r="BA476" i="3"/>
  <c r="AY476" i="3"/>
  <c r="AT477" i="3"/>
  <c r="BQ476" i="3"/>
  <c r="BF476" i="3"/>
  <c r="BB476" i="3"/>
  <c r="AV477" i="3"/>
  <c r="X478" i="3"/>
  <c r="Y478" i="3"/>
  <c r="Z478" i="3" s="1"/>
  <c r="AQ479" i="3"/>
  <c r="A480" i="3"/>
  <c r="D479" i="3"/>
  <c r="AR479" i="3"/>
  <c r="B479" i="3"/>
  <c r="C479" i="3"/>
  <c r="F479" i="3"/>
  <c r="BM479" i="3" s="1"/>
  <c r="G479" i="3"/>
  <c r="H479" i="3" s="1"/>
  <c r="Q479" i="3"/>
  <c r="S479" i="3"/>
  <c r="O479" i="3"/>
  <c r="U479" i="3"/>
  <c r="AE479" i="3"/>
  <c r="AD479" i="3"/>
  <c r="M479" i="3"/>
  <c r="AF479" i="3"/>
  <c r="AM479" i="3"/>
  <c r="AK479" i="3"/>
  <c r="R479" i="3"/>
  <c r="P479" i="3"/>
  <c r="V479" i="3"/>
  <c r="T479" i="3"/>
  <c r="BD475" i="3"/>
  <c r="BG475" i="3"/>
  <c r="BH475" i="3" s="1"/>
  <c r="BI475" i="3" s="1"/>
  <c r="AX477" i="3"/>
  <c r="AV476" i="3"/>
  <c r="BC476" i="3" s="1"/>
  <c r="AN478" i="3"/>
  <c r="AH478" i="3"/>
  <c r="BB475" i="3"/>
  <c r="BF475" i="3"/>
  <c r="BJ474" i="3" s="1"/>
  <c r="BK474" i="3" s="1"/>
  <c r="BQ475" i="3"/>
  <c r="AW477" i="3"/>
  <c r="AY477" i="3" s="1"/>
  <c r="BM478" i="3"/>
  <c r="AO479" i="3" l="1"/>
  <c r="AW478" i="3"/>
  <c r="AX478" i="3"/>
  <c r="AY478" i="3" s="1"/>
  <c r="BN479" i="3"/>
  <c r="AQ480" i="3"/>
  <c r="A481" i="3"/>
  <c r="B480" i="3"/>
  <c r="D480" i="3"/>
  <c r="AR480" i="3"/>
  <c r="C480" i="3"/>
  <c r="G480" i="3"/>
  <c r="H480" i="3" s="1"/>
  <c r="BN480" i="3" s="1"/>
  <c r="F480" i="3"/>
  <c r="BM480" i="3" s="1"/>
  <c r="Q480" i="3"/>
  <c r="S480" i="3"/>
  <c r="O480" i="3"/>
  <c r="U480" i="3"/>
  <c r="AK480" i="3"/>
  <c r="AD480" i="3"/>
  <c r="AF480" i="3"/>
  <c r="AE480" i="3"/>
  <c r="M480" i="3"/>
  <c r="AM480" i="3"/>
  <c r="V480" i="3"/>
  <c r="R480" i="3"/>
  <c r="T480" i="3"/>
  <c r="P480" i="3"/>
  <c r="BA477" i="3"/>
  <c r="BG476" i="3"/>
  <c r="BH476" i="3" s="1"/>
  <c r="BI476" i="3" s="1"/>
  <c r="BD476" i="3"/>
  <c r="AN479" i="3"/>
  <c r="AG479" i="3"/>
  <c r="X479" i="3"/>
  <c r="BJ475" i="3"/>
  <c r="BK475" i="3" s="1"/>
  <c r="Y479" i="3"/>
  <c r="Z479" i="3" s="1"/>
  <c r="AH479" i="3"/>
  <c r="AU478" i="3"/>
  <c r="AT478" i="3"/>
  <c r="BC477" i="3"/>
  <c r="AO480" i="3" l="1"/>
  <c r="AH480" i="3"/>
  <c r="AW479" i="3"/>
  <c r="X480" i="3"/>
  <c r="Y480" i="3"/>
  <c r="Z480" i="3" s="1"/>
  <c r="AQ481" i="3"/>
  <c r="A482" i="3"/>
  <c r="AR481" i="3"/>
  <c r="D481" i="3"/>
  <c r="C481" i="3"/>
  <c r="B481" i="3"/>
  <c r="G481" i="3"/>
  <c r="H481" i="3" s="1"/>
  <c r="BN481" i="3" s="1"/>
  <c r="F481" i="3"/>
  <c r="BM481" i="3" s="1"/>
  <c r="Q481" i="3"/>
  <c r="S481" i="3"/>
  <c r="O481" i="3"/>
  <c r="U481" i="3"/>
  <c r="AD481" i="3"/>
  <c r="AF481" i="3"/>
  <c r="AE481" i="3"/>
  <c r="AK481" i="3"/>
  <c r="M481" i="3"/>
  <c r="AM481" i="3"/>
  <c r="AN481" i="3" s="1"/>
  <c r="R481" i="3"/>
  <c r="V481" i="3"/>
  <c r="P481" i="3"/>
  <c r="T481" i="3"/>
  <c r="AT480" i="3"/>
  <c r="BA478" i="3"/>
  <c r="AV478" i="3"/>
  <c r="BC478" i="3" s="1"/>
  <c r="AX479" i="3"/>
  <c r="AY479" i="3" s="1"/>
  <c r="AU480" i="3"/>
  <c r="BQ477" i="3"/>
  <c r="BF477" i="3"/>
  <c r="BJ476" i="3" s="1"/>
  <c r="BK476" i="3" s="1"/>
  <c r="BB477" i="3"/>
  <c r="BD477" i="3"/>
  <c r="BG477" i="3"/>
  <c r="BH477" i="3" s="1"/>
  <c r="BI477" i="3" s="1"/>
  <c r="AN480" i="3"/>
  <c r="AU479" i="3"/>
  <c r="AG480" i="3"/>
  <c r="AW480" i="3" s="1"/>
  <c r="AT479" i="3"/>
  <c r="AG481" i="3" l="1"/>
  <c r="X481" i="3"/>
  <c r="AX480" i="3"/>
  <c r="AY480" i="3" s="1"/>
  <c r="BB478" i="3"/>
  <c r="BQ478" i="3"/>
  <c r="BF478" i="3"/>
  <c r="BJ477" i="3" s="1"/>
  <c r="BK477" i="3" s="1"/>
  <c r="BD478" i="3"/>
  <c r="BG478" i="3"/>
  <c r="BH478" i="3" s="1"/>
  <c r="BI478" i="3" s="1"/>
  <c r="B482" i="3"/>
  <c r="A483" i="3"/>
  <c r="AR482" i="3"/>
  <c r="D482" i="3"/>
  <c r="AQ482" i="3"/>
  <c r="C482" i="3"/>
  <c r="F482" i="3"/>
  <c r="G482" i="3"/>
  <c r="H482" i="3" s="1"/>
  <c r="BN482" i="3" s="1"/>
  <c r="Q482" i="3"/>
  <c r="S482" i="3"/>
  <c r="O482" i="3"/>
  <c r="U482" i="3"/>
  <c r="M482" i="3"/>
  <c r="AF482" i="3"/>
  <c r="AD482" i="3"/>
  <c r="AE482" i="3"/>
  <c r="AM482" i="3"/>
  <c r="AK482" i="3"/>
  <c r="V482" i="3"/>
  <c r="T482" i="3"/>
  <c r="P482" i="3"/>
  <c r="R482" i="3"/>
  <c r="AO481" i="3"/>
  <c r="AV480" i="3"/>
  <c r="BC480" i="3" s="1"/>
  <c r="AV479" i="3"/>
  <c r="BC479" i="3" s="1"/>
  <c r="BA479" i="3"/>
  <c r="Y481" i="3"/>
  <c r="Z481" i="3" s="1"/>
  <c r="AH481" i="3"/>
  <c r="BA480" i="3" l="1"/>
  <c r="AO482" i="3"/>
  <c r="BM482" i="3"/>
  <c r="AN482" i="3"/>
  <c r="AH482" i="3"/>
  <c r="AW481" i="3"/>
  <c r="BD479" i="3"/>
  <c r="BG479" i="3"/>
  <c r="BH479" i="3" s="1"/>
  <c r="BI479" i="3" s="1"/>
  <c r="BD480" i="3"/>
  <c r="BG480" i="3"/>
  <c r="BH480" i="3" s="1"/>
  <c r="BI480" i="3" s="1"/>
  <c r="AT481" i="3"/>
  <c r="BQ480" i="3"/>
  <c r="BF480" i="3"/>
  <c r="BB480" i="3"/>
  <c r="Y482" i="3"/>
  <c r="Z482" i="3" s="1"/>
  <c r="AG482" i="3"/>
  <c r="AX481" i="3"/>
  <c r="AU481" i="3"/>
  <c r="B483" i="3"/>
  <c r="AR483" i="3"/>
  <c r="AQ483" i="3"/>
  <c r="A484" i="3"/>
  <c r="D483" i="3"/>
  <c r="C483" i="3"/>
  <c r="G483" i="3"/>
  <c r="H483" i="3" s="1"/>
  <c r="BN483" i="3" s="1"/>
  <c r="F483" i="3"/>
  <c r="BM483" i="3" s="1"/>
  <c r="Q483" i="3"/>
  <c r="S483" i="3"/>
  <c r="O483" i="3"/>
  <c r="U483" i="3"/>
  <c r="AD483" i="3"/>
  <c r="AF483" i="3"/>
  <c r="AK483" i="3"/>
  <c r="AE483" i="3"/>
  <c r="AM483" i="3"/>
  <c r="M483" i="3"/>
  <c r="R483" i="3"/>
  <c r="T483" i="3"/>
  <c r="P483" i="3"/>
  <c r="V483" i="3"/>
  <c r="X482" i="3"/>
  <c r="BF479" i="3"/>
  <c r="BJ478" i="3" s="1"/>
  <c r="BK478" i="3" s="1"/>
  <c r="BB479" i="3"/>
  <c r="BQ479" i="3"/>
  <c r="AW482" i="3" l="1"/>
  <c r="AY481" i="3"/>
  <c r="BJ479" i="3"/>
  <c r="BK479" i="3" s="1"/>
  <c r="AO483" i="3"/>
  <c r="AV481" i="3"/>
  <c r="BC481" i="3" s="1"/>
  <c r="BA481" i="3"/>
  <c r="AU482" i="3"/>
  <c r="X483" i="3"/>
  <c r="AX482" i="3"/>
  <c r="AY482" i="3" s="1"/>
  <c r="AN483" i="3"/>
  <c r="AH483" i="3"/>
  <c r="Y483" i="3"/>
  <c r="Z483" i="3" s="1"/>
  <c r="C484" i="3"/>
  <c r="B484" i="3"/>
  <c r="AQ484" i="3"/>
  <c r="AR484" i="3"/>
  <c r="A485" i="3"/>
  <c r="D484" i="3"/>
  <c r="F484" i="3"/>
  <c r="G484" i="3"/>
  <c r="H484" i="3" s="1"/>
  <c r="Q484" i="3"/>
  <c r="S484" i="3"/>
  <c r="O484" i="3"/>
  <c r="U484" i="3"/>
  <c r="AD484" i="3"/>
  <c r="AF484" i="3"/>
  <c r="M484" i="3"/>
  <c r="AK484" i="3"/>
  <c r="AE484" i="3"/>
  <c r="AG484" i="3" s="1"/>
  <c r="AM484" i="3"/>
  <c r="R484" i="3"/>
  <c r="P484" i="3"/>
  <c r="V484" i="3"/>
  <c r="T484" i="3"/>
  <c r="AG483" i="3"/>
  <c r="AT482" i="3"/>
  <c r="AN484" i="3" l="1"/>
  <c r="BN484" i="3"/>
  <c r="AX483" i="3"/>
  <c r="AR485" i="3"/>
  <c r="C485" i="3"/>
  <c r="AQ485" i="3"/>
  <c r="B485" i="3"/>
  <c r="A486" i="3"/>
  <c r="D485" i="3"/>
  <c r="G485" i="3"/>
  <c r="H485" i="3" s="1"/>
  <c r="BN485" i="3" s="1"/>
  <c r="F485" i="3"/>
  <c r="BM485" i="3" s="1"/>
  <c r="Q485" i="3"/>
  <c r="S485" i="3"/>
  <c r="O485" i="3"/>
  <c r="U485" i="3"/>
  <c r="AE485" i="3"/>
  <c r="M485" i="3"/>
  <c r="AF485" i="3"/>
  <c r="AD485" i="3"/>
  <c r="AM485" i="3"/>
  <c r="AK485" i="3"/>
  <c r="R485" i="3"/>
  <c r="P485" i="3"/>
  <c r="V485" i="3"/>
  <c r="T485" i="3"/>
  <c r="AW483" i="3"/>
  <c r="Y484" i="3"/>
  <c r="Z484" i="3" s="1"/>
  <c r="AO484" i="3"/>
  <c r="AH484" i="3"/>
  <c r="BM484" i="3"/>
  <c r="BG481" i="3"/>
  <c r="BH481" i="3" s="1"/>
  <c r="BI481" i="3" s="1"/>
  <c r="BD481" i="3"/>
  <c r="AT484" i="3"/>
  <c r="X484" i="3"/>
  <c r="AT483" i="3"/>
  <c r="BA482" i="3"/>
  <c r="AV482" i="3"/>
  <c r="BC482" i="3" s="1"/>
  <c r="BF481" i="3"/>
  <c r="BJ480" i="3" s="1"/>
  <c r="BK480" i="3" s="1"/>
  <c r="BB481" i="3"/>
  <c r="BQ481" i="3"/>
  <c r="AU483" i="3"/>
  <c r="AX484" i="3" l="1"/>
  <c r="AY483" i="3"/>
  <c r="AN485" i="3"/>
  <c r="AH485" i="3"/>
  <c r="AG485" i="3"/>
  <c r="AU485" i="3" s="1"/>
  <c r="AU484" i="3"/>
  <c r="AV484" i="3" s="1"/>
  <c r="AW484" i="3"/>
  <c r="AY484" i="3" s="1"/>
  <c r="Y485" i="3"/>
  <c r="Z485" i="3" s="1"/>
  <c r="B486" i="3"/>
  <c r="A487" i="3"/>
  <c r="AQ486" i="3"/>
  <c r="AR486" i="3"/>
  <c r="D486" i="3"/>
  <c r="C486" i="3"/>
  <c r="F486" i="3"/>
  <c r="G486" i="3"/>
  <c r="H486" i="3" s="1"/>
  <c r="Q486" i="3"/>
  <c r="S486" i="3"/>
  <c r="O486" i="3"/>
  <c r="U486" i="3"/>
  <c r="AE486" i="3"/>
  <c r="AF486" i="3"/>
  <c r="M486" i="3"/>
  <c r="AD486" i="3"/>
  <c r="AH486" i="3" s="1"/>
  <c r="AK486" i="3"/>
  <c r="AM486" i="3"/>
  <c r="P486" i="3"/>
  <c r="R486" i="3"/>
  <c r="V486" i="3"/>
  <c r="T486" i="3"/>
  <c r="BF482" i="3"/>
  <c r="BJ481" i="3" s="1"/>
  <c r="BK481" i="3" s="1"/>
  <c r="BB482" i="3"/>
  <c r="BQ482" i="3"/>
  <c r="BA483" i="3"/>
  <c r="AV483" i="3"/>
  <c r="BC483" i="3" s="1"/>
  <c r="AO485" i="3"/>
  <c r="X485" i="3"/>
  <c r="BD482" i="3"/>
  <c r="BG482" i="3"/>
  <c r="BH482" i="3" s="1"/>
  <c r="BI482" i="3" s="1"/>
  <c r="AT485" i="3"/>
  <c r="AN486" i="3" l="1"/>
  <c r="BN486" i="3"/>
  <c r="Y486" i="3"/>
  <c r="Z486" i="3" s="1"/>
  <c r="AO486" i="3"/>
  <c r="BA484" i="3"/>
  <c r="AG486" i="3"/>
  <c r="AW486" i="3" s="1"/>
  <c r="BF483" i="3"/>
  <c r="BJ482" i="3" s="1"/>
  <c r="BK482" i="3" s="1"/>
  <c r="BQ483" i="3"/>
  <c r="BB483" i="3"/>
  <c r="BM486" i="3"/>
  <c r="AV485" i="3"/>
  <c r="AQ487" i="3"/>
  <c r="B487" i="3"/>
  <c r="AR487" i="3"/>
  <c r="A488" i="3"/>
  <c r="D487" i="3"/>
  <c r="C487" i="3"/>
  <c r="G487" i="3"/>
  <c r="H487" i="3" s="1"/>
  <c r="F487" i="3"/>
  <c r="Q487" i="3"/>
  <c r="S487" i="3"/>
  <c r="O487" i="3"/>
  <c r="U487" i="3"/>
  <c r="AF487" i="3"/>
  <c r="AD487" i="3"/>
  <c r="M487" i="3"/>
  <c r="AE487" i="3"/>
  <c r="AM487" i="3"/>
  <c r="AK487" i="3"/>
  <c r="P487" i="3"/>
  <c r="V487" i="3"/>
  <c r="T487" i="3"/>
  <c r="R487" i="3"/>
  <c r="X486" i="3"/>
  <c r="AW485" i="3"/>
  <c r="BC484" i="3"/>
  <c r="BD483" i="3"/>
  <c r="BG483" i="3"/>
  <c r="BH483" i="3" s="1"/>
  <c r="BI483" i="3" s="1"/>
  <c r="AX485" i="3"/>
  <c r="AY485" i="3" s="1"/>
  <c r="AO487" i="3" l="1"/>
  <c r="BM487" i="3"/>
  <c r="BN487" i="3"/>
  <c r="BQ484" i="3"/>
  <c r="BF484" i="3"/>
  <c r="BJ483" i="3" s="1"/>
  <c r="BK483" i="3" s="1"/>
  <c r="BB484" i="3"/>
  <c r="AH487" i="3"/>
  <c r="AX486" i="3"/>
  <c r="AY486" i="3" s="1"/>
  <c r="X487" i="3"/>
  <c r="AT486" i="3"/>
  <c r="BC485" i="3"/>
  <c r="BD484" i="3"/>
  <c r="BG484" i="3"/>
  <c r="BH484" i="3" s="1"/>
  <c r="BI484" i="3" s="1"/>
  <c r="AU486" i="3"/>
  <c r="AN487" i="3"/>
  <c r="BA485" i="3"/>
  <c r="AG487" i="3"/>
  <c r="Y487" i="3"/>
  <c r="Z487" i="3" s="1"/>
  <c r="AQ488" i="3"/>
  <c r="A489" i="3"/>
  <c r="AR488" i="3"/>
  <c r="C488" i="3"/>
  <c r="D488" i="3"/>
  <c r="B488" i="3"/>
  <c r="G488" i="3"/>
  <c r="H488" i="3" s="1"/>
  <c r="BN488" i="3" s="1"/>
  <c r="F488" i="3"/>
  <c r="BM488" i="3" s="1"/>
  <c r="Q488" i="3"/>
  <c r="S488" i="3"/>
  <c r="O488" i="3"/>
  <c r="U488" i="3"/>
  <c r="M488" i="3"/>
  <c r="AF488" i="3"/>
  <c r="AD488" i="3"/>
  <c r="AE488" i="3"/>
  <c r="AM488" i="3"/>
  <c r="AK488" i="3"/>
  <c r="V488" i="3"/>
  <c r="P488" i="3"/>
  <c r="R488" i="3"/>
  <c r="T488" i="3"/>
  <c r="AT487" i="3" l="1"/>
  <c r="AG488" i="3"/>
  <c r="AO488" i="3"/>
  <c r="X488" i="3"/>
  <c r="AQ489" i="3"/>
  <c r="B489" i="3"/>
  <c r="A490" i="3"/>
  <c r="AR489" i="3"/>
  <c r="D489" i="3"/>
  <c r="C489" i="3"/>
  <c r="F489" i="3"/>
  <c r="BM489" i="3" s="1"/>
  <c r="G489" i="3"/>
  <c r="H489" i="3" s="1"/>
  <c r="BN489" i="3" s="1"/>
  <c r="Q489" i="3"/>
  <c r="S489" i="3"/>
  <c r="O489" i="3"/>
  <c r="U489" i="3"/>
  <c r="AF489" i="3"/>
  <c r="AE489" i="3"/>
  <c r="AD489" i="3"/>
  <c r="M489" i="3"/>
  <c r="AK489" i="3"/>
  <c r="AM489" i="3"/>
  <c r="R489" i="3"/>
  <c r="V489" i="3"/>
  <c r="T489" i="3"/>
  <c r="P489" i="3"/>
  <c r="AN488" i="3"/>
  <c r="AU488" i="3"/>
  <c r="BB485" i="3"/>
  <c r="BF485" i="3"/>
  <c r="BJ484" i="3" s="1"/>
  <c r="BK484" i="3" s="1"/>
  <c r="BQ485" i="3"/>
  <c r="BD485" i="3"/>
  <c r="BG485" i="3"/>
  <c r="BH485" i="3" s="1"/>
  <c r="BI485" i="3" s="1"/>
  <c r="BA486" i="3"/>
  <c r="AV486" i="3"/>
  <c r="BC486" i="3" s="1"/>
  <c r="AW487" i="3"/>
  <c r="AX487" i="3"/>
  <c r="Y488" i="3"/>
  <c r="Z488" i="3" s="1"/>
  <c r="AH488" i="3"/>
  <c r="AU487" i="3"/>
  <c r="AV487" i="3" s="1"/>
  <c r="AN489" i="3" l="1"/>
  <c r="AH489" i="3"/>
  <c r="AY487" i="3"/>
  <c r="BC487" i="3" s="1"/>
  <c r="AW488" i="3"/>
  <c r="AX488" i="3"/>
  <c r="AQ490" i="3"/>
  <c r="B490" i="3"/>
  <c r="AR490" i="3"/>
  <c r="D490" i="3"/>
  <c r="A491" i="3"/>
  <c r="C490" i="3"/>
  <c r="F490" i="3"/>
  <c r="BM490" i="3" s="1"/>
  <c r="G490" i="3"/>
  <c r="H490" i="3" s="1"/>
  <c r="BN490" i="3" s="1"/>
  <c r="Q490" i="3"/>
  <c r="S490" i="3"/>
  <c r="O490" i="3"/>
  <c r="U490" i="3"/>
  <c r="AD490" i="3"/>
  <c r="AE490" i="3"/>
  <c r="AF490" i="3"/>
  <c r="AK490" i="3"/>
  <c r="AM490" i="3"/>
  <c r="M490" i="3"/>
  <c r="V490" i="3"/>
  <c r="R490" i="3"/>
  <c r="P490" i="3"/>
  <c r="T490" i="3"/>
  <c r="BD486" i="3"/>
  <c r="BG486" i="3"/>
  <c r="BH486" i="3" s="1"/>
  <c r="BI486" i="3" s="1"/>
  <c r="BB486" i="3"/>
  <c r="BQ486" i="3"/>
  <c r="BF486" i="3"/>
  <c r="BJ485" i="3" s="1"/>
  <c r="BK485" i="3" s="1"/>
  <c r="Y489" i="3"/>
  <c r="Z489" i="3" s="1"/>
  <c r="BA487" i="3"/>
  <c r="AO489" i="3"/>
  <c r="AT488" i="3"/>
  <c r="AG489" i="3"/>
  <c r="X489" i="3"/>
  <c r="AW489" i="3" l="1"/>
  <c r="AN490" i="3"/>
  <c r="AY488" i="3"/>
  <c r="BD487" i="3"/>
  <c r="BG487" i="3"/>
  <c r="BH487" i="3" s="1"/>
  <c r="BI487" i="3" s="1"/>
  <c r="AH490" i="3"/>
  <c r="B491" i="3"/>
  <c r="AQ491" i="3"/>
  <c r="A492" i="3"/>
  <c r="D491" i="3"/>
  <c r="C491" i="3"/>
  <c r="AR491" i="3"/>
  <c r="G491" i="3"/>
  <c r="H491" i="3" s="1"/>
  <c r="BN491" i="3" s="1"/>
  <c r="F491" i="3"/>
  <c r="BM491" i="3" s="1"/>
  <c r="S491" i="3"/>
  <c r="Q491" i="3"/>
  <c r="O491" i="3"/>
  <c r="U491" i="3"/>
  <c r="AD491" i="3"/>
  <c r="M491" i="3"/>
  <c r="AE491" i="3"/>
  <c r="AF491" i="3"/>
  <c r="AM491" i="3"/>
  <c r="AK491" i="3"/>
  <c r="AO491" i="3" s="1"/>
  <c r="R491" i="3"/>
  <c r="P491" i="3"/>
  <c r="V491" i="3"/>
  <c r="T491" i="3"/>
  <c r="Y490" i="3"/>
  <c r="Z490" i="3" s="1"/>
  <c r="BA488" i="3"/>
  <c r="AV488" i="3"/>
  <c r="BC488" i="3" s="1"/>
  <c r="AO490" i="3"/>
  <c r="AX490" i="3" s="1"/>
  <c r="BQ487" i="3"/>
  <c r="BB487" i="3"/>
  <c r="BF487" i="3"/>
  <c r="BJ486" i="3" s="1"/>
  <c r="BK486" i="3" s="1"/>
  <c r="X490" i="3"/>
  <c r="AX489" i="3"/>
  <c r="AY489" i="3" s="1"/>
  <c r="AG490" i="3"/>
  <c r="AU489" i="3"/>
  <c r="AT489" i="3"/>
  <c r="AH491" i="3" l="1"/>
  <c r="Y491" i="3"/>
  <c r="Z491" i="3" s="1"/>
  <c r="X491" i="3"/>
  <c r="BQ488" i="3"/>
  <c r="BB488" i="3"/>
  <c r="BF488" i="3"/>
  <c r="BJ487" i="3" s="1"/>
  <c r="BK487" i="3" s="1"/>
  <c r="BD488" i="3"/>
  <c r="BG488" i="3"/>
  <c r="BH488" i="3" s="1"/>
  <c r="BI488" i="3" s="1"/>
  <c r="BA489" i="3"/>
  <c r="AV489" i="3"/>
  <c r="BC489" i="3" s="1"/>
  <c r="AW490" i="3"/>
  <c r="AY490" i="3" s="1"/>
  <c r="B492" i="3"/>
  <c r="AQ492" i="3"/>
  <c r="AR492" i="3"/>
  <c r="A493" i="3"/>
  <c r="D492" i="3"/>
  <c r="C492" i="3"/>
  <c r="G492" i="3"/>
  <c r="H492" i="3" s="1"/>
  <c r="F492" i="3"/>
  <c r="S492" i="3"/>
  <c r="Q492" i="3"/>
  <c r="O492" i="3"/>
  <c r="U492" i="3"/>
  <c r="AD492" i="3"/>
  <c r="AF492" i="3"/>
  <c r="AE492" i="3"/>
  <c r="M492" i="3"/>
  <c r="AK492" i="3"/>
  <c r="AM492" i="3"/>
  <c r="V492" i="3"/>
  <c r="R492" i="3"/>
  <c r="P492" i="3"/>
  <c r="T492" i="3"/>
  <c r="AU490" i="3"/>
  <c r="AN491" i="3"/>
  <c r="AG491" i="3"/>
  <c r="AW491" i="3" s="1"/>
  <c r="AT490" i="3"/>
  <c r="AN492" i="3" l="1"/>
  <c r="BM492" i="3"/>
  <c r="BN492" i="3"/>
  <c r="Y492" i="3"/>
  <c r="Z492" i="3" s="1"/>
  <c r="AO492" i="3"/>
  <c r="AX491" i="3"/>
  <c r="AY491" i="3" s="1"/>
  <c r="AH492" i="3"/>
  <c r="BF489" i="3"/>
  <c r="BJ488" i="3" s="1"/>
  <c r="BK488" i="3" s="1"/>
  <c r="BQ489" i="3"/>
  <c r="BB489" i="3"/>
  <c r="BA490" i="3"/>
  <c r="AV490" i="3"/>
  <c r="BC490" i="3" s="1"/>
  <c r="AT491" i="3"/>
  <c r="AU491" i="3"/>
  <c r="AG492" i="3"/>
  <c r="AW492" i="3" s="1"/>
  <c r="BD489" i="3"/>
  <c r="BG489" i="3"/>
  <c r="BH489" i="3" s="1"/>
  <c r="BI489" i="3" s="1"/>
  <c r="X492" i="3"/>
  <c r="D493" i="3"/>
  <c r="AQ493" i="3"/>
  <c r="B493" i="3"/>
  <c r="A494" i="3"/>
  <c r="AR493" i="3"/>
  <c r="C493" i="3"/>
  <c r="F493" i="3"/>
  <c r="BM493" i="3" s="1"/>
  <c r="G493" i="3"/>
  <c r="H493" i="3" s="1"/>
  <c r="BN493" i="3" s="1"/>
  <c r="Q493" i="3"/>
  <c r="S493" i="3"/>
  <c r="O493" i="3"/>
  <c r="U493" i="3"/>
  <c r="AF493" i="3"/>
  <c r="M493" i="3"/>
  <c r="AD493" i="3"/>
  <c r="AE493" i="3"/>
  <c r="AK493" i="3"/>
  <c r="AM493" i="3"/>
  <c r="R493" i="3"/>
  <c r="T493" i="3"/>
  <c r="V493" i="3"/>
  <c r="P493" i="3"/>
  <c r="AN493" i="3" l="1"/>
  <c r="AG493" i="3"/>
  <c r="Y493" i="3"/>
  <c r="Z493" i="3" s="1"/>
  <c r="AX492" i="3"/>
  <c r="AY492" i="3" s="1"/>
  <c r="AH493" i="3"/>
  <c r="BF490" i="3"/>
  <c r="BJ489" i="3" s="1"/>
  <c r="BK489" i="3" s="1"/>
  <c r="BQ490" i="3"/>
  <c r="BB490" i="3"/>
  <c r="AT493" i="3"/>
  <c r="B494" i="3"/>
  <c r="A495" i="3"/>
  <c r="AQ494" i="3"/>
  <c r="AR494" i="3"/>
  <c r="C494" i="3"/>
  <c r="D494" i="3"/>
  <c r="G494" i="3"/>
  <c r="H494" i="3" s="1"/>
  <c r="BN494" i="3" s="1"/>
  <c r="F494" i="3"/>
  <c r="BM494" i="3" s="1"/>
  <c r="S494" i="3"/>
  <c r="Q494" i="3"/>
  <c r="O494" i="3"/>
  <c r="U494" i="3"/>
  <c r="AF494" i="3"/>
  <c r="AD494" i="3"/>
  <c r="AE494" i="3"/>
  <c r="AG494" i="3" s="1"/>
  <c r="AM494" i="3"/>
  <c r="M494" i="3"/>
  <c r="AK494" i="3"/>
  <c r="V494" i="3"/>
  <c r="P494" i="3"/>
  <c r="R494" i="3"/>
  <c r="T494" i="3"/>
  <c r="AU493" i="3"/>
  <c r="AT492" i="3"/>
  <c r="X493" i="3"/>
  <c r="AV491" i="3"/>
  <c r="BC491" i="3" s="1"/>
  <c r="BA491" i="3"/>
  <c r="BD490" i="3"/>
  <c r="BG490" i="3"/>
  <c r="BH490" i="3" s="1"/>
  <c r="BI490" i="3" s="1"/>
  <c r="AO493" i="3"/>
  <c r="AU492" i="3"/>
  <c r="AO494" i="3" l="1"/>
  <c r="AV492" i="3"/>
  <c r="BC492" i="3" s="1"/>
  <c r="BA492" i="3"/>
  <c r="Y494" i="3"/>
  <c r="Z494" i="3" s="1"/>
  <c r="AH494" i="3"/>
  <c r="AX493" i="3"/>
  <c r="X494" i="3"/>
  <c r="AR495" i="3"/>
  <c r="B495" i="3"/>
  <c r="D495" i="3"/>
  <c r="AQ495" i="3"/>
  <c r="A496" i="3"/>
  <c r="C495" i="3"/>
  <c r="F495" i="3"/>
  <c r="G495" i="3"/>
  <c r="H495" i="3" s="1"/>
  <c r="Q495" i="3"/>
  <c r="S495" i="3"/>
  <c r="O495" i="3"/>
  <c r="U495" i="3"/>
  <c r="AF495" i="3"/>
  <c r="AD495" i="3"/>
  <c r="AE495" i="3"/>
  <c r="AK495" i="3"/>
  <c r="M495" i="3"/>
  <c r="AM495" i="3"/>
  <c r="AN495" i="3" s="1"/>
  <c r="T495" i="3"/>
  <c r="R495" i="3"/>
  <c r="P495" i="3"/>
  <c r="V495" i="3"/>
  <c r="AN494" i="3"/>
  <c r="AV493" i="3"/>
  <c r="BQ491" i="3"/>
  <c r="BB491" i="3"/>
  <c r="BF491" i="3"/>
  <c r="BJ490" i="3" s="1"/>
  <c r="BK490" i="3" s="1"/>
  <c r="BD491" i="3"/>
  <c r="BG491" i="3"/>
  <c r="BH491" i="3" s="1"/>
  <c r="BI491" i="3" s="1"/>
  <c r="AW493" i="3"/>
  <c r="AG495" i="3" l="1"/>
  <c r="AY493" i="3"/>
  <c r="AX494" i="3"/>
  <c r="A497" i="3"/>
  <c r="C496" i="3"/>
  <c r="D496" i="3"/>
  <c r="AQ496" i="3"/>
  <c r="B496" i="3"/>
  <c r="AR496" i="3"/>
  <c r="G496" i="3"/>
  <c r="H496" i="3" s="1"/>
  <c r="BN496" i="3" s="1"/>
  <c r="F496" i="3"/>
  <c r="BM496" i="3" s="1"/>
  <c r="Q496" i="3"/>
  <c r="S496" i="3"/>
  <c r="O496" i="3"/>
  <c r="U496" i="3"/>
  <c r="AF496" i="3"/>
  <c r="M496" i="3"/>
  <c r="AD496" i="3"/>
  <c r="AE496" i="3"/>
  <c r="AK496" i="3"/>
  <c r="AM496" i="3"/>
  <c r="R496" i="3"/>
  <c r="P496" i="3"/>
  <c r="V496" i="3"/>
  <c r="T496" i="3"/>
  <c r="Y495" i="3"/>
  <c r="Z495" i="3" s="1"/>
  <c r="AU494" i="3"/>
  <c r="BD492" i="3"/>
  <c r="BG492" i="3"/>
  <c r="BH492" i="3" s="1"/>
  <c r="BI492" i="3" s="1"/>
  <c r="AO495" i="3"/>
  <c r="AW495" i="3" s="1"/>
  <c r="BC493" i="3"/>
  <c r="BN495" i="3"/>
  <c r="AW494" i="3"/>
  <c r="AH495" i="3"/>
  <c r="X495" i="3"/>
  <c r="BQ492" i="3"/>
  <c r="BF492" i="3"/>
  <c r="BJ491" i="3" s="1"/>
  <c r="BK491" i="3" s="1"/>
  <c r="BB492" i="3"/>
  <c r="BA493" i="3"/>
  <c r="BM495" i="3"/>
  <c r="AT494" i="3"/>
  <c r="AY494" i="3" l="1"/>
  <c r="AN496" i="3"/>
  <c r="AH496" i="3"/>
  <c r="X496" i="3"/>
  <c r="AX495" i="3"/>
  <c r="AY495" i="3" s="1"/>
  <c r="AU495" i="3"/>
  <c r="BD493" i="3"/>
  <c r="BG493" i="3"/>
  <c r="BH493" i="3" s="1"/>
  <c r="BI493" i="3" s="1"/>
  <c r="BA494" i="3"/>
  <c r="AV494" i="3"/>
  <c r="BQ493" i="3"/>
  <c r="BB493" i="3"/>
  <c r="BF493" i="3"/>
  <c r="BJ492" i="3" s="1"/>
  <c r="BK492" i="3" s="1"/>
  <c r="AT496" i="3"/>
  <c r="Y496" i="3"/>
  <c r="Z496" i="3" s="1"/>
  <c r="AU496" i="3"/>
  <c r="AO496" i="3"/>
  <c r="AQ497" i="3"/>
  <c r="B497" i="3"/>
  <c r="A498" i="3"/>
  <c r="AR497" i="3"/>
  <c r="C497" i="3"/>
  <c r="D497" i="3"/>
  <c r="G497" i="3"/>
  <c r="H497" i="3" s="1"/>
  <c r="BN497" i="3" s="1"/>
  <c r="F497" i="3"/>
  <c r="BM497" i="3" s="1"/>
  <c r="Q497" i="3"/>
  <c r="S497" i="3"/>
  <c r="O497" i="3"/>
  <c r="U497" i="3"/>
  <c r="AF497" i="3"/>
  <c r="AD497" i="3"/>
  <c r="AE497" i="3"/>
  <c r="M497" i="3"/>
  <c r="AK497" i="3"/>
  <c r="AM497" i="3"/>
  <c r="P497" i="3"/>
  <c r="R497" i="3"/>
  <c r="V497" i="3"/>
  <c r="T497" i="3"/>
  <c r="AG496" i="3"/>
  <c r="AT495" i="3"/>
  <c r="BC494" i="3" l="1"/>
  <c r="AG497" i="3"/>
  <c r="AN497" i="3"/>
  <c r="BD494" i="3"/>
  <c r="BG494" i="3"/>
  <c r="BH494" i="3" s="1"/>
  <c r="BI494" i="3" s="1"/>
  <c r="AH497" i="3"/>
  <c r="X497" i="3"/>
  <c r="AW496" i="3"/>
  <c r="AV496" i="3"/>
  <c r="BQ494" i="3"/>
  <c r="BB494" i="3"/>
  <c r="BF494" i="3"/>
  <c r="BJ493" i="3" s="1"/>
  <c r="BK493" i="3" s="1"/>
  <c r="AV495" i="3"/>
  <c r="BC495" i="3" s="1"/>
  <c r="BA495" i="3"/>
  <c r="Y497" i="3"/>
  <c r="Z497" i="3" s="1"/>
  <c r="AX496" i="3"/>
  <c r="BA496" i="3" s="1"/>
  <c r="AQ498" i="3"/>
  <c r="C498" i="3"/>
  <c r="D498" i="3"/>
  <c r="B498" i="3"/>
  <c r="A499" i="3"/>
  <c r="AR498" i="3"/>
  <c r="F498" i="3"/>
  <c r="BM498" i="3" s="1"/>
  <c r="G498" i="3"/>
  <c r="H498" i="3" s="1"/>
  <c r="BN498" i="3" s="1"/>
  <c r="Q498" i="3"/>
  <c r="S498" i="3"/>
  <c r="O498" i="3"/>
  <c r="U498" i="3"/>
  <c r="AD498" i="3"/>
  <c r="AF498" i="3"/>
  <c r="AE498" i="3"/>
  <c r="M498" i="3"/>
  <c r="AM498" i="3"/>
  <c r="AK498" i="3"/>
  <c r="V498" i="3"/>
  <c r="R498" i="3"/>
  <c r="P498" i="3"/>
  <c r="T498" i="3"/>
  <c r="AO497" i="3"/>
  <c r="AU497" i="3"/>
  <c r="AW497" i="3" l="1"/>
  <c r="AG498" i="3"/>
  <c r="AO498" i="3"/>
  <c r="BF496" i="3"/>
  <c r="BB496" i="3"/>
  <c r="BQ496" i="3"/>
  <c r="AH498" i="3"/>
  <c r="BD495" i="3"/>
  <c r="BG495" i="3"/>
  <c r="BH495" i="3" s="1"/>
  <c r="BI495" i="3" s="1"/>
  <c r="AT498" i="3"/>
  <c r="Y498" i="3"/>
  <c r="Z498" i="3" s="1"/>
  <c r="AX497" i="3"/>
  <c r="AY497" i="3" s="1"/>
  <c r="X498" i="3"/>
  <c r="AY496" i="3"/>
  <c r="BC496" i="3" s="1"/>
  <c r="BF495" i="3"/>
  <c r="BJ494" i="3" s="1"/>
  <c r="BK494" i="3" s="1"/>
  <c r="BB495" i="3"/>
  <c r="BQ495" i="3"/>
  <c r="B499" i="3"/>
  <c r="AQ499" i="3"/>
  <c r="A500" i="3"/>
  <c r="D499" i="3"/>
  <c r="C499" i="3"/>
  <c r="AR499" i="3"/>
  <c r="G499" i="3"/>
  <c r="H499" i="3" s="1"/>
  <c r="BN499" i="3" s="1"/>
  <c r="F499" i="3"/>
  <c r="BM499" i="3" s="1"/>
  <c r="S499" i="3"/>
  <c r="Q499" i="3"/>
  <c r="O499" i="3"/>
  <c r="U499" i="3"/>
  <c r="AF499" i="3"/>
  <c r="M499" i="3"/>
  <c r="AK499" i="3"/>
  <c r="AO499" i="3" s="1"/>
  <c r="AD499" i="3"/>
  <c r="AE499" i="3"/>
  <c r="AM499" i="3"/>
  <c r="R499" i="3"/>
  <c r="V499" i="3"/>
  <c r="P499" i="3"/>
  <c r="T499" i="3"/>
  <c r="AN498" i="3"/>
  <c r="AU498" i="3"/>
  <c r="AT497" i="3"/>
  <c r="AH499" i="3" l="1"/>
  <c r="X499" i="3"/>
  <c r="AV497" i="3"/>
  <c r="BC497" i="3" s="1"/>
  <c r="BA497" i="3"/>
  <c r="AV498" i="3"/>
  <c r="Y499" i="3"/>
  <c r="Z499" i="3" s="1"/>
  <c r="BD496" i="3"/>
  <c r="BG496" i="3"/>
  <c r="BH496" i="3" s="1"/>
  <c r="BI496" i="3" s="1"/>
  <c r="AT499" i="3"/>
  <c r="AX498" i="3"/>
  <c r="AW498" i="3"/>
  <c r="B500" i="3"/>
  <c r="AQ500" i="3"/>
  <c r="AR500" i="3"/>
  <c r="A501" i="3"/>
  <c r="D500" i="3"/>
  <c r="C500" i="3"/>
  <c r="G500" i="3"/>
  <c r="H500" i="3" s="1"/>
  <c r="F500" i="3"/>
  <c r="BM500" i="3" s="1"/>
  <c r="Q500" i="3"/>
  <c r="S500" i="3"/>
  <c r="O500" i="3"/>
  <c r="U500" i="3"/>
  <c r="AF500" i="3"/>
  <c r="AD500" i="3"/>
  <c r="AE500" i="3"/>
  <c r="M500" i="3"/>
  <c r="AK500" i="3"/>
  <c r="AM500" i="3"/>
  <c r="P500" i="3"/>
  <c r="V500" i="3"/>
  <c r="R500" i="3"/>
  <c r="T500" i="3"/>
  <c r="AN499" i="3"/>
  <c r="AG499" i="3"/>
  <c r="AW499" i="3" s="1"/>
  <c r="BJ495" i="3"/>
  <c r="BK495" i="3" s="1"/>
  <c r="AN500" i="3" l="1"/>
  <c r="AY498" i="3"/>
  <c r="BN500" i="3"/>
  <c r="AX499" i="3"/>
  <c r="AY499" i="3" s="1"/>
  <c r="AO500" i="3"/>
  <c r="X500" i="3"/>
  <c r="BD497" i="3"/>
  <c r="BG497" i="3"/>
  <c r="BH497" i="3" s="1"/>
  <c r="BI497" i="3" s="1"/>
  <c r="BA498" i="3"/>
  <c r="AU499" i="3"/>
  <c r="BA499" i="3" s="1"/>
  <c r="BC498" i="3"/>
  <c r="BQ497" i="3"/>
  <c r="BF497" i="3"/>
  <c r="BJ496" i="3" s="1"/>
  <c r="BK496" i="3" s="1"/>
  <c r="BB497" i="3"/>
  <c r="AH500" i="3"/>
  <c r="AG500" i="3"/>
  <c r="AW500" i="3" s="1"/>
  <c r="Y500" i="3"/>
  <c r="Z500" i="3" s="1"/>
  <c r="D501" i="3"/>
  <c r="AQ501" i="3"/>
  <c r="B501" i="3"/>
  <c r="A502" i="3"/>
  <c r="AR501" i="3"/>
  <c r="C501" i="3"/>
  <c r="F501" i="3"/>
  <c r="BM501" i="3" s="1"/>
  <c r="G501" i="3"/>
  <c r="H501" i="3" s="1"/>
  <c r="Q501" i="3"/>
  <c r="S501" i="3"/>
  <c r="O501" i="3"/>
  <c r="U501" i="3"/>
  <c r="M501" i="3"/>
  <c r="AD501" i="3"/>
  <c r="AF501" i="3"/>
  <c r="AM501" i="3"/>
  <c r="AE501" i="3"/>
  <c r="AK501" i="3"/>
  <c r="P501" i="3"/>
  <c r="R501" i="3"/>
  <c r="V501" i="3"/>
  <c r="T501" i="3"/>
  <c r="BN501" i="3" l="1"/>
  <c r="AO501" i="3"/>
  <c r="AH501" i="3"/>
  <c r="BB499" i="3"/>
  <c r="BQ499" i="3"/>
  <c r="BF499" i="3"/>
  <c r="BQ498" i="3"/>
  <c r="BF498" i="3"/>
  <c r="BJ497" i="3" s="1"/>
  <c r="BK497" i="3" s="1"/>
  <c r="BB498" i="3"/>
  <c r="AG501" i="3"/>
  <c r="AV499" i="3"/>
  <c r="BC499" i="3" s="1"/>
  <c r="X501" i="3"/>
  <c r="Y501" i="3"/>
  <c r="Z501" i="3" s="1"/>
  <c r="AU501" i="3"/>
  <c r="AN501" i="3"/>
  <c r="AX501" i="3" s="1"/>
  <c r="AX500" i="3"/>
  <c r="AY500" i="3" s="1"/>
  <c r="BD498" i="3"/>
  <c r="BG498" i="3"/>
  <c r="BH498" i="3" s="1"/>
  <c r="BI498" i="3" s="1"/>
  <c r="AU500" i="3"/>
  <c r="B502" i="3"/>
  <c r="A503" i="3"/>
  <c r="AQ502" i="3"/>
  <c r="AR502" i="3"/>
  <c r="C502" i="3"/>
  <c r="D502" i="3"/>
  <c r="F502" i="3"/>
  <c r="BM502" i="3" s="1"/>
  <c r="G502" i="3"/>
  <c r="H502" i="3" s="1"/>
  <c r="BN502" i="3" s="1"/>
  <c r="Q502" i="3"/>
  <c r="S502" i="3"/>
  <c r="O502" i="3"/>
  <c r="U502" i="3"/>
  <c r="AF502" i="3"/>
  <c r="AE502" i="3"/>
  <c r="AD502" i="3"/>
  <c r="AM502" i="3"/>
  <c r="M502" i="3"/>
  <c r="AK502" i="3"/>
  <c r="AO502" i="3" s="1"/>
  <c r="R502" i="3"/>
  <c r="V502" i="3"/>
  <c r="P502" i="3"/>
  <c r="T502" i="3"/>
  <c r="AT500" i="3"/>
  <c r="BA500" i="3" l="1"/>
  <c r="AV500" i="3"/>
  <c r="BC500" i="3" s="1"/>
  <c r="BD499" i="3"/>
  <c r="BG499" i="3"/>
  <c r="BH499" i="3" s="1"/>
  <c r="BI499" i="3" s="1"/>
  <c r="X502" i="3"/>
  <c r="AW501" i="3"/>
  <c r="AY501" i="3" s="1"/>
  <c r="Y502" i="3"/>
  <c r="Z502" i="3" s="1"/>
  <c r="AT502" i="3"/>
  <c r="AU502" i="3"/>
  <c r="AN502" i="3"/>
  <c r="AT501" i="3"/>
  <c r="BJ498" i="3"/>
  <c r="BK498" i="3" s="1"/>
  <c r="AR503" i="3"/>
  <c r="B503" i="3"/>
  <c r="A504" i="3"/>
  <c r="D503" i="3"/>
  <c r="AQ503" i="3"/>
  <c r="C503" i="3"/>
  <c r="G503" i="3"/>
  <c r="H503" i="3" s="1"/>
  <c r="F503" i="3"/>
  <c r="BM503" i="3" s="1"/>
  <c r="Q503" i="3"/>
  <c r="S503" i="3"/>
  <c r="O503" i="3"/>
  <c r="U503" i="3"/>
  <c r="AF503" i="3"/>
  <c r="AE503" i="3"/>
  <c r="M503" i="3"/>
  <c r="AD503" i="3"/>
  <c r="AH503" i="3" s="1"/>
  <c r="AM503" i="3"/>
  <c r="AK503" i="3"/>
  <c r="P503" i="3"/>
  <c r="R503" i="3"/>
  <c r="T503" i="3"/>
  <c r="V503" i="3"/>
  <c r="AH502" i="3"/>
  <c r="AG502" i="3"/>
  <c r="AO503" i="3" l="1"/>
  <c r="BN503" i="3"/>
  <c r="X503" i="3"/>
  <c r="AG503" i="3"/>
  <c r="AU503" i="3" s="1"/>
  <c r="AT503" i="3"/>
  <c r="A505" i="3"/>
  <c r="D504" i="3"/>
  <c r="C504" i="3"/>
  <c r="AR504" i="3"/>
  <c r="B504" i="3"/>
  <c r="AQ504" i="3"/>
  <c r="G504" i="3"/>
  <c r="H504" i="3" s="1"/>
  <c r="BN504" i="3" s="1"/>
  <c r="F504" i="3"/>
  <c r="BM504" i="3" s="1"/>
  <c r="Q504" i="3"/>
  <c r="S504" i="3"/>
  <c r="O504" i="3"/>
  <c r="U504" i="3"/>
  <c r="AF504" i="3"/>
  <c r="AD504" i="3"/>
  <c r="AE504" i="3"/>
  <c r="AK504" i="3"/>
  <c r="M504" i="3"/>
  <c r="AM504" i="3"/>
  <c r="AN504" i="3" s="1"/>
  <c r="V504" i="3"/>
  <c r="R504" i="3"/>
  <c r="P504" i="3"/>
  <c r="T504" i="3"/>
  <c r="AN503" i="3"/>
  <c r="AX503" i="3" s="1"/>
  <c r="BA501" i="3"/>
  <c r="AV501" i="3"/>
  <c r="BC501" i="3" s="1"/>
  <c r="AV502" i="3"/>
  <c r="AW502" i="3"/>
  <c r="AX502" i="3"/>
  <c r="BF500" i="3"/>
  <c r="BJ499" i="3" s="1"/>
  <c r="BK499" i="3" s="1"/>
  <c r="BQ500" i="3"/>
  <c r="BB500" i="3"/>
  <c r="Y503" i="3"/>
  <c r="Z503" i="3" s="1"/>
  <c r="BD500" i="3"/>
  <c r="BG500" i="3"/>
  <c r="BH500" i="3" s="1"/>
  <c r="BI500" i="3" s="1"/>
  <c r="AY502" i="3" l="1"/>
  <c r="BA502" i="3"/>
  <c r="BB502" i="3" s="1"/>
  <c r="X504" i="3"/>
  <c r="BD501" i="3"/>
  <c r="BG501" i="3"/>
  <c r="BH501" i="3" s="1"/>
  <c r="BI501" i="3" s="1"/>
  <c r="BQ501" i="3"/>
  <c r="BB501" i="3"/>
  <c r="BF501" i="3"/>
  <c r="AU504" i="3"/>
  <c r="AQ505" i="3"/>
  <c r="B505" i="3"/>
  <c r="A506" i="3"/>
  <c r="AR505" i="3"/>
  <c r="D505" i="3"/>
  <c r="C505" i="3"/>
  <c r="F505" i="3"/>
  <c r="BM505" i="3" s="1"/>
  <c r="G505" i="3"/>
  <c r="H505" i="3" s="1"/>
  <c r="BN505" i="3" s="1"/>
  <c r="Q505" i="3"/>
  <c r="S505" i="3"/>
  <c r="O505" i="3"/>
  <c r="U505" i="3"/>
  <c r="AE505" i="3"/>
  <c r="AF505" i="3"/>
  <c r="AD505" i="3"/>
  <c r="M505" i="3"/>
  <c r="AK505" i="3"/>
  <c r="AM505" i="3"/>
  <c r="V505" i="3"/>
  <c r="T505" i="3"/>
  <c r="P505" i="3"/>
  <c r="R505" i="3"/>
  <c r="AW503" i="3"/>
  <c r="AY503" i="3" s="1"/>
  <c r="BC502" i="3"/>
  <c r="Y504" i="3"/>
  <c r="Z504" i="3" s="1"/>
  <c r="AO504" i="3"/>
  <c r="AV503" i="3"/>
  <c r="AG504" i="3"/>
  <c r="AH504" i="3"/>
  <c r="AX504" i="3" s="1"/>
  <c r="AH505" i="3" l="1"/>
  <c r="BC503" i="3"/>
  <c r="BA503" i="3"/>
  <c r="BQ502" i="3"/>
  <c r="BF502" i="3"/>
  <c r="AO505" i="3"/>
  <c r="BD503" i="3"/>
  <c r="BG503" i="3"/>
  <c r="BH503" i="3" s="1"/>
  <c r="BI503" i="3" s="1"/>
  <c r="AG505" i="3"/>
  <c r="AU505" i="3" s="1"/>
  <c r="AN505" i="3"/>
  <c r="AX505" i="3" s="1"/>
  <c r="BJ501" i="3"/>
  <c r="BK501" i="3" s="1"/>
  <c r="BJ500" i="3"/>
  <c r="BK500" i="3" s="1"/>
  <c r="B506" i="3"/>
  <c r="A507" i="3"/>
  <c r="AQ506" i="3"/>
  <c r="AR506" i="3"/>
  <c r="C506" i="3"/>
  <c r="D506" i="3"/>
  <c r="F506" i="3"/>
  <c r="G506" i="3"/>
  <c r="H506" i="3" s="1"/>
  <c r="S506" i="3"/>
  <c r="Q506" i="3"/>
  <c r="O506" i="3"/>
  <c r="U506" i="3"/>
  <c r="AD506" i="3"/>
  <c r="AE506" i="3"/>
  <c r="AF506" i="3"/>
  <c r="M506" i="3"/>
  <c r="AM506" i="3"/>
  <c r="AK506" i="3"/>
  <c r="V506" i="3"/>
  <c r="P506" i="3"/>
  <c r="R506" i="3"/>
  <c r="T506" i="3"/>
  <c r="AW504" i="3"/>
  <c r="AY504" i="3" s="1"/>
  <c r="X505" i="3"/>
  <c r="BB503" i="3"/>
  <c r="BF503" i="3"/>
  <c r="BJ502" i="3" s="1"/>
  <c r="BK502" i="3" s="1"/>
  <c r="BQ503" i="3"/>
  <c r="AT504" i="3"/>
  <c r="BD502" i="3"/>
  <c r="BG502" i="3"/>
  <c r="BH502" i="3" s="1"/>
  <c r="BI502" i="3" s="1"/>
  <c r="Y505" i="3"/>
  <c r="Z505" i="3" s="1"/>
  <c r="AO506" i="3" l="1"/>
  <c r="AN506" i="3"/>
  <c r="Y506" i="3"/>
  <c r="Z506" i="3" s="1"/>
  <c r="BM506" i="3"/>
  <c r="B507" i="3"/>
  <c r="AQ507" i="3"/>
  <c r="A508" i="3"/>
  <c r="D507" i="3"/>
  <c r="C507" i="3"/>
  <c r="AR507" i="3"/>
  <c r="F507" i="3"/>
  <c r="BM507" i="3" s="1"/>
  <c r="G507" i="3"/>
  <c r="H507" i="3" s="1"/>
  <c r="BN507" i="3" s="1"/>
  <c r="S507" i="3"/>
  <c r="Q507" i="3"/>
  <c r="O507" i="3"/>
  <c r="U507" i="3"/>
  <c r="AF507" i="3"/>
  <c r="AE507" i="3"/>
  <c r="AD507" i="3"/>
  <c r="AK507" i="3"/>
  <c r="AM507" i="3"/>
  <c r="M507" i="3"/>
  <c r="V507" i="3"/>
  <c r="P507" i="3"/>
  <c r="R507" i="3"/>
  <c r="T507" i="3"/>
  <c r="AG506" i="3"/>
  <c r="AH506" i="3"/>
  <c r="AX506" i="3" s="1"/>
  <c r="X506" i="3"/>
  <c r="AT505" i="3"/>
  <c r="AT506" i="3"/>
  <c r="AW505" i="3"/>
  <c r="AY505" i="3" s="1"/>
  <c r="AV504" i="3"/>
  <c r="BC504" i="3" s="1"/>
  <c r="BA504" i="3"/>
  <c r="BN506" i="3"/>
  <c r="X507" i="3" l="1"/>
  <c r="AN507" i="3"/>
  <c r="AH507" i="3"/>
  <c r="B508" i="3"/>
  <c r="AQ508" i="3"/>
  <c r="AR508" i="3"/>
  <c r="A509" i="3"/>
  <c r="D508" i="3"/>
  <c r="C508" i="3"/>
  <c r="G508" i="3"/>
  <c r="H508" i="3" s="1"/>
  <c r="BN508" i="3" s="1"/>
  <c r="F508" i="3"/>
  <c r="BM508" i="3" s="1"/>
  <c r="Q508" i="3"/>
  <c r="S508" i="3"/>
  <c r="O508" i="3"/>
  <c r="U508" i="3"/>
  <c r="AF508" i="3"/>
  <c r="AE508" i="3"/>
  <c r="AD508" i="3"/>
  <c r="AK508" i="3"/>
  <c r="AM508" i="3"/>
  <c r="M508" i="3"/>
  <c r="T508" i="3"/>
  <c r="R508" i="3"/>
  <c r="V508" i="3"/>
  <c r="P508" i="3"/>
  <c r="AV505" i="3"/>
  <c r="BC505" i="3" s="1"/>
  <c r="BA505" i="3"/>
  <c r="AU507" i="3"/>
  <c r="BB504" i="3"/>
  <c r="BQ504" i="3"/>
  <c r="BF504" i="3"/>
  <c r="BJ503" i="3" s="1"/>
  <c r="BK503" i="3" s="1"/>
  <c r="AW506" i="3"/>
  <c r="AY506" i="3" s="1"/>
  <c r="Y507" i="3"/>
  <c r="Z507" i="3" s="1"/>
  <c r="AO507" i="3"/>
  <c r="AU506" i="3"/>
  <c r="AG507" i="3"/>
  <c r="BD504" i="3"/>
  <c r="BG504" i="3"/>
  <c r="BH504" i="3" s="1"/>
  <c r="BI504" i="3" s="1"/>
  <c r="X508" i="3" l="1"/>
  <c r="AW507" i="3"/>
  <c r="BA506" i="3"/>
  <c r="AO508" i="3"/>
  <c r="BB506" i="3"/>
  <c r="BQ506" i="3"/>
  <c r="BF506" i="3"/>
  <c r="BB505" i="3"/>
  <c r="BF505" i="3"/>
  <c r="BJ504" i="3" s="1"/>
  <c r="BK504" i="3" s="1"/>
  <c r="BQ505" i="3"/>
  <c r="BD505" i="3"/>
  <c r="BG505" i="3"/>
  <c r="BH505" i="3" s="1"/>
  <c r="BI505" i="3" s="1"/>
  <c r="AT508" i="3"/>
  <c r="AX507" i="3"/>
  <c r="AY507" i="3" s="1"/>
  <c r="AU508" i="3"/>
  <c r="Y508" i="3"/>
  <c r="Z508" i="3" s="1"/>
  <c r="D509" i="3"/>
  <c r="B509" i="3"/>
  <c r="AQ509" i="3"/>
  <c r="AR509" i="3"/>
  <c r="A510" i="3"/>
  <c r="C509" i="3"/>
  <c r="G509" i="3"/>
  <c r="H509" i="3" s="1"/>
  <c r="F509" i="3"/>
  <c r="BM509" i="3" s="1"/>
  <c r="Q509" i="3"/>
  <c r="S509" i="3"/>
  <c r="O509" i="3"/>
  <c r="U509" i="3"/>
  <c r="AD509" i="3"/>
  <c r="M509" i="3"/>
  <c r="AF509" i="3"/>
  <c r="AK509" i="3"/>
  <c r="AE509" i="3"/>
  <c r="AM509" i="3"/>
  <c r="V509" i="3"/>
  <c r="T509" i="3"/>
  <c r="P509" i="3"/>
  <c r="R509" i="3"/>
  <c r="AN508" i="3"/>
  <c r="AT507" i="3"/>
  <c r="AH508" i="3"/>
  <c r="AV506" i="3"/>
  <c r="BC506" i="3" s="1"/>
  <c r="AG508" i="3"/>
  <c r="AW508" i="3" s="1"/>
  <c r="AX508" i="3" l="1"/>
  <c r="AN509" i="3"/>
  <c r="X509" i="3"/>
  <c r="Y509" i="3"/>
  <c r="Z509" i="3" s="1"/>
  <c r="AH509" i="3"/>
  <c r="AV508" i="3"/>
  <c r="BA508" i="3"/>
  <c r="AO509" i="3"/>
  <c r="AV507" i="3"/>
  <c r="BC507" i="3" s="1"/>
  <c r="BA507" i="3"/>
  <c r="AG509" i="3"/>
  <c r="AT509" i="3" s="1"/>
  <c r="AY508" i="3"/>
  <c r="BD506" i="3"/>
  <c r="BG506" i="3"/>
  <c r="BH506" i="3" s="1"/>
  <c r="BI506" i="3" s="1"/>
  <c r="BN509" i="3"/>
  <c r="BJ505" i="3"/>
  <c r="BK505" i="3" s="1"/>
  <c r="B510" i="3"/>
  <c r="A511" i="3"/>
  <c r="AQ510" i="3"/>
  <c r="AR510" i="3"/>
  <c r="D510" i="3"/>
  <c r="C510" i="3"/>
  <c r="F510" i="3"/>
  <c r="BM510" i="3" s="1"/>
  <c r="G510" i="3"/>
  <c r="H510" i="3" s="1"/>
  <c r="BN510" i="3" s="1"/>
  <c r="Q510" i="3"/>
  <c r="S510" i="3"/>
  <c r="O510" i="3"/>
  <c r="U510" i="3"/>
  <c r="AD510" i="3"/>
  <c r="M510" i="3"/>
  <c r="AF510" i="3"/>
  <c r="AE510" i="3"/>
  <c r="AM510" i="3"/>
  <c r="AK510" i="3"/>
  <c r="AO510" i="3" s="1"/>
  <c r="V510" i="3"/>
  <c r="R510" i="3"/>
  <c r="P510" i="3"/>
  <c r="T510" i="3"/>
  <c r="AH510" i="3" l="1"/>
  <c r="BB508" i="3"/>
  <c r="BF508" i="3"/>
  <c r="BQ508" i="3"/>
  <c r="AW509" i="3"/>
  <c r="AX509" i="3"/>
  <c r="X510" i="3"/>
  <c r="AU509" i="3"/>
  <c r="AG510" i="3"/>
  <c r="BQ507" i="3"/>
  <c r="BF507" i="3"/>
  <c r="BJ506" i="3" s="1"/>
  <c r="BK506" i="3" s="1"/>
  <c r="BB507" i="3"/>
  <c r="BD507" i="3"/>
  <c r="BG507" i="3"/>
  <c r="BH507" i="3" s="1"/>
  <c r="BI507" i="3" s="1"/>
  <c r="BC508" i="3"/>
  <c r="Y510" i="3"/>
  <c r="Z510" i="3" s="1"/>
  <c r="AR511" i="3"/>
  <c r="B511" i="3"/>
  <c r="A512" i="3"/>
  <c r="D511" i="3"/>
  <c r="C511" i="3"/>
  <c r="AQ511" i="3"/>
  <c r="F511" i="3"/>
  <c r="BM511" i="3" s="1"/>
  <c r="G511" i="3"/>
  <c r="H511" i="3" s="1"/>
  <c r="BN511" i="3" s="1"/>
  <c r="Q511" i="3"/>
  <c r="S511" i="3"/>
  <c r="O511" i="3"/>
  <c r="U511" i="3"/>
  <c r="AF511" i="3"/>
  <c r="AE511" i="3"/>
  <c r="AD511" i="3"/>
  <c r="M511" i="3"/>
  <c r="AM511" i="3"/>
  <c r="AK511" i="3"/>
  <c r="AO511" i="3" s="1"/>
  <c r="T511" i="3"/>
  <c r="V511" i="3"/>
  <c r="P511" i="3"/>
  <c r="R511" i="3"/>
  <c r="AN510" i="3"/>
  <c r="BA509" i="3" l="1"/>
  <c r="AH511" i="3"/>
  <c r="AY509" i="3"/>
  <c r="AX510" i="3"/>
  <c r="BB509" i="3"/>
  <c r="BQ509" i="3"/>
  <c r="BF509" i="3"/>
  <c r="BJ508" i="3" s="1"/>
  <c r="BK508" i="3" s="1"/>
  <c r="AW510" i="3"/>
  <c r="AY510" i="3" s="1"/>
  <c r="Y511" i="3"/>
  <c r="Z511" i="3" s="1"/>
  <c r="A513" i="3"/>
  <c r="C512" i="3"/>
  <c r="D512" i="3"/>
  <c r="B512" i="3"/>
  <c r="AQ512" i="3"/>
  <c r="AR512" i="3"/>
  <c r="G512" i="3"/>
  <c r="H512" i="3" s="1"/>
  <c r="F512" i="3"/>
  <c r="BM512" i="3" s="1"/>
  <c r="Q512" i="3"/>
  <c r="S512" i="3"/>
  <c r="O512" i="3"/>
  <c r="U512" i="3"/>
  <c r="AD512" i="3"/>
  <c r="AM512" i="3"/>
  <c r="AF512" i="3"/>
  <c r="M512" i="3"/>
  <c r="AE512" i="3"/>
  <c r="AG512" i="3" s="1"/>
  <c r="AK512" i="3"/>
  <c r="AO512" i="3" s="1"/>
  <c r="R512" i="3"/>
  <c r="P512" i="3"/>
  <c r="T512" i="3"/>
  <c r="V512" i="3"/>
  <c r="AT511" i="3"/>
  <c r="BJ507" i="3"/>
  <c r="BK507" i="3" s="1"/>
  <c r="AT510" i="3"/>
  <c r="AN511" i="3"/>
  <c r="AU510" i="3"/>
  <c r="AG511" i="3"/>
  <c r="AU511" i="3" s="1"/>
  <c r="AV509" i="3"/>
  <c r="BC509" i="3" s="1"/>
  <c r="X511" i="3"/>
  <c r="BD508" i="3"/>
  <c r="BG508" i="3"/>
  <c r="BH508" i="3" s="1"/>
  <c r="BI508" i="3" s="1"/>
  <c r="BN512" i="3" l="1"/>
  <c r="Y512" i="3"/>
  <c r="Z512" i="3" s="1"/>
  <c r="AX511" i="3"/>
  <c r="AV511" i="3"/>
  <c r="AQ513" i="3"/>
  <c r="B513" i="3"/>
  <c r="A514" i="3"/>
  <c r="AR513" i="3"/>
  <c r="C513" i="3"/>
  <c r="D513" i="3"/>
  <c r="G513" i="3"/>
  <c r="H513" i="3" s="1"/>
  <c r="BN513" i="3" s="1"/>
  <c r="F513" i="3"/>
  <c r="BM513" i="3" s="1"/>
  <c r="Q513" i="3"/>
  <c r="S513" i="3"/>
  <c r="O513" i="3"/>
  <c r="U513" i="3"/>
  <c r="AD513" i="3"/>
  <c r="AE513" i="3"/>
  <c r="AF513" i="3"/>
  <c r="M513" i="3"/>
  <c r="AM513" i="3"/>
  <c r="AK513" i="3"/>
  <c r="R513" i="3"/>
  <c r="V513" i="3"/>
  <c r="T513" i="3"/>
  <c r="P513" i="3"/>
  <c r="BD509" i="3"/>
  <c r="BG509" i="3"/>
  <c r="BH509" i="3" s="1"/>
  <c r="BI509" i="3" s="1"/>
  <c r="AH512" i="3"/>
  <c r="BA510" i="3"/>
  <c r="AV510" i="3"/>
  <c r="BC510" i="3" s="1"/>
  <c r="AN512" i="3"/>
  <c r="AW511" i="3"/>
  <c r="X512" i="3"/>
  <c r="AY511" i="3" l="1"/>
  <c r="AO513" i="3"/>
  <c r="AX512" i="3"/>
  <c r="BQ510" i="3"/>
  <c r="BF510" i="3"/>
  <c r="BJ509" i="3" s="1"/>
  <c r="BK509" i="3" s="1"/>
  <c r="BB510" i="3"/>
  <c r="BD510" i="3"/>
  <c r="BG510" i="3"/>
  <c r="BH510" i="3" s="1"/>
  <c r="BI510" i="3" s="1"/>
  <c r="Y513" i="3"/>
  <c r="Z513" i="3" s="1"/>
  <c r="AU512" i="3"/>
  <c r="AN513" i="3"/>
  <c r="AW512" i="3"/>
  <c r="AY512" i="3" s="1"/>
  <c r="AH513" i="3"/>
  <c r="AX513" i="3" s="1"/>
  <c r="BA511" i="3"/>
  <c r="B514" i="3"/>
  <c r="A515" i="3"/>
  <c r="AQ514" i="3"/>
  <c r="D514" i="3"/>
  <c r="AR514" i="3"/>
  <c r="C514" i="3"/>
  <c r="F514" i="3"/>
  <c r="G514" i="3"/>
  <c r="H514" i="3" s="1"/>
  <c r="Q514" i="3"/>
  <c r="S514" i="3"/>
  <c r="O514" i="3"/>
  <c r="U514" i="3"/>
  <c r="AF514" i="3"/>
  <c r="AD514" i="3"/>
  <c r="M514" i="3"/>
  <c r="AM514" i="3"/>
  <c r="AE514" i="3"/>
  <c r="AG514" i="3" s="1"/>
  <c r="AK514" i="3"/>
  <c r="V514" i="3"/>
  <c r="P514" i="3"/>
  <c r="R514" i="3"/>
  <c r="T514" i="3"/>
  <c r="AG513" i="3"/>
  <c r="AT512" i="3"/>
  <c r="X513" i="3"/>
  <c r="BC511" i="3"/>
  <c r="BM514" i="3" l="1"/>
  <c r="BN514" i="3"/>
  <c r="AN514" i="3"/>
  <c r="B515" i="3"/>
  <c r="AQ515" i="3"/>
  <c r="A516" i="3"/>
  <c r="D515" i="3"/>
  <c r="C515" i="3"/>
  <c r="AR515" i="3"/>
  <c r="G515" i="3"/>
  <c r="H515" i="3" s="1"/>
  <c r="BN515" i="3" s="1"/>
  <c r="F515" i="3"/>
  <c r="BM515" i="3" s="1"/>
  <c r="Q515" i="3"/>
  <c r="S515" i="3"/>
  <c r="O515" i="3"/>
  <c r="U515" i="3"/>
  <c r="M515" i="3"/>
  <c r="AF515" i="3"/>
  <c r="AD515" i="3"/>
  <c r="AE515" i="3"/>
  <c r="AK515" i="3"/>
  <c r="AM515" i="3"/>
  <c r="R515" i="3"/>
  <c r="V515" i="3"/>
  <c r="P515" i="3"/>
  <c r="T515" i="3"/>
  <c r="X514" i="3"/>
  <c r="AU513" i="3"/>
  <c r="AT513" i="3"/>
  <c r="BD511" i="3"/>
  <c r="BG511" i="3"/>
  <c r="BH511" i="3" s="1"/>
  <c r="BI511" i="3" s="1"/>
  <c r="AW513" i="3"/>
  <c r="AY513" i="3" s="1"/>
  <c r="AO514" i="3"/>
  <c r="AW514" i="3" s="1"/>
  <c r="BF511" i="3"/>
  <c r="BJ510" i="3" s="1"/>
  <c r="BK510" i="3" s="1"/>
  <c r="BQ511" i="3"/>
  <c r="BB511" i="3"/>
  <c r="AH514" i="3"/>
  <c r="AV512" i="3"/>
  <c r="BC512" i="3" s="1"/>
  <c r="BA512" i="3"/>
  <c r="AT514" i="3"/>
  <c r="Y514" i="3"/>
  <c r="Z514" i="3" s="1"/>
  <c r="AU514" i="3"/>
  <c r="AN515" i="3" l="1"/>
  <c r="AG515" i="3"/>
  <c r="AH515" i="3"/>
  <c r="AU515" i="3" s="1"/>
  <c r="AV514" i="3"/>
  <c r="BF512" i="3"/>
  <c r="BJ511" i="3" s="1"/>
  <c r="BK511" i="3" s="1"/>
  <c r="BQ512" i="3"/>
  <c r="BB512" i="3"/>
  <c r="BD512" i="3"/>
  <c r="BG512" i="3"/>
  <c r="BH512" i="3" s="1"/>
  <c r="BI512" i="3" s="1"/>
  <c r="B516" i="3"/>
  <c r="AQ516" i="3"/>
  <c r="AR516" i="3"/>
  <c r="A517" i="3"/>
  <c r="D516" i="3"/>
  <c r="C516" i="3"/>
  <c r="G516" i="3"/>
  <c r="H516" i="3" s="1"/>
  <c r="BN516" i="3" s="1"/>
  <c r="F516" i="3"/>
  <c r="Q516" i="3"/>
  <c r="S516" i="3"/>
  <c r="O516" i="3"/>
  <c r="U516" i="3"/>
  <c r="AD516" i="3"/>
  <c r="AF516" i="3"/>
  <c r="M516" i="3"/>
  <c r="AE516" i="3"/>
  <c r="AG516" i="3" s="1"/>
  <c r="AK516" i="3"/>
  <c r="AM516" i="3"/>
  <c r="R516" i="3"/>
  <c r="P516" i="3"/>
  <c r="V516" i="3"/>
  <c r="T516" i="3"/>
  <c r="AW515" i="3"/>
  <c r="X515" i="3"/>
  <c r="BA513" i="3"/>
  <c r="AV513" i="3"/>
  <c r="BC513" i="3" s="1"/>
  <c r="AT515" i="3"/>
  <c r="Y515" i="3"/>
  <c r="Z515" i="3" s="1"/>
  <c r="AX514" i="3"/>
  <c r="AY514" i="3" s="1"/>
  <c r="AO515" i="3"/>
  <c r="AN516" i="3" l="1"/>
  <c r="Y516" i="3"/>
  <c r="Z516" i="3" s="1"/>
  <c r="AV515" i="3"/>
  <c r="BD513" i="3"/>
  <c r="BG513" i="3"/>
  <c r="BH513" i="3" s="1"/>
  <c r="BI513" i="3" s="1"/>
  <c r="AH516" i="3"/>
  <c r="X516" i="3"/>
  <c r="AX515" i="3"/>
  <c r="AY515" i="3" s="1"/>
  <c r="C517" i="3"/>
  <c r="B517" i="3"/>
  <c r="A518" i="3"/>
  <c r="AR517" i="3"/>
  <c r="D517" i="3"/>
  <c r="AQ517" i="3"/>
  <c r="G517" i="3"/>
  <c r="H517" i="3" s="1"/>
  <c r="BN517" i="3" s="1"/>
  <c r="F517" i="3"/>
  <c r="Q517" i="3"/>
  <c r="S517" i="3"/>
  <c r="O517" i="3"/>
  <c r="U517" i="3"/>
  <c r="M517" i="3"/>
  <c r="AD517" i="3"/>
  <c r="AF517" i="3"/>
  <c r="AE517" i="3"/>
  <c r="AG517" i="3" s="1"/>
  <c r="AK517" i="3"/>
  <c r="AM517" i="3"/>
  <c r="AN517" i="3" s="1"/>
  <c r="V517" i="3"/>
  <c r="P517" i="3"/>
  <c r="R517" i="3"/>
  <c r="T517" i="3"/>
  <c r="AO516" i="3"/>
  <c r="BF513" i="3"/>
  <c r="BJ512" i="3" s="1"/>
  <c r="BK512" i="3" s="1"/>
  <c r="BB513" i="3"/>
  <c r="BQ513" i="3"/>
  <c r="BA514" i="3"/>
  <c r="BC514" i="3"/>
  <c r="BM516" i="3"/>
  <c r="AX516" i="3" l="1"/>
  <c r="AH517" i="3"/>
  <c r="AT517" i="3"/>
  <c r="BD514" i="3"/>
  <c r="BG514" i="3"/>
  <c r="BH514" i="3" s="1"/>
  <c r="BI514" i="3" s="1"/>
  <c r="BC515" i="3"/>
  <c r="Y517" i="3"/>
  <c r="Z517" i="3" s="1"/>
  <c r="B518" i="3"/>
  <c r="A519" i="3"/>
  <c r="AQ518" i="3"/>
  <c r="AR518" i="3"/>
  <c r="C518" i="3"/>
  <c r="D518" i="3"/>
  <c r="F518" i="3"/>
  <c r="G518" i="3"/>
  <c r="H518" i="3" s="1"/>
  <c r="BN518" i="3" s="1"/>
  <c r="S518" i="3"/>
  <c r="Q518" i="3"/>
  <c r="O518" i="3"/>
  <c r="U518" i="3"/>
  <c r="AM518" i="3"/>
  <c r="M518" i="3"/>
  <c r="AF518" i="3"/>
  <c r="AE518" i="3"/>
  <c r="AD518" i="3"/>
  <c r="AK518" i="3"/>
  <c r="AO518" i="3" s="1"/>
  <c r="V518" i="3"/>
  <c r="R518" i="3"/>
  <c r="P518" i="3"/>
  <c r="T518" i="3"/>
  <c r="AW516" i="3"/>
  <c r="AY516" i="3" s="1"/>
  <c r="BF514" i="3"/>
  <c r="BJ513" i="3" s="1"/>
  <c r="BK513" i="3" s="1"/>
  <c r="BB514" i="3"/>
  <c r="BQ514" i="3"/>
  <c r="BM517" i="3"/>
  <c r="AU516" i="3"/>
  <c r="AU517" i="3"/>
  <c r="AT516" i="3"/>
  <c r="AO517" i="3"/>
  <c r="X517" i="3"/>
  <c r="BA515" i="3"/>
  <c r="AH518" i="3" l="1"/>
  <c r="BM518" i="3"/>
  <c r="BF515" i="3"/>
  <c r="BJ514" i="3" s="1"/>
  <c r="BK514" i="3" s="1"/>
  <c r="BB515" i="3"/>
  <c r="BQ515" i="3"/>
  <c r="Y518" i="3"/>
  <c r="Z518" i="3" s="1"/>
  <c r="AR519" i="3"/>
  <c r="B519" i="3"/>
  <c r="AQ519" i="3"/>
  <c r="A520" i="3"/>
  <c r="D519" i="3"/>
  <c r="C519" i="3"/>
  <c r="F519" i="3"/>
  <c r="BM519" i="3" s="1"/>
  <c r="G519" i="3"/>
  <c r="H519" i="3" s="1"/>
  <c r="BN519" i="3" s="1"/>
  <c r="S519" i="3"/>
  <c r="Q519" i="3"/>
  <c r="O519" i="3"/>
  <c r="U519" i="3"/>
  <c r="AD519" i="3"/>
  <c r="M519" i="3"/>
  <c r="AF519" i="3"/>
  <c r="AE519" i="3"/>
  <c r="AM519" i="3"/>
  <c r="AK519" i="3"/>
  <c r="R519" i="3"/>
  <c r="V519" i="3"/>
  <c r="P519" i="3"/>
  <c r="T519" i="3"/>
  <c r="AG518" i="3"/>
  <c r="AW518" i="3" s="1"/>
  <c r="BD515" i="3"/>
  <c r="BG515" i="3"/>
  <c r="BH515" i="3" s="1"/>
  <c r="BI515" i="3" s="1"/>
  <c r="X518" i="3"/>
  <c r="AX517" i="3"/>
  <c r="BA516" i="3"/>
  <c r="AV516" i="3"/>
  <c r="BC516" i="3" s="1"/>
  <c r="AN518" i="3"/>
  <c r="AV517" i="3"/>
  <c r="AW517" i="3"/>
  <c r="AG519" i="3" l="1"/>
  <c r="AN519" i="3"/>
  <c r="BA517" i="3"/>
  <c r="AX518" i="3"/>
  <c r="BF517" i="3"/>
  <c r="BQ517" i="3"/>
  <c r="BB517" i="3"/>
  <c r="A521" i="3"/>
  <c r="C520" i="3"/>
  <c r="D520" i="3"/>
  <c r="B520" i="3"/>
  <c r="AQ520" i="3"/>
  <c r="AR520" i="3"/>
  <c r="F520" i="3"/>
  <c r="BM520" i="3" s="1"/>
  <c r="G520" i="3"/>
  <c r="H520" i="3" s="1"/>
  <c r="BN520" i="3" s="1"/>
  <c r="S520" i="3"/>
  <c r="Q520" i="3"/>
  <c r="O520" i="3"/>
  <c r="U520" i="3"/>
  <c r="AD520" i="3"/>
  <c r="AE520" i="3"/>
  <c r="AF520" i="3"/>
  <c r="M520" i="3"/>
  <c r="AM520" i="3"/>
  <c r="AK520" i="3"/>
  <c r="P520" i="3"/>
  <c r="V520" i="3"/>
  <c r="R520" i="3"/>
  <c r="T520" i="3"/>
  <c r="Y519" i="3"/>
  <c r="Z519" i="3" s="1"/>
  <c r="AO519" i="3"/>
  <c r="AW519" i="3" s="1"/>
  <c r="BD516" i="3"/>
  <c r="BG516" i="3"/>
  <c r="BH516" i="3" s="1"/>
  <c r="BI516" i="3" s="1"/>
  <c r="AT518" i="3"/>
  <c r="BQ516" i="3"/>
  <c r="BF516" i="3"/>
  <c r="BJ515" i="3" s="1"/>
  <c r="BK515" i="3" s="1"/>
  <c r="BB516" i="3"/>
  <c r="AH519" i="3"/>
  <c r="AY518" i="3"/>
  <c r="X519" i="3"/>
  <c r="AU519" i="3"/>
  <c r="AT519" i="3"/>
  <c r="AU518" i="3"/>
  <c r="AY517" i="3"/>
  <c r="BC517" i="3" s="1"/>
  <c r="AO520" i="3" l="1"/>
  <c r="AH520" i="3"/>
  <c r="X520" i="3"/>
  <c r="BD517" i="3"/>
  <c r="BG517" i="3"/>
  <c r="BH517" i="3" s="1"/>
  <c r="BI517" i="3" s="1"/>
  <c r="AV518" i="3"/>
  <c r="BC518" i="3" s="1"/>
  <c r="BA518" i="3"/>
  <c r="Y520" i="3"/>
  <c r="Z520" i="3" s="1"/>
  <c r="AV519" i="3"/>
  <c r="BA519" i="3"/>
  <c r="AT520" i="3"/>
  <c r="AQ521" i="3"/>
  <c r="B521" i="3"/>
  <c r="A522" i="3"/>
  <c r="AR521" i="3"/>
  <c r="C521" i="3"/>
  <c r="X521" i="3" s="1"/>
  <c r="D521" i="3"/>
  <c r="F521" i="3"/>
  <c r="G521" i="3"/>
  <c r="H521" i="3" s="1"/>
  <c r="Q521" i="3"/>
  <c r="S521" i="3"/>
  <c r="O521" i="3"/>
  <c r="U521" i="3"/>
  <c r="AE521" i="3"/>
  <c r="M521" i="3"/>
  <c r="AF521" i="3"/>
  <c r="AD521" i="3"/>
  <c r="AK521" i="3"/>
  <c r="AM521" i="3"/>
  <c r="P521" i="3"/>
  <c r="R521" i="3"/>
  <c r="T521" i="3"/>
  <c r="V521" i="3"/>
  <c r="AN520" i="3"/>
  <c r="AX519" i="3"/>
  <c r="AY519" i="3" s="1"/>
  <c r="AG520" i="3"/>
  <c r="BJ516" i="3"/>
  <c r="BK516" i="3" s="1"/>
  <c r="AN521" i="3" l="1"/>
  <c r="AW520" i="3"/>
  <c r="BN521" i="3"/>
  <c r="BB519" i="3"/>
  <c r="BF519" i="3"/>
  <c r="BQ519" i="3"/>
  <c r="AG521" i="3"/>
  <c r="BD518" i="3"/>
  <c r="BG518" i="3"/>
  <c r="BH518" i="3" s="1"/>
  <c r="BI518" i="3" s="1"/>
  <c r="AH521" i="3"/>
  <c r="AO521" i="3"/>
  <c r="AU520" i="3"/>
  <c r="AV520" i="3" s="1"/>
  <c r="BC520" i="3" s="1"/>
  <c r="AT521" i="3"/>
  <c r="D522" i="3"/>
  <c r="A523" i="3"/>
  <c r="AQ522" i="3"/>
  <c r="B522" i="3"/>
  <c r="AR522" i="3"/>
  <c r="C522" i="3"/>
  <c r="F522" i="3"/>
  <c r="BM522" i="3" s="1"/>
  <c r="G522" i="3"/>
  <c r="H522" i="3" s="1"/>
  <c r="S522" i="3"/>
  <c r="Q522" i="3"/>
  <c r="O522" i="3"/>
  <c r="U522" i="3"/>
  <c r="AE522" i="3"/>
  <c r="AD522" i="3"/>
  <c r="M522" i="3"/>
  <c r="AF522" i="3"/>
  <c r="AM522" i="3"/>
  <c r="AK522" i="3"/>
  <c r="V522" i="3"/>
  <c r="P522" i="3"/>
  <c r="R522" i="3"/>
  <c r="T522" i="3"/>
  <c r="BC519" i="3"/>
  <c r="AX520" i="3"/>
  <c r="AY520" i="3" s="1"/>
  <c r="BQ518" i="3"/>
  <c r="BF518" i="3"/>
  <c r="BJ517" i="3" s="1"/>
  <c r="BK517" i="3" s="1"/>
  <c r="BB518" i="3"/>
  <c r="BM521" i="3"/>
  <c r="Y521" i="3"/>
  <c r="Z521" i="3" s="1"/>
  <c r="AO522" i="3" l="1"/>
  <c r="AN522" i="3"/>
  <c r="Y522" i="3"/>
  <c r="Z522" i="3" s="1"/>
  <c r="X522" i="3"/>
  <c r="BD520" i="3"/>
  <c r="BG520" i="3"/>
  <c r="BH520" i="3" s="1"/>
  <c r="BI520" i="3" s="1"/>
  <c r="AH522" i="3"/>
  <c r="B523" i="3"/>
  <c r="AQ523" i="3"/>
  <c r="A524" i="3"/>
  <c r="C523" i="3"/>
  <c r="D523" i="3"/>
  <c r="AR523" i="3"/>
  <c r="G523" i="3"/>
  <c r="H523" i="3" s="1"/>
  <c r="BN523" i="3" s="1"/>
  <c r="F523" i="3"/>
  <c r="BM523" i="3" s="1"/>
  <c r="S523" i="3"/>
  <c r="Q523" i="3"/>
  <c r="O523" i="3"/>
  <c r="U523" i="3"/>
  <c r="AD523" i="3"/>
  <c r="AE523" i="3"/>
  <c r="AF523" i="3"/>
  <c r="AM523" i="3"/>
  <c r="AK523" i="3"/>
  <c r="M523" i="3"/>
  <c r="R523" i="3"/>
  <c r="V523" i="3"/>
  <c r="P523" i="3"/>
  <c r="T523" i="3"/>
  <c r="AV521" i="3"/>
  <c r="BA520" i="3"/>
  <c r="AX521" i="3"/>
  <c r="AY521" i="3" s="1"/>
  <c r="BG519" i="3"/>
  <c r="BH519" i="3" s="1"/>
  <c r="BI519" i="3" s="1"/>
  <c r="BD519" i="3"/>
  <c r="AW521" i="3"/>
  <c r="BJ518" i="3"/>
  <c r="BK518" i="3" s="1"/>
  <c r="AG522" i="3"/>
  <c r="BN522" i="3"/>
  <c r="AU521" i="3"/>
  <c r="AT522" i="3"/>
  <c r="AO523" i="3" l="1"/>
  <c r="BA521" i="3"/>
  <c r="Y523" i="3"/>
  <c r="Z523" i="3" s="1"/>
  <c r="B524" i="3"/>
  <c r="AQ524" i="3"/>
  <c r="AR524" i="3"/>
  <c r="A525" i="3"/>
  <c r="C524" i="3"/>
  <c r="D524" i="3"/>
  <c r="F524" i="3"/>
  <c r="BM524" i="3" s="1"/>
  <c r="G524" i="3"/>
  <c r="H524" i="3" s="1"/>
  <c r="BN524" i="3" s="1"/>
  <c r="Q524" i="3"/>
  <c r="S524" i="3"/>
  <c r="O524" i="3"/>
  <c r="U524" i="3"/>
  <c r="AD524" i="3"/>
  <c r="AE524" i="3"/>
  <c r="M524" i="3"/>
  <c r="AF524" i="3"/>
  <c r="AK524" i="3"/>
  <c r="AM524" i="3"/>
  <c r="R524" i="3"/>
  <c r="V524" i="3"/>
  <c r="T524" i="3"/>
  <c r="P524" i="3"/>
  <c r="AW522" i="3"/>
  <c r="AX522" i="3"/>
  <c r="AU522" i="3"/>
  <c r="AH523" i="3"/>
  <c r="AX523" i="3" s="1"/>
  <c r="BQ520" i="3"/>
  <c r="BF520" i="3"/>
  <c r="BJ519" i="3" s="1"/>
  <c r="BK519" i="3" s="1"/>
  <c r="BB520" i="3"/>
  <c r="BC521" i="3"/>
  <c r="AN523" i="3"/>
  <c r="AG523" i="3"/>
  <c r="X523" i="3"/>
  <c r="AY522" i="3" l="1"/>
  <c r="BA522" i="3"/>
  <c r="AN524" i="3"/>
  <c r="AH524" i="3"/>
  <c r="BB522" i="3"/>
  <c r="BQ522" i="3"/>
  <c r="BF522" i="3"/>
  <c r="X524" i="3"/>
  <c r="AW523" i="3"/>
  <c r="AY523" i="3" s="1"/>
  <c r="D525" i="3"/>
  <c r="AQ525" i="3"/>
  <c r="B525" i="3"/>
  <c r="A526" i="3"/>
  <c r="AR525" i="3"/>
  <c r="C525" i="3"/>
  <c r="G525" i="3"/>
  <c r="H525" i="3" s="1"/>
  <c r="BN525" i="3" s="1"/>
  <c r="F525" i="3"/>
  <c r="Q525" i="3"/>
  <c r="S525" i="3"/>
  <c r="O525" i="3"/>
  <c r="U525" i="3"/>
  <c r="AK525" i="3"/>
  <c r="AD525" i="3"/>
  <c r="AF525" i="3"/>
  <c r="M525" i="3"/>
  <c r="AE525" i="3"/>
  <c r="AG525" i="3" s="1"/>
  <c r="AM525" i="3"/>
  <c r="AN525" i="3" s="1"/>
  <c r="T525" i="3"/>
  <c r="V525" i="3"/>
  <c r="R525" i="3"/>
  <c r="P525" i="3"/>
  <c r="AV522" i="3"/>
  <c r="BC522" i="3" s="1"/>
  <c r="AT523" i="3"/>
  <c r="AU523" i="3"/>
  <c r="Y524" i="3"/>
  <c r="Z524" i="3" s="1"/>
  <c r="AO524" i="3"/>
  <c r="BD521" i="3"/>
  <c r="BG521" i="3"/>
  <c r="BH521" i="3" s="1"/>
  <c r="BI521" i="3" s="1"/>
  <c r="AG524" i="3"/>
  <c r="AW524" i="3" s="1"/>
  <c r="BB521" i="3"/>
  <c r="BQ521" i="3"/>
  <c r="BF521" i="3"/>
  <c r="BJ520" i="3" s="1"/>
  <c r="BK520" i="3" s="1"/>
  <c r="BM525" i="3" l="1"/>
  <c r="AU524" i="3"/>
  <c r="Y525" i="3"/>
  <c r="Z525" i="3" s="1"/>
  <c r="B526" i="3"/>
  <c r="A527" i="3"/>
  <c r="AQ526" i="3"/>
  <c r="AR526" i="3"/>
  <c r="C526" i="3"/>
  <c r="D526" i="3"/>
  <c r="G526" i="3"/>
  <c r="H526" i="3" s="1"/>
  <c r="BN526" i="3" s="1"/>
  <c r="F526" i="3"/>
  <c r="BM526" i="3" s="1"/>
  <c r="Q526" i="3"/>
  <c r="S526" i="3"/>
  <c r="O526" i="3"/>
  <c r="U526" i="3"/>
  <c r="AD526" i="3"/>
  <c r="AF526" i="3"/>
  <c r="M526" i="3"/>
  <c r="AE526" i="3"/>
  <c r="AK526" i="3"/>
  <c r="AM526" i="3"/>
  <c r="R526" i="3"/>
  <c r="T526" i="3"/>
  <c r="P526" i="3"/>
  <c r="V526" i="3"/>
  <c r="AO525" i="3"/>
  <c r="AV523" i="3"/>
  <c r="BC523" i="3" s="1"/>
  <c r="BA523" i="3"/>
  <c r="BD522" i="3"/>
  <c r="BG522" i="3"/>
  <c r="BH522" i="3" s="1"/>
  <c r="BI522" i="3" s="1"/>
  <c r="AH525" i="3"/>
  <c r="AX525" i="3" s="1"/>
  <c r="X525" i="3"/>
  <c r="AT524" i="3"/>
  <c r="BJ521" i="3"/>
  <c r="BK521" i="3" s="1"/>
  <c r="AX524" i="3"/>
  <c r="AY524" i="3" s="1"/>
  <c r="AN526" i="3" l="1"/>
  <c r="X526" i="3"/>
  <c r="BQ523" i="3"/>
  <c r="BB523" i="3"/>
  <c r="BF523" i="3"/>
  <c r="BJ522" i="3" s="1"/>
  <c r="BK522" i="3" s="1"/>
  <c r="BD523" i="3"/>
  <c r="BG523" i="3"/>
  <c r="BH523" i="3" s="1"/>
  <c r="BI523" i="3" s="1"/>
  <c r="Y526" i="3"/>
  <c r="Z526" i="3" s="1"/>
  <c r="AU525" i="3"/>
  <c r="AO526" i="3"/>
  <c r="AH526" i="3"/>
  <c r="AW525" i="3"/>
  <c r="AY525" i="3" s="1"/>
  <c r="AV524" i="3"/>
  <c r="BC524" i="3" s="1"/>
  <c r="BA524" i="3"/>
  <c r="AR527" i="3"/>
  <c r="B527" i="3"/>
  <c r="AQ527" i="3"/>
  <c r="A528" i="3"/>
  <c r="C527" i="3"/>
  <c r="D527" i="3"/>
  <c r="G527" i="3"/>
  <c r="H527" i="3" s="1"/>
  <c r="BN527" i="3" s="1"/>
  <c r="F527" i="3"/>
  <c r="BM527" i="3" s="1"/>
  <c r="Q527" i="3"/>
  <c r="S527" i="3"/>
  <c r="O527" i="3"/>
  <c r="U527" i="3"/>
  <c r="AD527" i="3"/>
  <c r="AE527" i="3"/>
  <c r="AF527" i="3"/>
  <c r="M527" i="3"/>
  <c r="AK527" i="3"/>
  <c r="AM527" i="3"/>
  <c r="P527" i="3"/>
  <c r="V527" i="3"/>
  <c r="T527" i="3"/>
  <c r="R527" i="3"/>
  <c r="AG526" i="3"/>
  <c r="AT525" i="3"/>
  <c r="AX526" i="3" l="1"/>
  <c r="AN527" i="3"/>
  <c r="AG527" i="3"/>
  <c r="AH527" i="3"/>
  <c r="X527" i="3"/>
  <c r="AU526" i="3"/>
  <c r="AT527" i="3"/>
  <c r="BD524" i="3"/>
  <c r="BG524" i="3"/>
  <c r="BH524" i="3" s="1"/>
  <c r="BI524" i="3" s="1"/>
  <c r="AT526" i="3"/>
  <c r="AV525" i="3"/>
  <c r="BC525" i="3" s="1"/>
  <c r="BA525" i="3"/>
  <c r="AW526" i="3"/>
  <c r="AY526" i="3" s="1"/>
  <c r="Y527" i="3"/>
  <c r="Z527" i="3" s="1"/>
  <c r="A529" i="3"/>
  <c r="C528" i="3"/>
  <c r="D528" i="3"/>
  <c r="B528" i="3"/>
  <c r="AQ528" i="3"/>
  <c r="AR528" i="3"/>
  <c r="G528" i="3"/>
  <c r="H528" i="3" s="1"/>
  <c r="F528" i="3"/>
  <c r="Q528" i="3"/>
  <c r="S528" i="3"/>
  <c r="O528" i="3"/>
  <c r="U528" i="3"/>
  <c r="AK528" i="3"/>
  <c r="AD528" i="3"/>
  <c r="AF528" i="3"/>
  <c r="AE528" i="3"/>
  <c r="AG528" i="3" s="1"/>
  <c r="M528" i="3"/>
  <c r="AM528" i="3"/>
  <c r="AN528" i="3" s="1"/>
  <c r="V528" i="3"/>
  <c r="R528" i="3"/>
  <c r="P528" i="3"/>
  <c r="T528" i="3"/>
  <c r="AO527" i="3"/>
  <c r="BQ524" i="3"/>
  <c r="BB524" i="3"/>
  <c r="BF524" i="3"/>
  <c r="BJ523" i="3" s="1"/>
  <c r="BK523" i="3" s="1"/>
  <c r="BN528" i="3" l="1"/>
  <c r="BD525" i="3"/>
  <c r="BG525" i="3"/>
  <c r="BH525" i="3" s="1"/>
  <c r="BI525" i="3" s="1"/>
  <c r="BM528" i="3"/>
  <c r="AO528" i="3"/>
  <c r="AQ529" i="3"/>
  <c r="B529" i="3"/>
  <c r="A530" i="3"/>
  <c r="AR529" i="3"/>
  <c r="D529" i="3"/>
  <c r="C529" i="3"/>
  <c r="G529" i="3"/>
  <c r="H529" i="3" s="1"/>
  <c r="BN529" i="3" s="1"/>
  <c r="F529" i="3"/>
  <c r="BM529" i="3" s="1"/>
  <c r="Q529" i="3"/>
  <c r="S529" i="3"/>
  <c r="O529" i="3"/>
  <c r="U529" i="3"/>
  <c r="AF529" i="3"/>
  <c r="M529" i="3"/>
  <c r="AD529" i="3"/>
  <c r="AE529" i="3"/>
  <c r="AM529" i="3"/>
  <c r="AK529" i="3"/>
  <c r="T529" i="3"/>
  <c r="V529" i="3"/>
  <c r="P529" i="3"/>
  <c r="R529" i="3"/>
  <c r="AH528" i="3"/>
  <c r="AX528" i="3" s="1"/>
  <c r="X528" i="3"/>
  <c r="AU528" i="3"/>
  <c r="AX527" i="3"/>
  <c r="AU527" i="3"/>
  <c r="AV527" i="3" s="1"/>
  <c r="BF525" i="3"/>
  <c r="BJ524" i="3" s="1"/>
  <c r="BK524" i="3" s="1"/>
  <c r="BQ525" i="3"/>
  <c r="BB525" i="3"/>
  <c r="AV526" i="3"/>
  <c r="BC526" i="3" s="1"/>
  <c r="BA526" i="3"/>
  <c r="Y528" i="3"/>
  <c r="Z528" i="3" s="1"/>
  <c r="AW527" i="3"/>
  <c r="AG529" i="3" l="1"/>
  <c r="BA527" i="3"/>
  <c r="AN529" i="3"/>
  <c r="AY527" i="3"/>
  <c r="BC527" i="3" s="1"/>
  <c r="BQ527" i="3"/>
  <c r="BB527" i="3"/>
  <c r="BF527" i="3"/>
  <c r="B530" i="3"/>
  <c r="A531" i="3"/>
  <c r="AQ530" i="3"/>
  <c r="AR530" i="3"/>
  <c r="D530" i="3"/>
  <c r="C530" i="3"/>
  <c r="F530" i="3"/>
  <c r="BM530" i="3" s="1"/>
  <c r="G530" i="3"/>
  <c r="H530" i="3" s="1"/>
  <c r="Q530" i="3"/>
  <c r="S530" i="3"/>
  <c r="O530" i="3"/>
  <c r="U530" i="3"/>
  <c r="AF530" i="3"/>
  <c r="AD530" i="3"/>
  <c r="AE530" i="3"/>
  <c r="AG530" i="3" s="1"/>
  <c r="AM530" i="3"/>
  <c r="AK530" i="3"/>
  <c r="M530" i="3"/>
  <c r="R530" i="3"/>
  <c r="P530" i="3"/>
  <c r="V530" i="3"/>
  <c r="T530" i="3"/>
  <c r="AO529" i="3"/>
  <c r="BD526" i="3"/>
  <c r="BG526" i="3"/>
  <c r="BH526" i="3" s="1"/>
  <c r="BI526" i="3" s="1"/>
  <c r="AH529" i="3"/>
  <c r="AU529" i="3" s="1"/>
  <c r="AW528" i="3"/>
  <c r="AY528" i="3" s="1"/>
  <c r="Y529" i="3"/>
  <c r="Z529" i="3" s="1"/>
  <c r="AT528" i="3"/>
  <c r="BQ526" i="3"/>
  <c r="BF526" i="3"/>
  <c r="BJ525" i="3" s="1"/>
  <c r="BK525" i="3" s="1"/>
  <c r="BB526" i="3"/>
  <c r="X529" i="3"/>
  <c r="AO530" i="3" l="1"/>
  <c r="AT529" i="3"/>
  <c r="AV529" i="3" s="1"/>
  <c r="BG527" i="3"/>
  <c r="BH527" i="3" s="1"/>
  <c r="BI527" i="3" s="1"/>
  <c r="BD527" i="3"/>
  <c r="AW529" i="3"/>
  <c r="B531" i="3"/>
  <c r="AQ531" i="3"/>
  <c r="A532" i="3"/>
  <c r="C531" i="3"/>
  <c r="D531" i="3"/>
  <c r="AR531" i="3"/>
  <c r="F531" i="3"/>
  <c r="BM531" i="3" s="1"/>
  <c r="G531" i="3"/>
  <c r="H531" i="3" s="1"/>
  <c r="BN531" i="3" s="1"/>
  <c r="S531" i="3"/>
  <c r="Q531" i="3"/>
  <c r="O531" i="3"/>
  <c r="U531" i="3"/>
  <c r="AF531" i="3"/>
  <c r="M531" i="3"/>
  <c r="AD531" i="3"/>
  <c r="AE531" i="3"/>
  <c r="AM531" i="3"/>
  <c r="AK531" i="3"/>
  <c r="R531" i="3"/>
  <c r="V531" i="3"/>
  <c r="P531" i="3"/>
  <c r="T531" i="3"/>
  <c r="AV528" i="3"/>
  <c r="BC528" i="3" s="1"/>
  <c r="BA528" i="3"/>
  <c r="BN530" i="3"/>
  <c r="Y530" i="3"/>
  <c r="Z530" i="3" s="1"/>
  <c r="AN530" i="3"/>
  <c r="AW530" i="3" s="1"/>
  <c r="X530" i="3"/>
  <c r="AH530" i="3"/>
  <c r="AU530" i="3" s="1"/>
  <c r="AX529" i="3"/>
  <c r="BJ526" i="3"/>
  <c r="BK526" i="3" s="1"/>
  <c r="AO531" i="3" l="1"/>
  <c r="BA529" i="3"/>
  <c r="AY529" i="3"/>
  <c r="BC529" i="3" s="1"/>
  <c r="AH531" i="3"/>
  <c r="BB528" i="3"/>
  <c r="BF528" i="3"/>
  <c r="BJ527" i="3" s="1"/>
  <c r="BK527" i="3" s="1"/>
  <c r="BQ528" i="3"/>
  <c r="BD528" i="3"/>
  <c r="BG528" i="3"/>
  <c r="BH528" i="3" s="1"/>
  <c r="BI528" i="3" s="1"/>
  <c r="Y531" i="3"/>
  <c r="Z531" i="3" s="1"/>
  <c r="BB529" i="3"/>
  <c r="BF529" i="3"/>
  <c r="BJ528" i="3" s="1"/>
  <c r="BK528" i="3" s="1"/>
  <c r="BQ529" i="3"/>
  <c r="X531" i="3"/>
  <c r="B532" i="3"/>
  <c r="AQ532" i="3"/>
  <c r="AR532" i="3"/>
  <c r="A533" i="3"/>
  <c r="D532" i="3"/>
  <c r="C532" i="3"/>
  <c r="G532" i="3"/>
  <c r="H532" i="3" s="1"/>
  <c r="BN532" i="3" s="1"/>
  <c r="F532" i="3"/>
  <c r="BM532" i="3" s="1"/>
  <c r="Q532" i="3"/>
  <c r="S532" i="3"/>
  <c r="O532" i="3"/>
  <c r="U532" i="3"/>
  <c r="AF532" i="3"/>
  <c r="AE532" i="3"/>
  <c r="AD532" i="3"/>
  <c r="M532" i="3"/>
  <c r="AM532" i="3"/>
  <c r="AK532" i="3"/>
  <c r="P532" i="3"/>
  <c r="R532" i="3"/>
  <c r="V532" i="3"/>
  <c r="T532" i="3"/>
  <c r="AX530" i="3"/>
  <c r="AY530" i="3" s="1"/>
  <c r="AN531" i="3"/>
  <c r="AG531" i="3"/>
  <c r="AW531" i="3" s="1"/>
  <c r="AT530" i="3"/>
  <c r="BD529" i="3" l="1"/>
  <c r="BG529" i="3"/>
  <c r="BH529" i="3" s="1"/>
  <c r="BI529" i="3" s="1"/>
  <c r="AO532" i="3"/>
  <c r="AH532" i="3"/>
  <c r="BA530" i="3"/>
  <c r="AV530" i="3"/>
  <c r="BC530" i="3" s="1"/>
  <c r="X532" i="3"/>
  <c r="Y532" i="3"/>
  <c r="Z532" i="3" s="1"/>
  <c r="D533" i="3"/>
  <c r="A534" i="3"/>
  <c r="C533" i="3"/>
  <c r="AQ533" i="3"/>
  <c r="B533" i="3"/>
  <c r="AR533" i="3"/>
  <c r="G533" i="3"/>
  <c r="H533" i="3" s="1"/>
  <c r="BN533" i="3" s="1"/>
  <c r="F533" i="3"/>
  <c r="BM533" i="3" s="1"/>
  <c r="Q533" i="3"/>
  <c r="S533" i="3"/>
  <c r="O533" i="3"/>
  <c r="U533" i="3"/>
  <c r="M533" i="3"/>
  <c r="AF533" i="3"/>
  <c r="AD533" i="3"/>
  <c r="AE533" i="3"/>
  <c r="AM533" i="3"/>
  <c r="AK533" i="3"/>
  <c r="R533" i="3"/>
  <c r="V533" i="3"/>
  <c r="P533" i="3"/>
  <c r="T533" i="3"/>
  <c r="AX531" i="3"/>
  <c r="AY531" i="3" s="1"/>
  <c r="AG532" i="3"/>
  <c r="AT531" i="3"/>
  <c r="AU531" i="3"/>
  <c r="AN532" i="3"/>
  <c r="AX532" i="3" l="1"/>
  <c r="AG533" i="3"/>
  <c r="AN533" i="3"/>
  <c r="AW532" i="3"/>
  <c r="BA531" i="3"/>
  <c r="AV531" i="3"/>
  <c r="BC531" i="3" s="1"/>
  <c r="X533" i="3"/>
  <c r="AY532" i="3"/>
  <c r="AO533" i="3"/>
  <c r="B534" i="3"/>
  <c r="A535" i="3"/>
  <c r="AQ534" i="3"/>
  <c r="AR534" i="3"/>
  <c r="D534" i="3"/>
  <c r="C534" i="3"/>
  <c r="F534" i="3"/>
  <c r="BM534" i="3" s="1"/>
  <c r="G534" i="3"/>
  <c r="H534" i="3" s="1"/>
  <c r="Q534" i="3"/>
  <c r="S534" i="3"/>
  <c r="O534" i="3"/>
  <c r="U534" i="3"/>
  <c r="AF534" i="3"/>
  <c r="AD534" i="3"/>
  <c r="M534" i="3"/>
  <c r="AK534" i="3"/>
  <c r="AM534" i="3"/>
  <c r="AE534" i="3"/>
  <c r="AG534" i="3" s="1"/>
  <c r="R534" i="3"/>
  <c r="V534" i="3"/>
  <c r="P534" i="3"/>
  <c r="T534" i="3"/>
  <c r="Y533" i="3"/>
  <c r="Z533" i="3" s="1"/>
  <c r="AH533" i="3"/>
  <c r="BG530" i="3"/>
  <c r="BH530" i="3" s="1"/>
  <c r="BI530" i="3" s="1"/>
  <c r="BD530" i="3"/>
  <c r="AU532" i="3"/>
  <c r="BF530" i="3"/>
  <c r="BJ529" i="3" s="1"/>
  <c r="BK529" i="3" s="1"/>
  <c r="BQ530" i="3"/>
  <c r="BB530" i="3"/>
  <c r="AT532" i="3"/>
  <c r="AU533" i="3" l="1"/>
  <c r="BN534" i="3"/>
  <c r="AO534" i="3"/>
  <c r="AT533" i="3"/>
  <c r="AW533" i="3"/>
  <c r="AR535" i="3"/>
  <c r="B535" i="3"/>
  <c r="D535" i="3"/>
  <c r="AQ535" i="3"/>
  <c r="C535" i="3"/>
  <c r="A536" i="3"/>
  <c r="F535" i="3"/>
  <c r="BM535" i="3" s="1"/>
  <c r="G535" i="3"/>
  <c r="H535" i="3" s="1"/>
  <c r="BN535" i="3" s="1"/>
  <c r="Q535" i="3"/>
  <c r="S535" i="3"/>
  <c r="O535" i="3"/>
  <c r="U535" i="3"/>
  <c r="AF535" i="3"/>
  <c r="AE535" i="3"/>
  <c r="AD535" i="3"/>
  <c r="M535" i="3"/>
  <c r="AK535" i="3"/>
  <c r="AM535" i="3"/>
  <c r="P535" i="3"/>
  <c r="R535" i="3"/>
  <c r="V535" i="3"/>
  <c r="T535" i="3"/>
  <c r="AV532" i="3"/>
  <c r="BC532" i="3" s="1"/>
  <c r="BA532" i="3"/>
  <c r="BA533" i="3"/>
  <c r="AV533" i="3"/>
  <c r="AH534" i="3"/>
  <c r="AX534" i="3" s="1"/>
  <c r="BD531" i="3"/>
  <c r="BG531" i="3"/>
  <c r="BH531" i="3" s="1"/>
  <c r="BI531" i="3" s="1"/>
  <c r="Y534" i="3"/>
  <c r="Z534" i="3" s="1"/>
  <c r="AN534" i="3"/>
  <c r="X534" i="3"/>
  <c r="AX533" i="3"/>
  <c r="BB531" i="3"/>
  <c r="BF531" i="3"/>
  <c r="BJ530" i="3" s="1"/>
  <c r="BK530" i="3" s="1"/>
  <c r="BQ531" i="3"/>
  <c r="AY533" i="3" l="1"/>
  <c r="BC533" i="3" s="1"/>
  <c r="AN535" i="3"/>
  <c r="X535" i="3"/>
  <c r="BQ533" i="3"/>
  <c r="BF533" i="3"/>
  <c r="BB533" i="3"/>
  <c r="BD532" i="3"/>
  <c r="BG532" i="3"/>
  <c r="BH532" i="3" s="1"/>
  <c r="BI532" i="3" s="1"/>
  <c r="AW534" i="3"/>
  <c r="AY534" i="3" s="1"/>
  <c r="AO535" i="3"/>
  <c r="AH535" i="3"/>
  <c r="AT534" i="3"/>
  <c r="BB532" i="3"/>
  <c r="BQ532" i="3"/>
  <c r="BF532" i="3"/>
  <c r="BJ531" i="3" s="1"/>
  <c r="BK531" i="3" s="1"/>
  <c r="A537" i="3"/>
  <c r="D536" i="3"/>
  <c r="C536" i="3"/>
  <c r="B536" i="3"/>
  <c r="AQ536" i="3"/>
  <c r="AR536" i="3"/>
  <c r="F536" i="3"/>
  <c r="BM536" i="3" s="1"/>
  <c r="G536" i="3"/>
  <c r="H536" i="3" s="1"/>
  <c r="Q536" i="3"/>
  <c r="S536" i="3"/>
  <c r="O536" i="3"/>
  <c r="U536" i="3"/>
  <c r="AF536" i="3"/>
  <c r="AE536" i="3"/>
  <c r="M536" i="3"/>
  <c r="AD536" i="3"/>
  <c r="AM536" i="3"/>
  <c r="AK536" i="3"/>
  <c r="V536" i="3"/>
  <c r="R536" i="3"/>
  <c r="P536" i="3"/>
  <c r="T536" i="3"/>
  <c r="Y535" i="3"/>
  <c r="Z535" i="3" s="1"/>
  <c r="AU534" i="3"/>
  <c r="AG535" i="3"/>
  <c r="AH536" i="3" l="1"/>
  <c r="BN536" i="3"/>
  <c r="AN536" i="3"/>
  <c r="AW535" i="3"/>
  <c r="AV534" i="3"/>
  <c r="BC534" i="3" s="1"/>
  <c r="BA534" i="3"/>
  <c r="AG536" i="3"/>
  <c r="AW536" i="3" s="1"/>
  <c r="AX535" i="3"/>
  <c r="AY535" i="3" s="1"/>
  <c r="BJ532" i="3"/>
  <c r="BK532" i="3" s="1"/>
  <c r="AU535" i="3"/>
  <c r="AQ537" i="3"/>
  <c r="B537" i="3"/>
  <c r="A538" i="3"/>
  <c r="AR537" i="3"/>
  <c r="D537" i="3"/>
  <c r="C537" i="3"/>
  <c r="F537" i="3"/>
  <c r="G537" i="3"/>
  <c r="H537" i="3" s="1"/>
  <c r="Q537" i="3"/>
  <c r="S537" i="3"/>
  <c r="O537" i="3"/>
  <c r="U537" i="3"/>
  <c r="AF537" i="3"/>
  <c r="AE537" i="3"/>
  <c r="M537" i="3"/>
  <c r="AD537" i="3"/>
  <c r="AK537" i="3"/>
  <c r="AM537" i="3"/>
  <c r="AN537" i="3" s="1"/>
  <c r="P537" i="3"/>
  <c r="R537" i="3"/>
  <c r="V537" i="3"/>
  <c r="T537" i="3"/>
  <c r="X536" i="3"/>
  <c r="AT535" i="3"/>
  <c r="Y536" i="3"/>
  <c r="Z536" i="3" s="1"/>
  <c r="AO536" i="3"/>
  <c r="BD533" i="3"/>
  <c r="BG533" i="3"/>
  <c r="BH533" i="3" s="1"/>
  <c r="BI533" i="3" s="1"/>
  <c r="BN537" i="3" l="1"/>
  <c r="AO537" i="3"/>
  <c r="AT536" i="3"/>
  <c r="AV535" i="3"/>
  <c r="BC535" i="3" s="1"/>
  <c r="BA535" i="3"/>
  <c r="AG537" i="3"/>
  <c r="AH537" i="3"/>
  <c r="AX537" i="3" s="1"/>
  <c r="AX536" i="3"/>
  <c r="AY536" i="3" s="1"/>
  <c r="BM537" i="3"/>
  <c r="BB534" i="3"/>
  <c r="BF534" i="3"/>
  <c r="BJ533" i="3" s="1"/>
  <c r="BK533" i="3" s="1"/>
  <c r="BQ534" i="3"/>
  <c r="Y537" i="3"/>
  <c r="Z537" i="3" s="1"/>
  <c r="B538" i="3"/>
  <c r="A539" i="3"/>
  <c r="AQ538" i="3"/>
  <c r="AR538" i="3"/>
  <c r="C538" i="3"/>
  <c r="D538" i="3"/>
  <c r="F538" i="3"/>
  <c r="BM538" i="3" s="1"/>
  <c r="G538" i="3"/>
  <c r="H538" i="3" s="1"/>
  <c r="BN538" i="3" s="1"/>
  <c r="Q538" i="3"/>
  <c r="S538" i="3"/>
  <c r="O538" i="3"/>
  <c r="U538" i="3"/>
  <c r="AF538" i="3"/>
  <c r="AD538" i="3"/>
  <c r="M538" i="3"/>
  <c r="AK538" i="3"/>
  <c r="AE538" i="3"/>
  <c r="AG538" i="3" s="1"/>
  <c r="AM538" i="3"/>
  <c r="V538" i="3"/>
  <c r="T538" i="3"/>
  <c r="R538" i="3"/>
  <c r="P538" i="3"/>
  <c r="X537" i="3"/>
  <c r="AU536" i="3"/>
  <c r="AV536" i="3" s="1"/>
  <c r="BD534" i="3"/>
  <c r="BG534" i="3"/>
  <c r="BH534" i="3" s="1"/>
  <c r="BI534" i="3" s="1"/>
  <c r="AO538" i="3" l="1"/>
  <c r="BC536" i="3"/>
  <c r="X538" i="3"/>
  <c r="AT537" i="3"/>
  <c r="BA536" i="3"/>
  <c r="Y538" i="3"/>
  <c r="Z538" i="3" s="1"/>
  <c r="BB535" i="3"/>
  <c r="BF535" i="3"/>
  <c r="BJ534" i="3" s="1"/>
  <c r="BK534" i="3" s="1"/>
  <c r="BQ535" i="3"/>
  <c r="AH538" i="3"/>
  <c r="AU537" i="3"/>
  <c r="AW537" i="3"/>
  <c r="AY537" i="3" s="1"/>
  <c r="AT538" i="3"/>
  <c r="AN538" i="3"/>
  <c r="B539" i="3"/>
  <c r="AQ539" i="3"/>
  <c r="A540" i="3"/>
  <c r="C539" i="3"/>
  <c r="D539" i="3"/>
  <c r="AR539" i="3"/>
  <c r="G539" i="3"/>
  <c r="H539" i="3" s="1"/>
  <c r="BN539" i="3" s="1"/>
  <c r="F539" i="3"/>
  <c r="BM539" i="3" s="1"/>
  <c r="Q539" i="3"/>
  <c r="S539" i="3"/>
  <c r="O539" i="3"/>
  <c r="U539" i="3"/>
  <c r="AK539" i="3"/>
  <c r="AF539" i="3"/>
  <c r="AD539" i="3"/>
  <c r="AE539" i="3"/>
  <c r="M539" i="3"/>
  <c r="AM539" i="3"/>
  <c r="R539" i="3"/>
  <c r="T539" i="3"/>
  <c r="V539" i="3"/>
  <c r="P539" i="3"/>
  <c r="BD535" i="3"/>
  <c r="BG535" i="3"/>
  <c r="BH535" i="3" s="1"/>
  <c r="BI535" i="3" s="1"/>
  <c r="AO539" i="3" l="1"/>
  <c r="AX538" i="3"/>
  <c r="X539" i="3"/>
  <c r="BB536" i="3"/>
  <c r="BF536" i="3"/>
  <c r="BJ535" i="3" s="1"/>
  <c r="BK535" i="3" s="1"/>
  <c r="BQ536" i="3"/>
  <c r="AU538" i="3"/>
  <c r="Y539" i="3"/>
  <c r="Z539" i="3" s="1"/>
  <c r="BA537" i="3"/>
  <c r="AV537" i="3"/>
  <c r="BC537" i="3" s="1"/>
  <c r="AN539" i="3"/>
  <c r="AW538" i="3"/>
  <c r="BA538" i="3" s="1"/>
  <c r="AH539" i="3"/>
  <c r="AX539" i="3" s="1"/>
  <c r="AV538" i="3"/>
  <c r="B540" i="3"/>
  <c r="AQ540" i="3"/>
  <c r="AR540" i="3"/>
  <c r="A541" i="3"/>
  <c r="D540" i="3"/>
  <c r="C540" i="3"/>
  <c r="G540" i="3"/>
  <c r="H540" i="3" s="1"/>
  <c r="BN540" i="3" s="1"/>
  <c r="F540" i="3"/>
  <c r="BM540" i="3" s="1"/>
  <c r="Q540" i="3"/>
  <c r="S540" i="3"/>
  <c r="O540" i="3"/>
  <c r="U540" i="3"/>
  <c r="AD540" i="3"/>
  <c r="AF540" i="3"/>
  <c r="M540" i="3"/>
  <c r="AM540" i="3"/>
  <c r="AE540" i="3"/>
  <c r="AK540" i="3"/>
  <c r="V540" i="3"/>
  <c r="P540" i="3"/>
  <c r="R540" i="3"/>
  <c r="T540" i="3"/>
  <c r="AG539" i="3"/>
  <c r="BD536" i="3"/>
  <c r="BG536" i="3"/>
  <c r="BH536" i="3" s="1"/>
  <c r="BI536" i="3" s="1"/>
  <c r="AY538" i="3" l="1"/>
  <c r="AG540" i="3"/>
  <c r="AN540" i="3"/>
  <c r="AT539" i="3"/>
  <c r="AH540" i="3"/>
  <c r="AT540" i="3" s="1"/>
  <c r="BB538" i="3"/>
  <c r="BF538" i="3"/>
  <c r="BQ538" i="3"/>
  <c r="X540" i="3"/>
  <c r="BF537" i="3"/>
  <c r="BJ536" i="3" s="1"/>
  <c r="BK536" i="3" s="1"/>
  <c r="BQ537" i="3"/>
  <c r="BB537" i="3"/>
  <c r="AW539" i="3"/>
  <c r="AY539" i="3" s="1"/>
  <c r="AV539" i="3"/>
  <c r="BC538" i="3"/>
  <c r="BD537" i="3"/>
  <c r="BG537" i="3"/>
  <c r="BH537" i="3" s="1"/>
  <c r="BI537" i="3" s="1"/>
  <c r="AU539" i="3"/>
  <c r="D541" i="3"/>
  <c r="A542" i="3"/>
  <c r="AR541" i="3"/>
  <c r="C541" i="3"/>
  <c r="AQ541" i="3"/>
  <c r="B541" i="3"/>
  <c r="F541" i="3"/>
  <c r="BM541" i="3" s="1"/>
  <c r="G541" i="3"/>
  <c r="H541" i="3" s="1"/>
  <c r="BN541" i="3" s="1"/>
  <c r="Q541" i="3"/>
  <c r="S541" i="3"/>
  <c r="O541" i="3"/>
  <c r="U541" i="3"/>
  <c r="M541" i="3"/>
  <c r="AF541" i="3"/>
  <c r="AD541" i="3"/>
  <c r="AK541" i="3"/>
  <c r="AE541" i="3"/>
  <c r="AM541" i="3"/>
  <c r="T541" i="3"/>
  <c r="P541" i="3"/>
  <c r="V541" i="3"/>
  <c r="R541" i="3"/>
  <c r="Y540" i="3"/>
  <c r="Z540" i="3" s="1"/>
  <c r="AO540" i="3"/>
  <c r="AW540" i="3" s="1"/>
  <c r="AU540" i="3"/>
  <c r="AN541" i="3" l="1"/>
  <c r="BA539" i="3"/>
  <c r="AG541" i="3"/>
  <c r="BD538" i="3"/>
  <c r="BG538" i="3"/>
  <c r="BH538" i="3" s="1"/>
  <c r="BI538" i="3" s="1"/>
  <c r="X541" i="3"/>
  <c r="BC539" i="3"/>
  <c r="AW541" i="3"/>
  <c r="AY541" i="3" s="1"/>
  <c r="BB539" i="3"/>
  <c r="BF539" i="3"/>
  <c r="BJ538" i="3" s="1"/>
  <c r="BK538" i="3" s="1"/>
  <c r="BQ539" i="3"/>
  <c r="Y541" i="3"/>
  <c r="Z541" i="3" s="1"/>
  <c r="B542" i="3"/>
  <c r="A543" i="3"/>
  <c r="AQ542" i="3"/>
  <c r="AR542" i="3"/>
  <c r="C542" i="3"/>
  <c r="D542" i="3"/>
  <c r="G542" i="3"/>
  <c r="H542" i="3" s="1"/>
  <c r="BN542" i="3" s="1"/>
  <c r="F542" i="3"/>
  <c r="BM542" i="3" s="1"/>
  <c r="Q542" i="3"/>
  <c r="S542" i="3"/>
  <c r="O542" i="3"/>
  <c r="U542" i="3"/>
  <c r="AE542" i="3"/>
  <c r="AF542" i="3"/>
  <c r="AD542" i="3"/>
  <c r="M542" i="3"/>
  <c r="AK542" i="3"/>
  <c r="AM542" i="3"/>
  <c r="V542" i="3"/>
  <c r="R542" i="3"/>
  <c r="T542" i="3"/>
  <c r="P542" i="3"/>
  <c r="AO541" i="3"/>
  <c r="BJ537" i="3"/>
  <c r="BK537" i="3" s="1"/>
  <c r="AH541" i="3"/>
  <c r="AX541" i="3" s="1"/>
  <c r="AV540" i="3"/>
  <c r="AX540" i="3"/>
  <c r="AY540" i="3" s="1"/>
  <c r="AU541" i="3" l="1"/>
  <c r="AH542" i="3"/>
  <c r="AN542" i="3"/>
  <c r="Y542" i="3"/>
  <c r="Z542" i="3" s="1"/>
  <c r="AO542" i="3"/>
  <c r="AR543" i="3"/>
  <c r="B543" i="3"/>
  <c r="AQ543" i="3"/>
  <c r="A544" i="3"/>
  <c r="C543" i="3"/>
  <c r="D543" i="3"/>
  <c r="F543" i="3"/>
  <c r="BM543" i="3" s="1"/>
  <c r="G543" i="3"/>
  <c r="H543" i="3" s="1"/>
  <c r="BN543" i="3" s="1"/>
  <c r="Q543" i="3"/>
  <c r="S543" i="3"/>
  <c r="O543" i="3"/>
  <c r="U543" i="3"/>
  <c r="M543" i="3"/>
  <c r="AM543" i="3"/>
  <c r="AK543" i="3"/>
  <c r="AD543" i="3"/>
  <c r="AF543" i="3"/>
  <c r="AE543" i="3"/>
  <c r="V543" i="3"/>
  <c r="T543" i="3"/>
  <c r="R543" i="3"/>
  <c r="P543" i="3"/>
  <c r="AG542" i="3"/>
  <c r="AW542" i="3" s="1"/>
  <c r="X542" i="3"/>
  <c r="BA540" i="3"/>
  <c r="BC540" i="3"/>
  <c r="AT541" i="3"/>
  <c r="BD539" i="3"/>
  <c r="BG539" i="3"/>
  <c r="BH539" i="3" s="1"/>
  <c r="BI539" i="3" s="1"/>
  <c r="AG543" i="3" l="1"/>
  <c r="X543" i="3"/>
  <c r="AO543" i="3"/>
  <c r="BB540" i="3"/>
  <c r="BQ540" i="3"/>
  <c r="BF540" i="3"/>
  <c r="BJ539" i="3" s="1"/>
  <c r="BK539" i="3" s="1"/>
  <c r="Y543" i="3"/>
  <c r="Z543" i="3" s="1"/>
  <c r="BA541" i="3"/>
  <c r="AV541" i="3"/>
  <c r="BC541" i="3" s="1"/>
  <c r="BD540" i="3"/>
  <c r="BG540" i="3"/>
  <c r="BH540" i="3" s="1"/>
  <c r="BI540" i="3" s="1"/>
  <c r="A545" i="3"/>
  <c r="C544" i="3"/>
  <c r="D544" i="3"/>
  <c r="B544" i="3"/>
  <c r="AQ544" i="3"/>
  <c r="AR544" i="3"/>
  <c r="G544" i="3"/>
  <c r="H544" i="3" s="1"/>
  <c r="F544" i="3"/>
  <c r="Q544" i="3"/>
  <c r="S544" i="3"/>
  <c r="O544" i="3"/>
  <c r="U544" i="3"/>
  <c r="AF544" i="3"/>
  <c r="AE544" i="3"/>
  <c r="AD544" i="3"/>
  <c r="M544" i="3"/>
  <c r="AM544" i="3"/>
  <c r="AK544" i="3"/>
  <c r="P544" i="3"/>
  <c r="V544" i="3"/>
  <c r="R544" i="3"/>
  <c r="T544" i="3"/>
  <c r="AH543" i="3"/>
  <c r="AT542" i="3"/>
  <c r="AN543" i="3"/>
  <c r="AX542" i="3"/>
  <c r="AY542" i="3" s="1"/>
  <c r="AU542" i="3"/>
  <c r="AO544" i="3" l="1"/>
  <c r="AH544" i="3"/>
  <c r="AT543" i="3"/>
  <c r="Y544" i="3"/>
  <c r="Z544" i="3" s="1"/>
  <c r="AW543" i="3"/>
  <c r="BB541" i="3"/>
  <c r="BF541" i="3"/>
  <c r="BJ540" i="3" s="1"/>
  <c r="BK540" i="3" s="1"/>
  <c r="BQ541" i="3"/>
  <c r="AN544" i="3"/>
  <c r="X544" i="3"/>
  <c r="AU543" i="3"/>
  <c r="AG544" i="3"/>
  <c r="AW544" i="3" s="1"/>
  <c r="BG541" i="3"/>
  <c r="BH541" i="3" s="1"/>
  <c r="BI541" i="3" s="1"/>
  <c r="BD541" i="3"/>
  <c r="AV543" i="3"/>
  <c r="BA542" i="3"/>
  <c r="AV542" i="3"/>
  <c r="BC542" i="3" s="1"/>
  <c r="AQ545" i="3"/>
  <c r="B545" i="3"/>
  <c r="A546" i="3"/>
  <c r="AR545" i="3"/>
  <c r="D545" i="3"/>
  <c r="C545" i="3"/>
  <c r="G545" i="3"/>
  <c r="H545" i="3" s="1"/>
  <c r="BN545" i="3" s="1"/>
  <c r="F545" i="3"/>
  <c r="BM545" i="3" s="1"/>
  <c r="S545" i="3"/>
  <c r="Q545" i="3"/>
  <c r="O545" i="3"/>
  <c r="U545" i="3"/>
  <c r="AE545" i="3"/>
  <c r="M545" i="3"/>
  <c r="AF545" i="3"/>
  <c r="AD545" i="3"/>
  <c r="AM545" i="3"/>
  <c r="AK545" i="3"/>
  <c r="V545" i="3"/>
  <c r="R545" i="3"/>
  <c r="P545" i="3"/>
  <c r="T545" i="3"/>
  <c r="BM544" i="3"/>
  <c r="BN544" i="3"/>
  <c r="AX543" i="3"/>
  <c r="AY543" i="3" s="1"/>
  <c r="AU544" i="3" l="1"/>
  <c r="AT544" i="3"/>
  <c r="AN545" i="3"/>
  <c r="BA543" i="3"/>
  <c r="BG542" i="3"/>
  <c r="BH542" i="3" s="1"/>
  <c r="BI542" i="3" s="1"/>
  <c r="BD542" i="3"/>
  <c r="AG545" i="3"/>
  <c r="BF542" i="3"/>
  <c r="BJ541" i="3" s="1"/>
  <c r="BK541" i="3" s="1"/>
  <c r="BQ542" i="3"/>
  <c r="BB542" i="3"/>
  <c r="AH545" i="3"/>
  <c r="AX545" i="3" s="1"/>
  <c r="X545" i="3"/>
  <c r="AT545" i="3"/>
  <c r="Y545" i="3"/>
  <c r="Z545" i="3" s="1"/>
  <c r="AQ546" i="3"/>
  <c r="A547" i="3"/>
  <c r="AR546" i="3"/>
  <c r="B546" i="3"/>
  <c r="C546" i="3"/>
  <c r="D546" i="3"/>
  <c r="F546" i="3"/>
  <c r="BM546" i="3" s="1"/>
  <c r="G546" i="3"/>
  <c r="H546" i="3" s="1"/>
  <c r="BN546" i="3" s="1"/>
  <c r="Q546" i="3"/>
  <c r="S546" i="3"/>
  <c r="O546" i="3"/>
  <c r="U546" i="3"/>
  <c r="AD546" i="3"/>
  <c r="AF546" i="3"/>
  <c r="M546" i="3"/>
  <c r="AK546" i="3"/>
  <c r="AE546" i="3"/>
  <c r="AG546" i="3" s="1"/>
  <c r="AM546" i="3"/>
  <c r="R546" i="3"/>
  <c r="P546" i="3"/>
  <c r="V546" i="3"/>
  <c r="T546" i="3"/>
  <c r="BC543" i="3"/>
  <c r="AV544" i="3"/>
  <c r="AX544" i="3"/>
  <c r="AY544" i="3" s="1"/>
  <c r="AO545" i="3"/>
  <c r="AN546" i="3" l="1"/>
  <c r="X546" i="3"/>
  <c r="BA544" i="3"/>
  <c r="BC544" i="3"/>
  <c r="B547" i="3"/>
  <c r="AQ547" i="3"/>
  <c r="A548" i="3"/>
  <c r="D547" i="3"/>
  <c r="C547" i="3"/>
  <c r="AR547" i="3"/>
  <c r="F547" i="3"/>
  <c r="BM547" i="3" s="1"/>
  <c r="G547" i="3"/>
  <c r="H547" i="3" s="1"/>
  <c r="BN547" i="3" s="1"/>
  <c r="Q547" i="3"/>
  <c r="S547" i="3"/>
  <c r="O547" i="3"/>
  <c r="U547" i="3"/>
  <c r="AF547" i="3"/>
  <c r="AD547" i="3"/>
  <c r="M547" i="3"/>
  <c r="AM547" i="3"/>
  <c r="AK547" i="3"/>
  <c r="AE547" i="3"/>
  <c r="R547" i="3"/>
  <c r="P547" i="3"/>
  <c r="V547" i="3"/>
  <c r="T547" i="3"/>
  <c r="AH546" i="3"/>
  <c r="AW545" i="3"/>
  <c r="AY545" i="3" s="1"/>
  <c r="BD543" i="3"/>
  <c r="BG543" i="3"/>
  <c r="BH543" i="3" s="1"/>
  <c r="BI543" i="3" s="1"/>
  <c r="AO546" i="3"/>
  <c r="AU545" i="3"/>
  <c r="AV545" i="3" s="1"/>
  <c r="Y546" i="3"/>
  <c r="Z546" i="3" s="1"/>
  <c r="BQ543" i="3"/>
  <c r="BF543" i="3"/>
  <c r="BJ542" i="3" s="1"/>
  <c r="BK542" i="3" s="1"/>
  <c r="BB543" i="3"/>
  <c r="AO547" i="3" l="1"/>
  <c r="AX546" i="3"/>
  <c r="AG547" i="3"/>
  <c r="X547" i="3"/>
  <c r="BA545" i="3"/>
  <c r="B548" i="3"/>
  <c r="AQ548" i="3"/>
  <c r="AR548" i="3"/>
  <c r="A549" i="3"/>
  <c r="C548" i="3"/>
  <c r="D548" i="3"/>
  <c r="G548" i="3"/>
  <c r="H548" i="3" s="1"/>
  <c r="BN548" i="3" s="1"/>
  <c r="F548" i="3"/>
  <c r="BM548" i="3" s="1"/>
  <c r="S548" i="3"/>
  <c r="Q548" i="3"/>
  <c r="O548" i="3"/>
  <c r="U548" i="3"/>
  <c r="AF548" i="3"/>
  <c r="AE548" i="3"/>
  <c r="AD548" i="3"/>
  <c r="AK548" i="3"/>
  <c r="M548" i="3"/>
  <c r="AM548" i="3"/>
  <c r="AN548" i="3" s="1"/>
  <c r="P548" i="3"/>
  <c r="R548" i="3"/>
  <c r="V548" i="3"/>
  <c r="T548" i="3"/>
  <c r="AT546" i="3"/>
  <c r="BC545" i="3"/>
  <c r="AU547" i="3"/>
  <c r="BD544" i="3"/>
  <c r="BG544" i="3"/>
  <c r="BH544" i="3" s="1"/>
  <c r="BI544" i="3" s="1"/>
  <c r="Y547" i="3"/>
  <c r="Z547" i="3" s="1"/>
  <c r="AN547" i="3"/>
  <c r="BQ544" i="3"/>
  <c r="BB544" i="3"/>
  <c r="BF544" i="3"/>
  <c r="BJ543" i="3" s="1"/>
  <c r="BK543" i="3" s="1"/>
  <c r="AH547" i="3"/>
  <c r="AU546" i="3"/>
  <c r="AW546" i="3"/>
  <c r="AY546" i="3" s="1"/>
  <c r="AX547" i="3" l="1"/>
  <c r="AT547" i="3"/>
  <c r="X548" i="3"/>
  <c r="AV547" i="3"/>
  <c r="Y548" i="3"/>
  <c r="Z548" i="3" s="1"/>
  <c r="BA546" i="3"/>
  <c r="AV546" i="3"/>
  <c r="BC546" i="3" s="1"/>
  <c r="C549" i="3"/>
  <c r="AQ549" i="3"/>
  <c r="B549" i="3"/>
  <c r="A550" i="3"/>
  <c r="AR549" i="3"/>
  <c r="D549" i="3"/>
  <c r="F549" i="3"/>
  <c r="BM549" i="3" s="1"/>
  <c r="G549" i="3"/>
  <c r="H549" i="3" s="1"/>
  <c r="BN549" i="3" s="1"/>
  <c r="Q549" i="3"/>
  <c r="S549" i="3"/>
  <c r="O549" i="3"/>
  <c r="U549" i="3"/>
  <c r="M549" i="3"/>
  <c r="AF549" i="3"/>
  <c r="AD549" i="3"/>
  <c r="AE549" i="3"/>
  <c r="AM549" i="3"/>
  <c r="AK549" i="3"/>
  <c r="P549" i="3"/>
  <c r="V549" i="3"/>
  <c r="T549" i="3"/>
  <c r="R549" i="3"/>
  <c r="AW547" i="3"/>
  <c r="AY547" i="3" s="1"/>
  <c r="BD545" i="3"/>
  <c r="BG545" i="3"/>
  <c r="BH545" i="3" s="1"/>
  <c r="BI545" i="3" s="1"/>
  <c r="AO548" i="3"/>
  <c r="BQ545" i="3"/>
  <c r="BB545" i="3"/>
  <c r="BF545" i="3"/>
  <c r="BJ544" i="3" s="1"/>
  <c r="BK544" i="3" s="1"/>
  <c r="AG548" i="3"/>
  <c r="AH548" i="3"/>
  <c r="AO549" i="3" l="1"/>
  <c r="AX548" i="3"/>
  <c r="BD546" i="3"/>
  <c r="BG546" i="3"/>
  <c r="BH546" i="3" s="1"/>
  <c r="BI546" i="3" s="1"/>
  <c r="Y549" i="3"/>
  <c r="Z549" i="3" s="1"/>
  <c r="AW548" i="3"/>
  <c r="AT548" i="3"/>
  <c r="BF546" i="3"/>
  <c r="BJ545" i="3" s="1"/>
  <c r="BK545" i="3" s="1"/>
  <c r="BQ546" i="3"/>
  <c r="BB546" i="3"/>
  <c r="AN549" i="3"/>
  <c r="AH549" i="3"/>
  <c r="AY548" i="3"/>
  <c r="AG549" i="3"/>
  <c r="X549" i="3"/>
  <c r="BC547" i="3"/>
  <c r="B550" i="3"/>
  <c r="A551" i="3"/>
  <c r="AQ550" i="3"/>
  <c r="AR550" i="3"/>
  <c r="D550" i="3"/>
  <c r="C550" i="3"/>
  <c r="F550" i="3"/>
  <c r="BM550" i="3" s="1"/>
  <c r="G550" i="3"/>
  <c r="H550" i="3" s="1"/>
  <c r="BN550" i="3" s="1"/>
  <c r="Q550" i="3"/>
  <c r="S550" i="3"/>
  <c r="O550" i="3"/>
  <c r="U550" i="3"/>
  <c r="M550" i="3"/>
  <c r="AD550" i="3"/>
  <c r="AF550" i="3"/>
  <c r="AE550" i="3"/>
  <c r="AK550" i="3"/>
  <c r="AM550" i="3"/>
  <c r="P550" i="3"/>
  <c r="R550" i="3"/>
  <c r="V550" i="3"/>
  <c r="T550" i="3"/>
  <c r="AU548" i="3"/>
  <c r="BA547" i="3"/>
  <c r="AH550" i="3" l="1"/>
  <c r="AN550" i="3"/>
  <c r="BB547" i="3"/>
  <c r="BF547" i="3"/>
  <c r="BJ546" i="3" s="1"/>
  <c r="BK546" i="3" s="1"/>
  <c r="BQ547" i="3"/>
  <c r="AW549" i="3"/>
  <c r="AX549" i="3"/>
  <c r="BD547" i="3"/>
  <c r="BG547" i="3"/>
  <c r="BH547" i="3" s="1"/>
  <c r="BI547" i="3" s="1"/>
  <c r="AU550" i="3"/>
  <c r="Y550" i="3"/>
  <c r="Z550" i="3" s="1"/>
  <c r="AR551" i="3"/>
  <c r="B551" i="3"/>
  <c r="C551" i="3"/>
  <c r="AQ551" i="3"/>
  <c r="A552" i="3"/>
  <c r="D551" i="3"/>
  <c r="G551" i="3"/>
  <c r="H551" i="3" s="1"/>
  <c r="F551" i="3"/>
  <c r="Q551" i="3"/>
  <c r="S551" i="3"/>
  <c r="O551" i="3"/>
  <c r="U551" i="3"/>
  <c r="AE551" i="3"/>
  <c r="AF551" i="3"/>
  <c r="AD551" i="3"/>
  <c r="M551" i="3"/>
  <c r="AK551" i="3"/>
  <c r="AM551" i="3"/>
  <c r="P551" i="3"/>
  <c r="T551" i="3"/>
  <c r="R551" i="3"/>
  <c r="V551" i="3"/>
  <c r="AT549" i="3"/>
  <c r="X550" i="3"/>
  <c r="BA548" i="3"/>
  <c r="AV548" i="3"/>
  <c r="BC548" i="3" s="1"/>
  <c r="AO550" i="3"/>
  <c r="AG550" i="3"/>
  <c r="AT550" i="3" s="1"/>
  <c r="AU549" i="3"/>
  <c r="AO551" i="3" l="1"/>
  <c r="AY549" i="3"/>
  <c r="AV550" i="3"/>
  <c r="X551" i="3"/>
  <c r="A553" i="3"/>
  <c r="D552" i="3"/>
  <c r="C552" i="3"/>
  <c r="AR552" i="3"/>
  <c r="AQ552" i="3"/>
  <c r="B552" i="3"/>
  <c r="F552" i="3"/>
  <c r="BM552" i="3" s="1"/>
  <c r="G552" i="3"/>
  <c r="H552" i="3" s="1"/>
  <c r="BN552" i="3" s="1"/>
  <c r="Q552" i="3"/>
  <c r="S552" i="3"/>
  <c r="O552" i="3"/>
  <c r="U552" i="3"/>
  <c r="M552" i="3"/>
  <c r="AF552" i="3"/>
  <c r="AD552" i="3"/>
  <c r="AE552" i="3"/>
  <c r="AM552" i="3"/>
  <c r="AK552" i="3"/>
  <c r="P552" i="3"/>
  <c r="V552" i="3"/>
  <c r="T552" i="3"/>
  <c r="R552" i="3"/>
  <c r="AN551" i="3"/>
  <c r="AG551" i="3"/>
  <c r="AH551" i="3"/>
  <c r="BA549" i="3"/>
  <c r="AV549" i="3"/>
  <c r="BC549" i="3" s="1"/>
  <c r="Y551" i="3"/>
  <c r="Z551" i="3" s="1"/>
  <c r="AW550" i="3"/>
  <c r="BD548" i="3"/>
  <c r="BG548" i="3"/>
  <c r="BH548" i="3" s="1"/>
  <c r="BI548" i="3" s="1"/>
  <c r="BB548" i="3"/>
  <c r="BQ548" i="3"/>
  <c r="BF548" i="3"/>
  <c r="BJ547" i="3" s="1"/>
  <c r="BK547" i="3" s="1"/>
  <c r="BM551" i="3"/>
  <c r="BN551" i="3"/>
  <c r="AX550" i="3"/>
  <c r="AX551" i="3" l="1"/>
  <c r="AG552" i="3"/>
  <c r="AO552" i="3"/>
  <c r="AW551" i="3"/>
  <c r="AY551" i="3" s="1"/>
  <c r="AU551" i="3"/>
  <c r="Y552" i="3"/>
  <c r="Z552" i="3" s="1"/>
  <c r="AT552" i="3"/>
  <c r="BF549" i="3"/>
  <c r="BJ548" i="3" s="1"/>
  <c r="BK548" i="3" s="1"/>
  <c r="BB549" i="3"/>
  <c r="BQ549" i="3"/>
  <c r="BD549" i="3"/>
  <c r="BG549" i="3"/>
  <c r="BH549" i="3" s="1"/>
  <c r="BI549" i="3" s="1"/>
  <c r="AQ553" i="3"/>
  <c r="B553" i="3"/>
  <c r="A554" i="3"/>
  <c r="AR553" i="3"/>
  <c r="D553" i="3"/>
  <c r="C553" i="3"/>
  <c r="F553" i="3"/>
  <c r="BM553" i="3" s="1"/>
  <c r="G553" i="3"/>
  <c r="H553" i="3" s="1"/>
  <c r="S553" i="3"/>
  <c r="Q553" i="3"/>
  <c r="O553" i="3"/>
  <c r="U553" i="3"/>
  <c r="AD553" i="3"/>
  <c r="AF553" i="3"/>
  <c r="M553" i="3"/>
  <c r="AE553" i="3"/>
  <c r="AK553" i="3"/>
  <c r="AM553" i="3"/>
  <c r="R553" i="3"/>
  <c r="P553" i="3"/>
  <c r="V553" i="3"/>
  <c r="T553" i="3"/>
  <c r="X552" i="3"/>
  <c r="AH552" i="3"/>
  <c r="AU552" i="3" s="1"/>
  <c r="AN552" i="3"/>
  <c r="AY550" i="3"/>
  <c r="BC550" i="3" s="1"/>
  <c r="AT551" i="3"/>
  <c r="BA550" i="3"/>
  <c r="AG553" i="3" l="1"/>
  <c r="AO553" i="3"/>
  <c r="BD550" i="3"/>
  <c r="BG550" i="3"/>
  <c r="BH550" i="3" s="1"/>
  <c r="BI550" i="3" s="1"/>
  <c r="A555" i="3"/>
  <c r="AR554" i="3"/>
  <c r="AQ554" i="3"/>
  <c r="D554" i="3"/>
  <c r="C554" i="3"/>
  <c r="B554" i="3"/>
  <c r="G554" i="3"/>
  <c r="H554" i="3" s="1"/>
  <c r="BN554" i="3" s="1"/>
  <c r="F554" i="3"/>
  <c r="BM554" i="3" s="1"/>
  <c r="S554" i="3"/>
  <c r="Q554" i="3"/>
  <c r="O554" i="3"/>
  <c r="U554" i="3"/>
  <c r="M554" i="3"/>
  <c r="AD554" i="3"/>
  <c r="AF554" i="3"/>
  <c r="AE554" i="3"/>
  <c r="AK554" i="3"/>
  <c r="AM554" i="3"/>
  <c r="P554" i="3"/>
  <c r="V554" i="3"/>
  <c r="R554" i="3"/>
  <c r="T554" i="3"/>
  <c r="AN553" i="3"/>
  <c r="AW553" i="3" s="1"/>
  <c r="BQ550" i="3"/>
  <c r="BF550" i="3"/>
  <c r="BJ549" i="3" s="1"/>
  <c r="BK549" i="3" s="1"/>
  <c r="BB550" i="3"/>
  <c r="BA551" i="3"/>
  <c r="AV551" i="3"/>
  <c r="BC551" i="3" s="1"/>
  <c r="AV552" i="3"/>
  <c r="AX552" i="3"/>
  <c r="AW552" i="3"/>
  <c r="BN553" i="3"/>
  <c r="Y553" i="3"/>
  <c r="Z553" i="3" s="1"/>
  <c r="AH553" i="3"/>
  <c r="AU553" i="3" s="1"/>
  <c r="X553" i="3"/>
  <c r="AY552" i="3" l="1"/>
  <c r="AN554" i="3"/>
  <c r="AH554" i="3"/>
  <c r="BB551" i="3"/>
  <c r="BQ551" i="3"/>
  <c r="BF551" i="3"/>
  <c r="BJ550" i="3" s="1"/>
  <c r="BK550" i="3" s="1"/>
  <c r="Y554" i="3"/>
  <c r="Z554" i="3" s="1"/>
  <c r="AO554" i="3"/>
  <c r="B555" i="3"/>
  <c r="AQ555" i="3"/>
  <c r="A556" i="3"/>
  <c r="D555" i="3"/>
  <c r="C555" i="3"/>
  <c r="AR555" i="3"/>
  <c r="F555" i="3"/>
  <c r="G555" i="3"/>
  <c r="H555" i="3" s="1"/>
  <c r="Q555" i="3"/>
  <c r="S555" i="3"/>
  <c r="O555" i="3"/>
  <c r="U555" i="3"/>
  <c r="AD555" i="3"/>
  <c r="AF555" i="3"/>
  <c r="AE555" i="3"/>
  <c r="AG555" i="3" s="1"/>
  <c r="M555" i="3"/>
  <c r="AM555" i="3"/>
  <c r="AK555" i="3"/>
  <c r="T555" i="3"/>
  <c r="P555" i="3"/>
  <c r="V555" i="3"/>
  <c r="R555" i="3"/>
  <c r="BD551" i="3"/>
  <c r="BG551" i="3"/>
  <c r="BH551" i="3" s="1"/>
  <c r="BI551" i="3" s="1"/>
  <c r="AX553" i="3"/>
  <c r="AY553" i="3" s="1"/>
  <c r="BA552" i="3"/>
  <c r="X554" i="3"/>
  <c r="BC552" i="3"/>
  <c r="AG554" i="3"/>
  <c r="AU554" i="3" s="1"/>
  <c r="AT553" i="3"/>
  <c r="AO555" i="3" l="1"/>
  <c r="X555" i="3"/>
  <c r="B556" i="3"/>
  <c r="AQ556" i="3"/>
  <c r="AR556" i="3"/>
  <c r="A557" i="3"/>
  <c r="D556" i="3"/>
  <c r="C556" i="3"/>
  <c r="G556" i="3"/>
  <c r="H556" i="3" s="1"/>
  <c r="BN556" i="3" s="1"/>
  <c r="F556" i="3"/>
  <c r="BM556" i="3" s="1"/>
  <c r="Q556" i="3"/>
  <c r="S556" i="3"/>
  <c r="O556" i="3"/>
  <c r="U556" i="3"/>
  <c r="M556" i="3"/>
  <c r="AF556" i="3"/>
  <c r="AE556" i="3"/>
  <c r="AD556" i="3"/>
  <c r="AK556" i="3"/>
  <c r="AM556" i="3"/>
  <c r="AN556" i="3" s="1"/>
  <c r="P556" i="3"/>
  <c r="V556" i="3"/>
  <c r="R556" i="3"/>
  <c r="T556" i="3"/>
  <c r="AV553" i="3"/>
  <c r="BC553" i="3" s="1"/>
  <c r="BA553" i="3"/>
  <c r="BF552" i="3"/>
  <c r="BJ551" i="3" s="1"/>
  <c r="BK551" i="3" s="1"/>
  <c r="BB552" i="3"/>
  <c r="BQ552" i="3"/>
  <c r="Y555" i="3"/>
  <c r="Z555" i="3" s="1"/>
  <c r="AN555" i="3"/>
  <c r="AH555" i="3"/>
  <c r="AW554" i="3"/>
  <c r="AX554" i="3"/>
  <c r="BD552" i="3"/>
  <c r="BG552" i="3"/>
  <c r="BH552" i="3" s="1"/>
  <c r="BI552" i="3" s="1"/>
  <c r="BN555" i="3"/>
  <c r="AT554" i="3"/>
  <c r="BM555" i="3"/>
  <c r="AX555" i="3" l="1"/>
  <c r="AT555" i="3"/>
  <c r="AH556" i="3"/>
  <c r="BA554" i="3"/>
  <c r="AV554" i="3"/>
  <c r="Y556" i="3"/>
  <c r="Z556" i="3" s="1"/>
  <c r="BD553" i="3"/>
  <c r="BG553" i="3"/>
  <c r="BH553" i="3" s="1"/>
  <c r="BI553" i="3" s="1"/>
  <c r="X556" i="3"/>
  <c r="BF553" i="3"/>
  <c r="BJ552" i="3" s="1"/>
  <c r="BK552" i="3" s="1"/>
  <c r="BB553" i="3"/>
  <c r="BQ553" i="3"/>
  <c r="AV555" i="3"/>
  <c r="C557" i="3"/>
  <c r="D557" i="3"/>
  <c r="AQ557" i="3"/>
  <c r="AR557" i="3"/>
  <c r="B557" i="3"/>
  <c r="A558" i="3"/>
  <c r="F557" i="3"/>
  <c r="G557" i="3"/>
  <c r="H557" i="3" s="1"/>
  <c r="S557" i="3"/>
  <c r="Q557" i="3"/>
  <c r="O557" i="3"/>
  <c r="U557" i="3"/>
  <c r="AF557" i="3"/>
  <c r="M557" i="3"/>
  <c r="AE557" i="3"/>
  <c r="AD557" i="3"/>
  <c r="AM557" i="3"/>
  <c r="AK557" i="3"/>
  <c r="AO557" i="3" s="1"/>
  <c r="P557" i="3"/>
  <c r="V557" i="3"/>
  <c r="R557" i="3"/>
  <c r="T557" i="3"/>
  <c r="AU555" i="3"/>
  <c r="AO556" i="3"/>
  <c r="AY554" i="3"/>
  <c r="AG556" i="3"/>
  <c r="AW556" i="3" s="1"/>
  <c r="AW555" i="3"/>
  <c r="AY555" i="3" s="1"/>
  <c r="AH557" i="3" l="1"/>
  <c r="AT557" i="3" s="1"/>
  <c r="AN557" i="3"/>
  <c r="AG557" i="3"/>
  <c r="Y557" i="3"/>
  <c r="Z557" i="3" s="1"/>
  <c r="X557" i="3"/>
  <c r="BC555" i="3"/>
  <c r="BA555" i="3"/>
  <c r="AX556" i="3"/>
  <c r="AY556" i="3" s="1"/>
  <c r="BM557" i="3"/>
  <c r="AU556" i="3"/>
  <c r="BN557" i="3"/>
  <c r="B558" i="3"/>
  <c r="A559" i="3"/>
  <c r="AQ558" i="3"/>
  <c r="AR558" i="3"/>
  <c r="D558" i="3"/>
  <c r="C558" i="3"/>
  <c r="G558" i="3"/>
  <c r="H558" i="3" s="1"/>
  <c r="BN558" i="3" s="1"/>
  <c r="F558" i="3"/>
  <c r="BM558" i="3" s="1"/>
  <c r="Q558" i="3"/>
  <c r="S558" i="3"/>
  <c r="O558" i="3"/>
  <c r="U558" i="3"/>
  <c r="M558" i="3"/>
  <c r="AE558" i="3"/>
  <c r="AF558" i="3"/>
  <c r="AD558" i="3"/>
  <c r="AK558" i="3"/>
  <c r="AM558" i="3"/>
  <c r="V558" i="3"/>
  <c r="R558" i="3"/>
  <c r="T558" i="3"/>
  <c r="P558" i="3"/>
  <c r="BC554" i="3"/>
  <c r="BF554" i="3"/>
  <c r="BJ553" i="3" s="1"/>
  <c r="BK553" i="3" s="1"/>
  <c r="BB554" i="3"/>
  <c r="BQ554" i="3"/>
  <c r="AT556" i="3"/>
  <c r="AX557" i="3" l="1"/>
  <c r="AW557" i="3"/>
  <c r="AU557" i="3"/>
  <c r="AY557" i="3"/>
  <c r="AN558" i="3"/>
  <c r="AH558" i="3"/>
  <c r="AG558" i="3"/>
  <c r="AT558" i="3" s="1"/>
  <c r="AO558" i="3"/>
  <c r="AW558" i="3" s="1"/>
  <c r="AV556" i="3"/>
  <c r="BC556" i="3" s="1"/>
  <c r="BA556" i="3"/>
  <c r="BA557" i="3"/>
  <c r="AV557" i="3"/>
  <c r="BC557" i="3" s="1"/>
  <c r="BQ555" i="3"/>
  <c r="BB555" i="3"/>
  <c r="BF555" i="3"/>
  <c r="BJ554" i="3" s="1"/>
  <c r="BK554" i="3" s="1"/>
  <c r="AX558" i="3"/>
  <c r="Y558" i="3"/>
  <c r="Z558" i="3" s="1"/>
  <c r="AR559" i="3"/>
  <c r="B559" i="3"/>
  <c r="D559" i="3"/>
  <c r="AQ559" i="3"/>
  <c r="A560" i="3"/>
  <c r="C559" i="3"/>
  <c r="G559" i="3"/>
  <c r="H559" i="3" s="1"/>
  <c r="F559" i="3"/>
  <c r="BM559" i="3" s="1"/>
  <c r="Q559" i="3"/>
  <c r="S559" i="3"/>
  <c r="O559" i="3"/>
  <c r="U559" i="3"/>
  <c r="M559" i="3"/>
  <c r="AF559" i="3"/>
  <c r="AD559" i="3"/>
  <c r="AE559" i="3"/>
  <c r="AK559" i="3"/>
  <c r="AM559" i="3"/>
  <c r="P559" i="3"/>
  <c r="V559" i="3"/>
  <c r="R559" i="3"/>
  <c r="T559" i="3"/>
  <c r="BD554" i="3"/>
  <c r="BG554" i="3"/>
  <c r="BH554" i="3" s="1"/>
  <c r="BI554" i="3" s="1"/>
  <c r="AU558" i="3"/>
  <c r="X558" i="3"/>
  <c r="BD555" i="3"/>
  <c r="BG555" i="3"/>
  <c r="BH555" i="3" s="1"/>
  <c r="BI555" i="3" s="1"/>
  <c r="AG559" i="3" l="1"/>
  <c r="AV558" i="3"/>
  <c r="AO559" i="3"/>
  <c r="BD557" i="3"/>
  <c r="BG557" i="3"/>
  <c r="BH557" i="3" s="1"/>
  <c r="BI557" i="3" s="1"/>
  <c r="AY558" i="3"/>
  <c r="BC558" i="3" s="1"/>
  <c r="BD556" i="3"/>
  <c r="BG556" i="3"/>
  <c r="BH556" i="3" s="1"/>
  <c r="BI556" i="3" s="1"/>
  <c r="X559" i="3"/>
  <c r="BB556" i="3"/>
  <c r="BF556" i="3"/>
  <c r="BJ555" i="3" s="1"/>
  <c r="BK555" i="3" s="1"/>
  <c r="BQ556" i="3"/>
  <c r="AN559" i="3"/>
  <c r="AH559" i="3"/>
  <c r="AU559" i="3" s="1"/>
  <c r="BF557" i="3"/>
  <c r="BJ556" i="3" s="1"/>
  <c r="BK556" i="3" s="1"/>
  <c r="BQ557" i="3"/>
  <c r="BB557" i="3"/>
  <c r="BN559" i="3"/>
  <c r="A561" i="3"/>
  <c r="C560" i="3"/>
  <c r="D560" i="3"/>
  <c r="B560" i="3"/>
  <c r="AQ560" i="3"/>
  <c r="AR560" i="3"/>
  <c r="G560" i="3"/>
  <c r="H560" i="3" s="1"/>
  <c r="BN560" i="3" s="1"/>
  <c r="F560" i="3"/>
  <c r="BM560" i="3" s="1"/>
  <c r="S560" i="3"/>
  <c r="Q560" i="3"/>
  <c r="O560" i="3"/>
  <c r="U560" i="3"/>
  <c r="AF560" i="3"/>
  <c r="AD560" i="3"/>
  <c r="M560" i="3"/>
  <c r="AK560" i="3"/>
  <c r="AM560" i="3"/>
  <c r="AE560" i="3"/>
  <c r="P560" i="3"/>
  <c r="R560" i="3"/>
  <c r="V560" i="3"/>
  <c r="T560" i="3"/>
  <c r="BA558" i="3"/>
  <c r="Y559" i="3"/>
  <c r="Z559" i="3" s="1"/>
  <c r="AN560" i="3" l="1"/>
  <c r="BD558" i="3"/>
  <c r="BG558" i="3"/>
  <c r="BH558" i="3" s="1"/>
  <c r="BI558" i="3" s="1"/>
  <c r="AX559" i="3"/>
  <c r="BB558" i="3"/>
  <c r="BF558" i="3"/>
  <c r="BJ557" i="3" s="1"/>
  <c r="BK557" i="3" s="1"/>
  <c r="BQ558" i="3"/>
  <c r="AW559" i="3"/>
  <c r="AY559" i="3" s="1"/>
  <c r="X560" i="3"/>
  <c r="AQ561" i="3"/>
  <c r="B561" i="3"/>
  <c r="A562" i="3"/>
  <c r="AR561" i="3"/>
  <c r="D561" i="3"/>
  <c r="C561" i="3"/>
  <c r="G561" i="3"/>
  <c r="H561" i="3" s="1"/>
  <c r="BN561" i="3" s="1"/>
  <c r="F561" i="3"/>
  <c r="Q561" i="3"/>
  <c r="S561" i="3"/>
  <c r="O561" i="3"/>
  <c r="U561" i="3"/>
  <c r="AD561" i="3"/>
  <c r="AE561" i="3"/>
  <c r="AF561" i="3"/>
  <c r="M561" i="3"/>
  <c r="AM561" i="3"/>
  <c r="AK561" i="3"/>
  <c r="P561" i="3"/>
  <c r="V561" i="3"/>
  <c r="R561" i="3"/>
  <c r="T561" i="3"/>
  <c r="AT560" i="3"/>
  <c r="Y560" i="3"/>
  <c r="Z560" i="3" s="1"/>
  <c r="AG560" i="3"/>
  <c r="AO560" i="3"/>
  <c r="AT559" i="3"/>
  <c r="AH560" i="3"/>
  <c r="AX560" i="3" s="1"/>
  <c r="AO561" i="3" l="1"/>
  <c r="AH561" i="3"/>
  <c r="B562" i="3"/>
  <c r="A563" i="3"/>
  <c r="AQ562" i="3"/>
  <c r="AR562" i="3"/>
  <c r="C562" i="3"/>
  <c r="D562" i="3"/>
  <c r="G562" i="3"/>
  <c r="H562" i="3" s="1"/>
  <c r="F562" i="3"/>
  <c r="BM562" i="3" s="1"/>
  <c r="S562" i="3"/>
  <c r="Q562" i="3"/>
  <c r="O562" i="3"/>
  <c r="U562" i="3"/>
  <c r="AE562" i="3"/>
  <c r="AF562" i="3"/>
  <c r="AD562" i="3"/>
  <c r="M562" i="3"/>
  <c r="AK562" i="3"/>
  <c r="AM562" i="3"/>
  <c r="R562" i="3"/>
  <c r="V562" i="3"/>
  <c r="P562" i="3"/>
  <c r="T562" i="3"/>
  <c r="AG561" i="3"/>
  <c r="Y561" i="3"/>
  <c r="Z561" i="3" s="1"/>
  <c r="AN561" i="3"/>
  <c r="BA559" i="3"/>
  <c r="AV559" i="3"/>
  <c r="BC559" i="3" s="1"/>
  <c r="X561" i="3"/>
  <c r="AW560" i="3"/>
  <c r="AY560" i="3" s="1"/>
  <c r="AU560" i="3"/>
  <c r="AV560" i="3" s="1"/>
  <c r="BM561" i="3"/>
  <c r="AH562" i="3" l="1"/>
  <c r="BN562" i="3"/>
  <c r="AN562" i="3"/>
  <c r="BC560" i="3"/>
  <c r="AO562" i="3"/>
  <c r="BD560" i="3"/>
  <c r="BG560" i="3"/>
  <c r="BH560" i="3" s="1"/>
  <c r="BI560" i="3" s="1"/>
  <c r="AW561" i="3"/>
  <c r="Y562" i="3"/>
  <c r="Z562" i="3" s="1"/>
  <c r="BA560" i="3"/>
  <c r="BQ559" i="3"/>
  <c r="BB559" i="3"/>
  <c r="BF559" i="3"/>
  <c r="BJ558" i="3" s="1"/>
  <c r="BK558" i="3" s="1"/>
  <c r="AT562" i="3"/>
  <c r="AX561" i="3"/>
  <c r="AY561" i="3" s="1"/>
  <c r="B563" i="3"/>
  <c r="AQ563" i="3"/>
  <c r="A564" i="3"/>
  <c r="C563" i="3"/>
  <c r="D563" i="3"/>
  <c r="AR563" i="3"/>
  <c r="G563" i="3"/>
  <c r="H563" i="3" s="1"/>
  <c r="F563" i="3"/>
  <c r="Q563" i="3"/>
  <c r="S563" i="3"/>
  <c r="O563" i="3"/>
  <c r="U563" i="3"/>
  <c r="AM563" i="3"/>
  <c r="AF563" i="3"/>
  <c r="AD563" i="3"/>
  <c r="AE563" i="3"/>
  <c r="AG563" i="3" s="1"/>
  <c r="M563" i="3"/>
  <c r="AK563" i="3"/>
  <c r="P563" i="3"/>
  <c r="R563" i="3"/>
  <c r="V563" i="3"/>
  <c r="T563" i="3"/>
  <c r="AG562" i="3"/>
  <c r="AW562" i="3" s="1"/>
  <c r="AT561" i="3"/>
  <c r="AU562" i="3"/>
  <c r="AX562" i="3"/>
  <c r="BD559" i="3"/>
  <c r="BG559" i="3"/>
  <c r="BH559" i="3" s="1"/>
  <c r="BI559" i="3" s="1"/>
  <c r="X562" i="3"/>
  <c r="AU561" i="3"/>
  <c r="AO563" i="3" l="1"/>
  <c r="X563" i="3"/>
  <c r="Y563" i="3"/>
  <c r="Z563" i="3" s="1"/>
  <c r="B564" i="3"/>
  <c r="AQ564" i="3"/>
  <c r="AR564" i="3"/>
  <c r="A565" i="3"/>
  <c r="C564" i="3"/>
  <c r="D564" i="3"/>
  <c r="F564" i="3"/>
  <c r="BM564" i="3" s="1"/>
  <c r="G564" i="3"/>
  <c r="H564" i="3" s="1"/>
  <c r="BN564" i="3" s="1"/>
  <c r="Q564" i="3"/>
  <c r="S564" i="3"/>
  <c r="O564" i="3"/>
  <c r="U564" i="3"/>
  <c r="AF564" i="3"/>
  <c r="AD564" i="3"/>
  <c r="M564" i="3"/>
  <c r="AE564" i="3"/>
  <c r="AK564" i="3"/>
  <c r="AM564" i="3"/>
  <c r="P564" i="3"/>
  <c r="R564" i="3"/>
  <c r="V564" i="3"/>
  <c r="T564" i="3"/>
  <c r="AH563" i="3"/>
  <c r="AN563" i="3"/>
  <c r="BQ560" i="3"/>
  <c r="BB560" i="3"/>
  <c r="BF560" i="3"/>
  <c r="BJ559" i="3" s="1"/>
  <c r="BK559" i="3" s="1"/>
  <c r="AY562" i="3"/>
  <c r="AU563" i="3"/>
  <c r="AV562" i="3"/>
  <c r="BA562" i="3"/>
  <c r="AV561" i="3"/>
  <c r="BC561" i="3" s="1"/>
  <c r="BA561" i="3"/>
  <c r="BM563" i="3"/>
  <c r="BN563" i="3"/>
  <c r="AN564" i="3" l="1"/>
  <c r="X564" i="3"/>
  <c r="Y564" i="3"/>
  <c r="Z564" i="3" s="1"/>
  <c r="C565" i="3"/>
  <c r="AR565" i="3"/>
  <c r="D565" i="3"/>
  <c r="AQ565" i="3"/>
  <c r="B565" i="3"/>
  <c r="A566" i="3"/>
  <c r="F565" i="3"/>
  <c r="BM565" i="3" s="1"/>
  <c r="G565" i="3"/>
  <c r="H565" i="3" s="1"/>
  <c r="BN565" i="3" s="1"/>
  <c r="S565" i="3"/>
  <c r="Q565" i="3"/>
  <c r="O565" i="3"/>
  <c r="U565" i="3"/>
  <c r="AD565" i="3"/>
  <c r="AH565" i="3" s="1"/>
  <c r="M565" i="3"/>
  <c r="AF565" i="3"/>
  <c r="AE565" i="3"/>
  <c r="AK565" i="3"/>
  <c r="AM565" i="3"/>
  <c r="R565" i="3"/>
  <c r="V565" i="3"/>
  <c r="P565" i="3"/>
  <c r="T565" i="3"/>
  <c r="BQ561" i="3"/>
  <c r="BB561" i="3"/>
  <c r="BF561" i="3"/>
  <c r="BJ560" i="3" s="1"/>
  <c r="BK560" i="3" s="1"/>
  <c r="AX563" i="3"/>
  <c r="BD561" i="3"/>
  <c r="BG561" i="3"/>
  <c r="BH561" i="3" s="1"/>
  <c r="BI561" i="3" s="1"/>
  <c r="AT563" i="3"/>
  <c r="AO564" i="3"/>
  <c r="AG564" i="3"/>
  <c r="BB562" i="3"/>
  <c r="BQ562" i="3"/>
  <c r="BF562" i="3"/>
  <c r="AW563" i="3"/>
  <c r="BC562" i="3"/>
  <c r="AH564" i="3"/>
  <c r="AX564" i="3" l="1"/>
  <c r="AN565" i="3"/>
  <c r="X565" i="3"/>
  <c r="B566" i="3"/>
  <c r="A567" i="3"/>
  <c r="AQ566" i="3"/>
  <c r="AR566" i="3"/>
  <c r="D566" i="3"/>
  <c r="C566" i="3"/>
  <c r="G566" i="3"/>
  <c r="H566" i="3" s="1"/>
  <c r="BN566" i="3" s="1"/>
  <c r="F566" i="3"/>
  <c r="Q566" i="3"/>
  <c r="S566" i="3"/>
  <c r="O566" i="3"/>
  <c r="U566" i="3"/>
  <c r="AD566" i="3"/>
  <c r="M566" i="3"/>
  <c r="AF566" i="3"/>
  <c r="AE566" i="3"/>
  <c r="AK566" i="3"/>
  <c r="AM566" i="3"/>
  <c r="P566" i="3"/>
  <c r="V566" i="3"/>
  <c r="R566" i="3"/>
  <c r="T566" i="3"/>
  <c r="BD562" i="3"/>
  <c r="BG562" i="3"/>
  <c r="BH562" i="3" s="1"/>
  <c r="BI562" i="3" s="1"/>
  <c r="AT565" i="3"/>
  <c r="AU565" i="3"/>
  <c r="AW564" i="3"/>
  <c r="AY564" i="3" s="1"/>
  <c r="AX565" i="3"/>
  <c r="AY563" i="3"/>
  <c r="BJ561" i="3"/>
  <c r="BK561" i="3" s="1"/>
  <c r="Y565" i="3"/>
  <c r="Z565" i="3" s="1"/>
  <c r="AO565" i="3"/>
  <c r="AG565" i="3"/>
  <c r="AU564" i="3"/>
  <c r="BA563" i="3"/>
  <c r="AV563" i="3"/>
  <c r="AT564" i="3"/>
  <c r="AW565" i="3" l="1"/>
  <c r="BA565" i="3" s="1"/>
  <c r="AN566" i="3"/>
  <c r="AV565" i="3"/>
  <c r="Y566" i="3"/>
  <c r="Z566" i="3" s="1"/>
  <c r="AH566" i="3"/>
  <c r="X566" i="3"/>
  <c r="AV564" i="3"/>
  <c r="BC564" i="3" s="1"/>
  <c r="BA564" i="3"/>
  <c r="BQ563" i="3"/>
  <c r="BF563" i="3"/>
  <c r="BJ562" i="3" s="1"/>
  <c r="BK562" i="3" s="1"/>
  <c r="BB563" i="3"/>
  <c r="AT566" i="3"/>
  <c r="AO566" i="3"/>
  <c r="BM566" i="3"/>
  <c r="BC563" i="3"/>
  <c r="AR567" i="3"/>
  <c r="B567" i="3"/>
  <c r="AQ567" i="3"/>
  <c r="A568" i="3"/>
  <c r="C567" i="3"/>
  <c r="D567" i="3"/>
  <c r="G567" i="3"/>
  <c r="H567" i="3" s="1"/>
  <c r="BN567" i="3" s="1"/>
  <c r="F567" i="3"/>
  <c r="BM567" i="3" s="1"/>
  <c r="S567" i="3"/>
  <c r="Q567" i="3"/>
  <c r="O567" i="3"/>
  <c r="U567" i="3"/>
  <c r="AF567" i="3"/>
  <c r="AD567" i="3"/>
  <c r="M567" i="3"/>
  <c r="AE567" i="3"/>
  <c r="AM567" i="3"/>
  <c r="AK567" i="3"/>
  <c r="V567" i="3"/>
  <c r="R567" i="3"/>
  <c r="T567" i="3"/>
  <c r="P567" i="3"/>
  <c r="AG566" i="3"/>
  <c r="AO567" i="3" l="1"/>
  <c r="AY565" i="3"/>
  <c r="AU566" i="3"/>
  <c r="AG567" i="3"/>
  <c r="AH567" i="3"/>
  <c r="AV566" i="3"/>
  <c r="AW566" i="3"/>
  <c r="BB564" i="3"/>
  <c r="BQ564" i="3"/>
  <c r="BF564" i="3"/>
  <c r="BJ563" i="3" s="1"/>
  <c r="BK563" i="3" s="1"/>
  <c r="AU567" i="3"/>
  <c r="BD563" i="3"/>
  <c r="BG563" i="3"/>
  <c r="BH563" i="3" s="1"/>
  <c r="BI563" i="3" s="1"/>
  <c r="X567" i="3"/>
  <c r="BD564" i="3"/>
  <c r="BG564" i="3"/>
  <c r="BH564" i="3" s="1"/>
  <c r="BI564" i="3" s="1"/>
  <c r="A569" i="3"/>
  <c r="C568" i="3"/>
  <c r="D568" i="3"/>
  <c r="B568" i="3"/>
  <c r="AQ568" i="3"/>
  <c r="AR568" i="3"/>
  <c r="F568" i="3"/>
  <c r="G568" i="3"/>
  <c r="H568" i="3" s="1"/>
  <c r="Q568" i="3"/>
  <c r="S568" i="3"/>
  <c r="O568" i="3"/>
  <c r="U568" i="3"/>
  <c r="AK568" i="3"/>
  <c r="AF568" i="3"/>
  <c r="M568" i="3"/>
  <c r="AD568" i="3"/>
  <c r="AM568" i="3"/>
  <c r="AE568" i="3"/>
  <c r="R568" i="3"/>
  <c r="P568" i="3"/>
  <c r="T568" i="3"/>
  <c r="V568" i="3"/>
  <c r="AX566" i="3"/>
  <c r="Y567" i="3"/>
  <c r="Z567" i="3" s="1"/>
  <c r="BB565" i="3"/>
  <c r="BQ565" i="3"/>
  <c r="BF565" i="3"/>
  <c r="AN567" i="3"/>
  <c r="AT567" i="3"/>
  <c r="BC565" i="3"/>
  <c r="AN568" i="3" l="1"/>
  <c r="BJ564" i="3"/>
  <c r="BK564" i="3" s="1"/>
  <c r="BM568" i="3"/>
  <c r="BN568" i="3"/>
  <c r="AH568" i="3"/>
  <c r="Y568" i="3"/>
  <c r="Z568" i="3" s="1"/>
  <c r="AQ569" i="3"/>
  <c r="B569" i="3"/>
  <c r="A570" i="3"/>
  <c r="AR569" i="3"/>
  <c r="C569" i="3"/>
  <c r="D569" i="3"/>
  <c r="F569" i="3"/>
  <c r="BM569" i="3" s="1"/>
  <c r="G569" i="3"/>
  <c r="H569" i="3" s="1"/>
  <c r="BN569" i="3" s="1"/>
  <c r="S569" i="3"/>
  <c r="Q569" i="3"/>
  <c r="O569" i="3"/>
  <c r="U569" i="3"/>
  <c r="AE569" i="3"/>
  <c r="M569" i="3"/>
  <c r="AD569" i="3"/>
  <c r="AF569" i="3"/>
  <c r="AM569" i="3"/>
  <c r="AK569" i="3"/>
  <c r="R569" i="3"/>
  <c r="P569" i="3"/>
  <c r="V569" i="3"/>
  <c r="T569" i="3"/>
  <c r="BD565" i="3"/>
  <c r="BG565" i="3"/>
  <c r="BH565" i="3" s="1"/>
  <c r="BI565" i="3" s="1"/>
  <c r="X568" i="3"/>
  <c r="AO568" i="3"/>
  <c r="AV567" i="3"/>
  <c r="AY566" i="3"/>
  <c r="BC566" i="3" s="1"/>
  <c r="BA566" i="3"/>
  <c r="AX567" i="3"/>
  <c r="AG568" i="3"/>
  <c r="AW567" i="3"/>
  <c r="AY567" i="3" s="1"/>
  <c r="AU568" i="3" l="1"/>
  <c r="BA567" i="3"/>
  <c r="BF567" i="3" s="1"/>
  <c r="AT568" i="3"/>
  <c r="AG569" i="3"/>
  <c r="AO569" i="3"/>
  <c r="BG566" i="3"/>
  <c r="BH566" i="3" s="1"/>
  <c r="BI566" i="3" s="1"/>
  <c r="BD566" i="3"/>
  <c r="BC567" i="3"/>
  <c r="AW568" i="3"/>
  <c r="C570" i="3"/>
  <c r="AQ570" i="3"/>
  <c r="D570" i="3"/>
  <c r="B570" i="3"/>
  <c r="A571" i="3"/>
  <c r="AR570" i="3"/>
  <c r="G570" i="3"/>
  <c r="H570" i="3" s="1"/>
  <c r="BN570" i="3" s="1"/>
  <c r="F570" i="3"/>
  <c r="BM570" i="3" s="1"/>
  <c r="Q570" i="3"/>
  <c r="S570" i="3"/>
  <c r="O570" i="3"/>
  <c r="U570" i="3"/>
  <c r="M570" i="3"/>
  <c r="AF570" i="3"/>
  <c r="AD570" i="3"/>
  <c r="AM570" i="3"/>
  <c r="AK570" i="3"/>
  <c r="AE570" i="3"/>
  <c r="AG570" i="3" s="1"/>
  <c r="P570" i="3"/>
  <c r="R570" i="3"/>
  <c r="V570" i="3"/>
  <c r="T570" i="3"/>
  <c r="BB567" i="3"/>
  <c r="X569" i="3"/>
  <c r="Y569" i="3"/>
  <c r="Z569" i="3" s="1"/>
  <c r="AN569" i="3"/>
  <c r="AV568" i="3"/>
  <c r="BQ566" i="3"/>
  <c r="BB566" i="3"/>
  <c r="BF566" i="3"/>
  <c r="BJ565" i="3" s="1"/>
  <c r="BK565" i="3" s="1"/>
  <c r="AH569" i="3"/>
  <c r="AX569" i="3" s="1"/>
  <c r="AX568" i="3"/>
  <c r="BJ566" i="3" l="1"/>
  <c r="BK566" i="3" s="1"/>
  <c r="BQ567" i="3"/>
  <c r="AO570" i="3"/>
  <c r="AY568" i="3"/>
  <c r="BC568" i="3" s="1"/>
  <c r="BA568" i="3"/>
  <c r="AT569" i="3"/>
  <c r="BD567" i="3"/>
  <c r="BG567" i="3"/>
  <c r="BH567" i="3" s="1"/>
  <c r="BI567" i="3" s="1"/>
  <c r="AU569" i="3"/>
  <c r="X570" i="3"/>
  <c r="Y570" i="3"/>
  <c r="Z570" i="3" s="1"/>
  <c r="B571" i="3"/>
  <c r="AQ571" i="3"/>
  <c r="A572" i="3"/>
  <c r="D571" i="3"/>
  <c r="C571" i="3"/>
  <c r="AR571" i="3"/>
  <c r="G571" i="3"/>
  <c r="H571" i="3" s="1"/>
  <c r="F571" i="3"/>
  <c r="Q571" i="3"/>
  <c r="S571" i="3"/>
  <c r="O571" i="3"/>
  <c r="U571" i="3"/>
  <c r="AF571" i="3"/>
  <c r="M571" i="3"/>
  <c r="AE571" i="3"/>
  <c r="AD571" i="3"/>
  <c r="AK571" i="3"/>
  <c r="AM571" i="3"/>
  <c r="P571" i="3"/>
  <c r="R571" i="3"/>
  <c r="T571" i="3"/>
  <c r="V571" i="3"/>
  <c r="AN570" i="3"/>
  <c r="AH570" i="3"/>
  <c r="AW569" i="3"/>
  <c r="AY569" i="3" s="1"/>
  <c r="AN571" i="3" l="1"/>
  <c r="AH571" i="3"/>
  <c r="AX570" i="3"/>
  <c r="BB568" i="3"/>
  <c r="BF568" i="3"/>
  <c r="BJ567" i="3" s="1"/>
  <c r="BK567" i="3" s="1"/>
  <c r="BQ568" i="3"/>
  <c r="AU571" i="3"/>
  <c r="BM571" i="3"/>
  <c r="AO571" i="3"/>
  <c r="BD568" i="3"/>
  <c r="BG568" i="3"/>
  <c r="BH568" i="3" s="1"/>
  <c r="BI568" i="3" s="1"/>
  <c r="BN571" i="3"/>
  <c r="AT570" i="3"/>
  <c r="B572" i="3"/>
  <c r="AQ572" i="3"/>
  <c r="AR572" i="3"/>
  <c r="A573" i="3"/>
  <c r="C572" i="3"/>
  <c r="D572" i="3"/>
  <c r="G572" i="3"/>
  <c r="H572" i="3" s="1"/>
  <c r="BN572" i="3" s="1"/>
  <c r="F572" i="3"/>
  <c r="S572" i="3"/>
  <c r="Q572" i="3"/>
  <c r="O572" i="3"/>
  <c r="U572" i="3"/>
  <c r="AE572" i="3"/>
  <c r="AF572" i="3"/>
  <c r="AD572" i="3"/>
  <c r="M572" i="3"/>
  <c r="AM572" i="3"/>
  <c r="AK572" i="3"/>
  <c r="V572" i="3"/>
  <c r="T572" i="3"/>
  <c r="R572" i="3"/>
  <c r="P572" i="3"/>
  <c r="AG571" i="3"/>
  <c r="X571" i="3"/>
  <c r="BA569" i="3"/>
  <c r="AV569" i="3"/>
  <c r="BC569" i="3" s="1"/>
  <c r="AU570" i="3"/>
  <c r="Y571" i="3"/>
  <c r="Z571" i="3" s="1"/>
  <c r="AT571" i="3"/>
  <c r="AW570" i="3"/>
  <c r="AY570" i="3" s="1"/>
  <c r="BM572" i="3" l="1"/>
  <c r="AH572" i="3"/>
  <c r="Y572" i="3"/>
  <c r="Z572" i="3" s="1"/>
  <c r="AN572" i="3"/>
  <c r="AO572" i="3"/>
  <c r="AG572" i="3"/>
  <c r="BD569" i="3"/>
  <c r="BG569" i="3"/>
  <c r="BH569" i="3" s="1"/>
  <c r="BI569" i="3" s="1"/>
  <c r="AW571" i="3"/>
  <c r="BF569" i="3"/>
  <c r="BJ568" i="3" s="1"/>
  <c r="BK568" i="3" s="1"/>
  <c r="BB569" i="3"/>
  <c r="BQ569" i="3"/>
  <c r="AT572" i="3"/>
  <c r="BA570" i="3"/>
  <c r="AV570" i="3"/>
  <c r="BC570" i="3" s="1"/>
  <c r="AV571" i="3"/>
  <c r="X572" i="3"/>
  <c r="C573" i="3"/>
  <c r="AQ573" i="3"/>
  <c r="B573" i="3"/>
  <c r="A574" i="3"/>
  <c r="AR573" i="3"/>
  <c r="D573" i="3"/>
  <c r="G573" i="3"/>
  <c r="H573" i="3" s="1"/>
  <c r="BN573" i="3" s="1"/>
  <c r="F573" i="3"/>
  <c r="BM573" i="3" s="1"/>
  <c r="Q573" i="3"/>
  <c r="S573" i="3"/>
  <c r="O573" i="3"/>
  <c r="U573" i="3"/>
  <c r="AD573" i="3"/>
  <c r="AE573" i="3"/>
  <c r="AF573" i="3"/>
  <c r="AM573" i="3"/>
  <c r="M573" i="3"/>
  <c r="AK573" i="3"/>
  <c r="T573" i="3"/>
  <c r="P573" i="3"/>
  <c r="V573" i="3"/>
  <c r="R573" i="3"/>
  <c r="AX571" i="3"/>
  <c r="AW572" i="3" l="1"/>
  <c r="BA571" i="3"/>
  <c r="BQ571" i="3" s="1"/>
  <c r="X573" i="3"/>
  <c r="AG573" i="3"/>
  <c r="AO573" i="3"/>
  <c r="BD570" i="3"/>
  <c r="BG570" i="3"/>
  <c r="BH570" i="3" s="1"/>
  <c r="BI570" i="3" s="1"/>
  <c r="BQ570" i="3"/>
  <c r="BF570" i="3"/>
  <c r="BJ569" i="3" s="1"/>
  <c r="BK569" i="3" s="1"/>
  <c r="BB570" i="3"/>
  <c r="AH573" i="3"/>
  <c r="Y573" i="3"/>
  <c r="Z573" i="3" s="1"/>
  <c r="BC571" i="3"/>
  <c r="AT573" i="3"/>
  <c r="AU573" i="3"/>
  <c r="BB571" i="3"/>
  <c r="AY571" i="3"/>
  <c r="B574" i="3"/>
  <c r="A575" i="3"/>
  <c r="AQ574" i="3"/>
  <c r="AR574" i="3"/>
  <c r="C574" i="3"/>
  <c r="D574" i="3"/>
  <c r="F574" i="3"/>
  <c r="BM574" i="3" s="1"/>
  <c r="G574" i="3"/>
  <c r="H574" i="3" s="1"/>
  <c r="BN574" i="3" s="1"/>
  <c r="Q574" i="3"/>
  <c r="S574" i="3"/>
  <c r="O574" i="3"/>
  <c r="U574" i="3"/>
  <c r="M574" i="3"/>
  <c r="AF574" i="3"/>
  <c r="AD574" i="3"/>
  <c r="AE574" i="3"/>
  <c r="AK574" i="3"/>
  <c r="AM574" i="3"/>
  <c r="P574" i="3"/>
  <c r="R574" i="3"/>
  <c r="V574" i="3"/>
  <c r="T574" i="3"/>
  <c r="AU572" i="3"/>
  <c r="AV572" i="3" s="1"/>
  <c r="AN573" i="3"/>
  <c r="AX572" i="3"/>
  <c r="AY572" i="3" s="1"/>
  <c r="BF571" i="3" l="1"/>
  <c r="AN574" i="3"/>
  <c r="AG574" i="3"/>
  <c r="BC572" i="3"/>
  <c r="BD571" i="3"/>
  <c r="BG571" i="3"/>
  <c r="BH571" i="3" s="1"/>
  <c r="BI571" i="3" s="1"/>
  <c r="Y574" i="3"/>
  <c r="Z574" i="3" s="1"/>
  <c r="X574" i="3"/>
  <c r="AV573" i="3"/>
  <c r="AX573" i="3"/>
  <c r="AU574" i="3"/>
  <c r="AR575" i="3"/>
  <c r="AQ575" i="3"/>
  <c r="A576" i="3"/>
  <c r="B575" i="3"/>
  <c r="D575" i="3"/>
  <c r="C575" i="3"/>
  <c r="G575" i="3"/>
  <c r="H575" i="3" s="1"/>
  <c r="F575" i="3"/>
  <c r="Q575" i="3"/>
  <c r="S575" i="3"/>
  <c r="O575" i="3"/>
  <c r="U575" i="3"/>
  <c r="AK575" i="3"/>
  <c r="AF575" i="3"/>
  <c r="AE575" i="3"/>
  <c r="AD575" i="3"/>
  <c r="M575" i="3"/>
  <c r="AM575" i="3"/>
  <c r="AN575" i="3" s="1"/>
  <c r="V575" i="3"/>
  <c r="P575" i="3"/>
  <c r="R575" i="3"/>
  <c r="T575" i="3"/>
  <c r="AW573" i="3"/>
  <c r="AO574" i="3"/>
  <c r="BA572" i="3"/>
  <c r="AH574" i="3"/>
  <c r="AX574" i="3" s="1"/>
  <c r="BJ570" i="3"/>
  <c r="BK570" i="3" s="1"/>
  <c r="BN575" i="3" l="1"/>
  <c r="BM575" i="3"/>
  <c r="AG575" i="3"/>
  <c r="AY573" i="3"/>
  <c r="BC573" i="3" s="1"/>
  <c r="AQ576" i="3"/>
  <c r="D576" i="3"/>
  <c r="C576" i="3"/>
  <c r="A577" i="3"/>
  <c r="B576" i="3"/>
  <c r="AR576" i="3"/>
  <c r="F576" i="3"/>
  <c r="BM576" i="3" s="1"/>
  <c r="G576" i="3"/>
  <c r="H576" i="3" s="1"/>
  <c r="BN576" i="3" s="1"/>
  <c r="Q576" i="3"/>
  <c r="S576" i="3"/>
  <c r="O576" i="3"/>
  <c r="U576" i="3"/>
  <c r="AE576" i="3"/>
  <c r="AD576" i="3"/>
  <c r="AF576" i="3"/>
  <c r="M576" i="3"/>
  <c r="AK576" i="3"/>
  <c r="AM576" i="3"/>
  <c r="R576" i="3"/>
  <c r="V576" i="3"/>
  <c r="P576" i="3"/>
  <c r="T576" i="3"/>
  <c r="BA573" i="3"/>
  <c r="BQ572" i="3"/>
  <c r="BF572" i="3"/>
  <c r="BJ571" i="3" s="1"/>
  <c r="BK571" i="3" s="1"/>
  <c r="BB572" i="3"/>
  <c r="X575" i="3"/>
  <c r="Y575" i="3"/>
  <c r="Z575" i="3" s="1"/>
  <c r="AH575" i="3"/>
  <c r="AO575" i="3"/>
  <c r="AW574" i="3"/>
  <c r="AY574" i="3" s="1"/>
  <c r="AT574" i="3"/>
  <c r="BD572" i="3"/>
  <c r="BG572" i="3"/>
  <c r="BH572" i="3" s="1"/>
  <c r="BI572" i="3" s="1"/>
  <c r="AN576" i="3" l="1"/>
  <c r="AH576" i="3"/>
  <c r="AX575" i="3"/>
  <c r="AW575" i="3"/>
  <c r="AY575" i="3" s="1"/>
  <c r="BB573" i="3"/>
  <c r="BF573" i="3"/>
  <c r="BJ572" i="3" s="1"/>
  <c r="BK572" i="3" s="1"/>
  <c r="BQ573" i="3"/>
  <c r="AU575" i="3"/>
  <c r="BA574" i="3"/>
  <c r="AV574" i="3"/>
  <c r="BC574" i="3" s="1"/>
  <c r="AR577" i="3"/>
  <c r="A578" i="3"/>
  <c r="AQ577" i="3"/>
  <c r="B577" i="3"/>
  <c r="C577" i="3"/>
  <c r="D577" i="3"/>
  <c r="G577" i="3"/>
  <c r="H577" i="3" s="1"/>
  <c r="F577" i="3"/>
  <c r="Q577" i="3"/>
  <c r="S577" i="3"/>
  <c r="O577" i="3"/>
  <c r="U577" i="3"/>
  <c r="AE577" i="3"/>
  <c r="AD577" i="3"/>
  <c r="AF577" i="3"/>
  <c r="AK577" i="3"/>
  <c r="AM577" i="3"/>
  <c r="M577" i="3"/>
  <c r="R577" i="3"/>
  <c r="V577" i="3"/>
  <c r="P577" i="3"/>
  <c r="T577" i="3"/>
  <c r="BD573" i="3"/>
  <c r="BG573" i="3"/>
  <c r="BH573" i="3" s="1"/>
  <c r="BI573" i="3" s="1"/>
  <c r="AG576" i="3"/>
  <c r="X576" i="3"/>
  <c r="AT575" i="3"/>
  <c r="AT576" i="3"/>
  <c r="Y576" i="3"/>
  <c r="Z576" i="3" s="1"/>
  <c r="AO576" i="3"/>
  <c r="AU576" i="3"/>
  <c r="BM577" i="3" l="1"/>
  <c r="AN577" i="3"/>
  <c r="BN577" i="3"/>
  <c r="Y577" i="3"/>
  <c r="Z577" i="3" s="1"/>
  <c r="AG577" i="3"/>
  <c r="BD574" i="3"/>
  <c r="BG574" i="3"/>
  <c r="BH574" i="3" s="1"/>
  <c r="BI574" i="3" s="1"/>
  <c r="X577" i="3"/>
  <c r="B578" i="3"/>
  <c r="A579" i="3"/>
  <c r="C578" i="3"/>
  <c r="D578" i="3"/>
  <c r="AR578" i="3"/>
  <c r="AQ578" i="3"/>
  <c r="G578" i="3"/>
  <c r="H578" i="3" s="1"/>
  <c r="BN578" i="3" s="1"/>
  <c r="F578" i="3"/>
  <c r="BM578" i="3" s="1"/>
  <c r="S578" i="3"/>
  <c r="Q578" i="3"/>
  <c r="O578" i="3"/>
  <c r="U578" i="3"/>
  <c r="M578" i="3"/>
  <c r="AF578" i="3"/>
  <c r="AD578" i="3"/>
  <c r="AE578" i="3"/>
  <c r="AM578" i="3"/>
  <c r="AK578" i="3"/>
  <c r="AO578" i="3" s="1"/>
  <c r="P578" i="3"/>
  <c r="R578" i="3"/>
  <c r="V578" i="3"/>
  <c r="T578" i="3"/>
  <c r="AV576" i="3"/>
  <c r="AT577" i="3"/>
  <c r="BA575" i="3"/>
  <c r="AV575" i="3"/>
  <c r="BC575" i="3" s="1"/>
  <c r="AO577" i="3"/>
  <c r="BF574" i="3"/>
  <c r="BJ573" i="3" s="1"/>
  <c r="BK573" i="3" s="1"/>
  <c r="BQ574" i="3"/>
  <c r="BB574" i="3"/>
  <c r="AH577" i="3"/>
  <c r="AU577" i="3" s="1"/>
  <c r="AW576" i="3"/>
  <c r="AX576" i="3"/>
  <c r="AY576" i="3" l="1"/>
  <c r="BC576" i="3" s="1"/>
  <c r="BB575" i="3"/>
  <c r="BQ575" i="3"/>
  <c r="BF575" i="3"/>
  <c r="BJ574" i="3" s="1"/>
  <c r="BK574" i="3" s="1"/>
  <c r="X578" i="3"/>
  <c r="BD575" i="3"/>
  <c r="BG575" i="3"/>
  <c r="BH575" i="3" s="1"/>
  <c r="BI575" i="3" s="1"/>
  <c r="AV577" i="3"/>
  <c r="Y578" i="3"/>
  <c r="Z578" i="3" s="1"/>
  <c r="AN578" i="3"/>
  <c r="AT578" i="3"/>
  <c r="AQ579" i="3"/>
  <c r="AR579" i="3"/>
  <c r="B579" i="3"/>
  <c r="C579" i="3"/>
  <c r="D579" i="3"/>
  <c r="A580" i="3"/>
  <c r="F579" i="3"/>
  <c r="G579" i="3"/>
  <c r="H579" i="3" s="1"/>
  <c r="Q579" i="3"/>
  <c r="S579" i="3"/>
  <c r="O579" i="3"/>
  <c r="U579" i="3"/>
  <c r="AF579" i="3"/>
  <c r="M579" i="3"/>
  <c r="AE579" i="3"/>
  <c r="AD579" i="3"/>
  <c r="AM579" i="3"/>
  <c r="AK579" i="3"/>
  <c r="P579" i="3"/>
  <c r="V579" i="3"/>
  <c r="R579" i="3"/>
  <c r="T579" i="3"/>
  <c r="BA576" i="3"/>
  <c r="AW577" i="3"/>
  <c r="AX577" i="3"/>
  <c r="AH578" i="3"/>
  <c r="AG578" i="3"/>
  <c r="AO579" i="3" l="1"/>
  <c r="BN579" i="3"/>
  <c r="BM579" i="3"/>
  <c r="AG579" i="3"/>
  <c r="BD576" i="3"/>
  <c r="BG576" i="3"/>
  <c r="BH576" i="3" s="1"/>
  <c r="BI576" i="3" s="1"/>
  <c r="AH579" i="3"/>
  <c r="AT579" i="3" s="1"/>
  <c r="AU578" i="3"/>
  <c r="AV578" i="3" s="1"/>
  <c r="BA577" i="3"/>
  <c r="BB577" i="3" s="1"/>
  <c r="AN579" i="3"/>
  <c r="AU579" i="3"/>
  <c r="BB576" i="3"/>
  <c r="BQ576" i="3"/>
  <c r="BF576" i="3"/>
  <c r="BJ575" i="3" s="1"/>
  <c r="BK575" i="3" s="1"/>
  <c r="AY577" i="3"/>
  <c r="BC577" i="3" s="1"/>
  <c r="X579" i="3"/>
  <c r="AW578" i="3"/>
  <c r="AX578" i="3"/>
  <c r="A581" i="3"/>
  <c r="AR580" i="3"/>
  <c r="B580" i="3"/>
  <c r="AQ580" i="3"/>
  <c r="C580" i="3"/>
  <c r="D580" i="3"/>
  <c r="G580" i="3"/>
  <c r="H580" i="3" s="1"/>
  <c r="BN580" i="3" s="1"/>
  <c r="F580" i="3"/>
  <c r="BM580" i="3" s="1"/>
  <c r="S580" i="3"/>
  <c r="Q580" i="3"/>
  <c r="O580" i="3"/>
  <c r="U580" i="3"/>
  <c r="AF580" i="3"/>
  <c r="AD580" i="3"/>
  <c r="M580" i="3"/>
  <c r="AE580" i="3"/>
  <c r="AK580" i="3"/>
  <c r="AM580" i="3"/>
  <c r="R580" i="3"/>
  <c r="P580" i="3"/>
  <c r="V580" i="3"/>
  <c r="T580" i="3"/>
  <c r="Y579" i="3"/>
  <c r="Z579" i="3" s="1"/>
  <c r="AW579" i="3" l="1"/>
  <c r="AX579" i="3"/>
  <c r="BQ577" i="3"/>
  <c r="AG580" i="3"/>
  <c r="BF577" i="3"/>
  <c r="AN580" i="3"/>
  <c r="BA578" i="3"/>
  <c r="AV579" i="3"/>
  <c r="AO580" i="3"/>
  <c r="BD577" i="3"/>
  <c r="BG577" i="3"/>
  <c r="BH577" i="3" s="1"/>
  <c r="BI577" i="3" s="1"/>
  <c r="BC579" i="3"/>
  <c r="BF578" i="3"/>
  <c r="BJ577" i="3" s="1"/>
  <c r="BK577" i="3" s="1"/>
  <c r="BB578" i="3"/>
  <c r="BQ578" i="3"/>
  <c r="Y580" i="3"/>
  <c r="Z580" i="3" s="1"/>
  <c r="D581" i="3"/>
  <c r="AR581" i="3"/>
  <c r="A582" i="3"/>
  <c r="C581" i="3"/>
  <c r="AQ581" i="3"/>
  <c r="B581" i="3"/>
  <c r="F581" i="3"/>
  <c r="G581" i="3"/>
  <c r="H581" i="3" s="1"/>
  <c r="Q581" i="3"/>
  <c r="S581" i="3"/>
  <c r="O581" i="3"/>
  <c r="U581" i="3"/>
  <c r="AF581" i="3"/>
  <c r="AD581" i="3"/>
  <c r="AE581" i="3"/>
  <c r="M581" i="3"/>
  <c r="AM581" i="3"/>
  <c r="AK581" i="3"/>
  <c r="V581" i="3"/>
  <c r="T581" i="3"/>
  <c r="R581" i="3"/>
  <c r="P581" i="3"/>
  <c r="BA579" i="3"/>
  <c r="AY579" i="3"/>
  <c r="X580" i="3"/>
  <c r="AY578" i="3"/>
  <c r="BC578" i="3" s="1"/>
  <c r="AH580" i="3"/>
  <c r="AX580" i="3" s="1"/>
  <c r="BJ576" i="3"/>
  <c r="BK576" i="3" s="1"/>
  <c r="AG581" i="3" l="1"/>
  <c r="AN581" i="3"/>
  <c r="BD578" i="3"/>
  <c r="BG578" i="3"/>
  <c r="BH578" i="3" s="1"/>
  <c r="BI578" i="3" s="1"/>
  <c r="Y581" i="3"/>
  <c r="Z581" i="3" s="1"/>
  <c r="AO581" i="3"/>
  <c r="AH581" i="3"/>
  <c r="AX581" i="3" s="1"/>
  <c r="AT581" i="3"/>
  <c r="BN581" i="3"/>
  <c r="AR582" i="3"/>
  <c r="AQ582" i="3"/>
  <c r="B582" i="3"/>
  <c r="A583" i="3"/>
  <c r="C582" i="3"/>
  <c r="D582" i="3"/>
  <c r="G582" i="3"/>
  <c r="H582" i="3" s="1"/>
  <c r="F582" i="3"/>
  <c r="Q582" i="3"/>
  <c r="S582" i="3"/>
  <c r="O582" i="3"/>
  <c r="U582" i="3"/>
  <c r="AF582" i="3"/>
  <c r="AD582" i="3"/>
  <c r="M582" i="3"/>
  <c r="AE582" i="3"/>
  <c r="AG582" i="3" s="1"/>
  <c r="AM582" i="3"/>
  <c r="AK582" i="3"/>
  <c r="P582" i="3"/>
  <c r="V582" i="3"/>
  <c r="R582" i="3"/>
  <c r="T582" i="3"/>
  <c r="X581" i="3"/>
  <c r="AU580" i="3"/>
  <c r="AW580" i="3"/>
  <c r="AY580" i="3" s="1"/>
  <c r="AT580" i="3"/>
  <c r="BD579" i="3"/>
  <c r="BG579" i="3"/>
  <c r="BH579" i="3" s="1"/>
  <c r="BI579" i="3" s="1"/>
  <c r="BQ579" i="3"/>
  <c r="BF579" i="3"/>
  <c r="BJ578" i="3" s="1"/>
  <c r="BK578" i="3" s="1"/>
  <c r="BB579" i="3"/>
  <c r="BM581" i="3"/>
  <c r="AN582" i="3" l="1"/>
  <c r="Y582" i="3"/>
  <c r="Z582" i="3" s="1"/>
  <c r="A584" i="3"/>
  <c r="AQ583" i="3"/>
  <c r="AR583" i="3"/>
  <c r="B583" i="3"/>
  <c r="C583" i="3"/>
  <c r="D583" i="3"/>
  <c r="G583" i="3"/>
  <c r="H583" i="3" s="1"/>
  <c r="BN583" i="3" s="1"/>
  <c r="F583" i="3"/>
  <c r="BM583" i="3" s="1"/>
  <c r="Q583" i="3"/>
  <c r="S583" i="3"/>
  <c r="O583" i="3"/>
  <c r="U583" i="3"/>
  <c r="AF583" i="3"/>
  <c r="AD583" i="3"/>
  <c r="AE583" i="3"/>
  <c r="M583" i="3"/>
  <c r="AK583" i="3"/>
  <c r="AM583" i="3"/>
  <c r="T583" i="3"/>
  <c r="V583" i="3"/>
  <c r="R583" i="3"/>
  <c r="P583" i="3"/>
  <c r="AO582" i="3"/>
  <c r="AY581" i="3"/>
  <c r="AH582" i="3"/>
  <c r="AX582" i="3" s="1"/>
  <c r="AU581" i="3"/>
  <c r="AV581" i="3" s="1"/>
  <c r="X582" i="3"/>
  <c r="BM582" i="3"/>
  <c r="BA580" i="3"/>
  <c r="AV580" i="3"/>
  <c r="BC580" i="3" s="1"/>
  <c r="AW581" i="3"/>
  <c r="BN582" i="3"/>
  <c r="AU582" i="3" l="1"/>
  <c r="BC581" i="3"/>
  <c r="AN583" i="3"/>
  <c r="X583" i="3"/>
  <c r="BD581" i="3"/>
  <c r="BG581" i="3"/>
  <c r="BH581" i="3" s="1"/>
  <c r="BI581" i="3" s="1"/>
  <c r="Y583" i="3"/>
  <c r="Z583" i="3" s="1"/>
  <c r="AH583" i="3"/>
  <c r="BD580" i="3"/>
  <c r="BG580" i="3"/>
  <c r="BH580" i="3" s="1"/>
  <c r="BI580" i="3" s="1"/>
  <c r="BB580" i="3"/>
  <c r="BF580" i="3"/>
  <c r="BJ579" i="3" s="1"/>
  <c r="BK579" i="3" s="1"/>
  <c r="BQ580" i="3"/>
  <c r="BA581" i="3"/>
  <c r="AO583" i="3"/>
  <c r="AQ584" i="3"/>
  <c r="D584" i="3"/>
  <c r="C584" i="3"/>
  <c r="A585" i="3"/>
  <c r="AR584" i="3"/>
  <c r="B584" i="3"/>
  <c r="F584" i="3"/>
  <c r="G584" i="3"/>
  <c r="H584" i="3" s="1"/>
  <c r="S584" i="3"/>
  <c r="Q584" i="3"/>
  <c r="O584" i="3"/>
  <c r="U584" i="3"/>
  <c r="AM584" i="3"/>
  <c r="AF584" i="3"/>
  <c r="AE584" i="3"/>
  <c r="AD584" i="3"/>
  <c r="M584" i="3"/>
  <c r="AK584" i="3"/>
  <c r="R584" i="3"/>
  <c r="V584" i="3"/>
  <c r="P584" i="3"/>
  <c r="T584" i="3"/>
  <c r="AT582" i="3"/>
  <c r="AG583" i="3"/>
  <c r="AW582" i="3"/>
  <c r="AY582" i="3" s="1"/>
  <c r="AO584" i="3" l="1"/>
  <c r="BM584" i="3"/>
  <c r="AG584" i="3"/>
  <c r="AU583" i="3"/>
  <c r="X584" i="3"/>
  <c r="AN584" i="3"/>
  <c r="AV582" i="3"/>
  <c r="BC582" i="3" s="1"/>
  <c r="BA582" i="3"/>
  <c r="BN584" i="3"/>
  <c r="AH584" i="3"/>
  <c r="AX584" i="3" s="1"/>
  <c r="BB581" i="3"/>
  <c r="BQ581" i="3"/>
  <c r="BF581" i="3"/>
  <c r="BJ580" i="3" s="1"/>
  <c r="BK580" i="3" s="1"/>
  <c r="AW583" i="3"/>
  <c r="AX583" i="3"/>
  <c r="AT583" i="3"/>
  <c r="Y584" i="3"/>
  <c r="Z584" i="3" s="1"/>
  <c r="AR585" i="3"/>
  <c r="A586" i="3"/>
  <c r="AQ585" i="3"/>
  <c r="B585" i="3"/>
  <c r="D585" i="3"/>
  <c r="C585" i="3"/>
  <c r="G585" i="3"/>
  <c r="H585" i="3" s="1"/>
  <c r="BN585" i="3" s="1"/>
  <c r="F585" i="3"/>
  <c r="BM585" i="3" s="1"/>
  <c r="S585" i="3"/>
  <c r="Q585" i="3"/>
  <c r="O585" i="3"/>
  <c r="U585" i="3"/>
  <c r="AD585" i="3"/>
  <c r="AF585" i="3"/>
  <c r="AE585" i="3"/>
  <c r="M585" i="3"/>
  <c r="AM585" i="3"/>
  <c r="AK585" i="3"/>
  <c r="R585" i="3"/>
  <c r="V585" i="3"/>
  <c r="P585" i="3"/>
  <c r="T585" i="3"/>
  <c r="AT584" i="3" l="1"/>
  <c r="AY583" i="3"/>
  <c r="AN585" i="3"/>
  <c r="BB582" i="3"/>
  <c r="BQ582" i="3"/>
  <c r="BF582" i="3"/>
  <c r="BJ581" i="3" s="1"/>
  <c r="BK581" i="3" s="1"/>
  <c r="AH585" i="3"/>
  <c r="AG585" i="3"/>
  <c r="BA583" i="3"/>
  <c r="AV583" i="3"/>
  <c r="BC583" i="3" s="1"/>
  <c r="X585" i="3"/>
  <c r="BD582" i="3"/>
  <c r="BG582" i="3"/>
  <c r="BH582" i="3" s="1"/>
  <c r="BI582" i="3" s="1"/>
  <c r="Y585" i="3"/>
  <c r="Z585" i="3" s="1"/>
  <c r="AO585" i="3"/>
  <c r="AR586" i="3"/>
  <c r="AQ586" i="3"/>
  <c r="B586" i="3"/>
  <c r="A587" i="3"/>
  <c r="D586" i="3"/>
  <c r="C586" i="3"/>
  <c r="F586" i="3"/>
  <c r="BM586" i="3" s="1"/>
  <c r="G586" i="3"/>
  <c r="H586" i="3" s="1"/>
  <c r="BN586" i="3" s="1"/>
  <c r="Q586" i="3"/>
  <c r="S586" i="3"/>
  <c r="O586" i="3"/>
  <c r="U586" i="3"/>
  <c r="AF586" i="3"/>
  <c r="AD586" i="3"/>
  <c r="M586" i="3"/>
  <c r="AK586" i="3"/>
  <c r="AE586" i="3"/>
  <c r="AM586" i="3"/>
  <c r="P586" i="3"/>
  <c r="R586" i="3"/>
  <c r="T586" i="3"/>
  <c r="V586" i="3"/>
  <c r="AW584" i="3"/>
  <c r="AY584" i="3" s="1"/>
  <c r="AU584" i="3"/>
  <c r="AV584" i="3" s="1"/>
  <c r="AN586" i="3" l="1"/>
  <c r="BC584" i="3"/>
  <c r="AT585" i="3"/>
  <c r="AH586" i="3"/>
  <c r="AW585" i="3"/>
  <c r="BD584" i="3"/>
  <c r="BG584" i="3"/>
  <c r="BH584" i="3" s="1"/>
  <c r="BI584" i="3" s="1"/>
  <c r="BA584" i="3"/>
  <c r="Y586" i="3"/>
  <c r="Z586" i="3" s="1"/>
  <c r="BD583" i="3"/>
  <c r="BG583" i="3"/>
  <c r="BH583" i="3" s="1"/>
  <c r="BI583" i="3" s="1"/>
  <c r="AQ587" i="3"/>
  <c r="AR587" i="3"/>
  <c r="B587" i="3"/>
  <c r="C587" i="3"/>
  <c r="D587" i="3"/>
  <c r="A588" i="3"/>
  <c r="F587" i="3"/>
  <c r="G587" i="3"/>
  <c r="H587" i="3" s="1"/>
  <c r="S587" i="3"/>
  <c r="Q587" i="3"/>
  <c r="O587" i="3"/>
  <c r="U587" i="3"/>
  <c r="AF587" i="3"/>
  <c r="AE587" i="3"/>
  <c r="AD587" i="3"/>
  <c r="M587" i="3"/>
  <c r="AM587" i="3"/>
  <c r="AK587" i="3"/>
  <c r="V587" i="3"/>
  <c r="P587" i="3"/>
  <c r="R587" i="3"/>
  <c r="T587" i="3"/>
  <c r="BF583" i="3"/>
  <c r="BJ582" i="3" s="1"/>
  <c r="BK582" i="3" s="1"/>
  <c r="BB583" i="3"/>
  <c r="BQ583" i="3"/>
  <c r="X586" i="3"/>
  <c r="AU585" i="3"/>
  <c r="AX585" i="3"/>
  <c r="AY585" i="3" s="1"/>
  <c r="AG586" i="3"/>
  <c r="AT586" i="3" s="1"/>
  <c r="AO586" i="3"/>
  <c r="AO587" i="3" l="1"/>
  <c r="BM587" i="3"/>
  <c r="AX586" i="3"/>
  <c r="AN587" i="3"/>
  <c r="BA585" i="3"/>
  <c r="BQ585" i="3" s="1"/>
  <c r="A589" i="3"/>
  <c r="AR588" i="3"/>
  <c r="B588" i="3"/>
  <c r="AQ588" i="3"/>
  <c r="D588" i="3"/>
  <c r="C588" i="3"/>
  <c r="F588" i="3"/>
  <c r="BM588" i="3" s="1"/>
  <c r="G588" i="3"/>
  <c r="H588" i="3" s="1"/>
  <c r="Q588" i="3"/>
  <c r="S588" i="3"/>
  <c r="O588" i="3"/>
  <c r="U588" i="3"/>
  <c r="M588" i="3"/>
  <c r="AE588" i="3"/>
  <c r="AF588" i="3"/>
  <c r="AD588" i="3"/>
  <c r="AM588" i="3"/>
  <c r="AK588" i="3"/>
  <c r="V588" i="3"/>
  <c r="P588" i="3"/>
  <c r="R588" i="3"/>
  <c r="T588" i="3"/>
  <c r="AT587" i="3"/>
  <c r="AV585" i="3"/>
  <c r="BC585" i="3" s="1"/>
  <c r="Y587" i="3"/>
  <c r="Z587" i="3" s="1"/>
  <c r="AW586" i="3"/>
  <c r="AY586" i="3" s="1"/>
  <c r="AU586" i="3"/>
  <c r="AG587" i="3"/>
  <c r="AH587" i="3"/>
  <c r="X587" i="3"/>
  <c r="BB584" i="3"/>
  <c r="BF584" i="3"/>
  <c r="BJ583" i="3" s="1"/>
  <c r="BK583" i="3" s="1"/>
  <c r="BQ584" i="3"/>
  <c r="BN587" i="3"/>
  <c r="BF585" i="3" l="1"/>
  <c r="AO588" i="3"/>
  <c r="AX587" i="3"/>
  <c r="BB585" i="3"/>
  <c r="BA586" i="3"/>
  <c r="BN588" i="3"/>
  <c r="AH588" i="3"/>
  <c r="AV586" i="3"/>
  <c r="BC586" i="3" s="1"/>
  <c r="BG586" i="3" s="1"/>
  <c r="BH586" i="3" s="1"/>
  <c r="BI586" i="3" s="1"/>
  <c r="Y588" i="3"/>
  <c r="Z588" i="3" s="1"/>
  <c r="AU587" i="3"/>
  <c r="BQ586" i="3"/>
  <c r="BF586" i="3"/>
  <c r="BJ585" i="3" s="1"/>
  <c r="BK585" i="3" s="1"/>
  <c r="BB586" i="3"/>
  <c r="BD585" i="3"/>
  <c r="BG585" i="3"/>
  <c r="BH585" i="3" s="1"/>
  <c r="BI585" i="3" s="1"/>
  <c r="AN588" i="3"/>
  <c r="AX588" i="3" s="1"/>
  <c r="D589" i="3"/>
  <c r="C589" i="3"/>
  <c r="AQ589" i="3"/>
  <c r="A590" i="3"/>
  <c r="AR589" i="3"/>
  <c r="B589" i="3"/>
  <c r="G589" i="3"/>
  <c r="H589" i="3" s="1"/>
  <c r="F589" i="3"/>
  <c r="BM589" i="3" s="1"/>
  <c r="Q589" i="3"/>
  <c r="S589" i="3"/>
  <c r="O589" i="3"/>
  <c r="U589" i="3"/>
  <c r="AE589" i="3"/>
  <c r="AD589" i="3"/>
  <c r="AF589" i="3"/>
  <c r="AK589" i="3"/>
  <c r="AM589" i="3"/>
  <c r="M589" i="3"/>
  <c r="V589" i="3"/>
  <c r="R589" i="3"/>
  <c r="P589" i="3"/>
  <c r="T589" i="3"/>
  <c r="AW587" i="3"/>
  <c r="AY587" i="3" s="1"/>
  <c r="AG588" i="3"/>
  <c r="AU588" i="3" s="1"/>
  <c r="BJ584" i="3"/>
  <c r="BK584" i="3" s="1"/>
  <c r="X588" i="3"/>
  <c r="BD586" i="3" l="1"/>
  <c r="AT588" i="3"/>
  <c r="AN589" i="3"/>
  <c r="AH589" i="3"/>
  <c r="BA587" i="3"/>
  <c r="BQ587" i="3" s="1"/>
  <c r="BN589" i="3"/>
  <c r="AR590" i="3"/>
  <c r="AQ590" i="3"/>
  <c r="B590" i="3"/>
  <c r="A591" i="3"/>
  <c r="D590" i="3"/>
  <c r="C590" i="3"/>
  <c r="F590" i="3"/>
  <c r="BM590" i="3" s="1"/>
  <c r="G590" i="3"/>
  <c r="H590" i="3" s="1"/>
  <c r="BN590" i="3" s="1"/>
  <c r="Q590" i="3"/>
  <c r="S590" i="3"/>
  <c r="O590" i="3"/>
  <c r="U590" i="3"/>
  <c r="AE590" i="3"/>
  <c r="AD590" i="3"/>
  <c r="M590" i="3"/>
  <c r="AF590" i="3"/>
  <c r="AM590" i="3"/>
  <c r="AK590" i="3"/>
  <c r="V590" i="3"/>
  <c r="R590" i="3"/>
  <c r="T590" i="3"/>
  <c r="P590" i="3"/>
  <c r="AV588" i="3"/>
  <c r="BA588" i="3"/>
  <c r="X589" i="3"/>
  <c r="Y589" i="3"/>
  <c r="Z589" i="3" s="1"/>
  <c r="AV587" i="3"/>
  <c r="BC587" i="3" s="1"/>
  <c r="AO589" i="3"/>
  <c r="AG589" i="3"/>
  <c r="AW588" i="3"/>
  <c r="AY588" i="3" s="1"/>
  <c r="AW589" i="3" l="1"/>
  <c r="BB587" i="3"/>
  <c r="BF587" i="3"/>
  <c r="BJ586" i="3" s="1"/>
  <c r="BK586" i="3" s="1"/>
  <c r="AO590" i="3"/>
  <c r="BQ588" i="3"/>
  <c r="BF588" i="3"/>
  <c r="BJ587" i="3" s="1"/>
  <c r="BK587" i="3" s="1"/>
  <c r="BB588" i="3"/>
  <c r="A592" i="3"/>
  <c r="AQ591" i="3"/>
  <c r="AR591" i="3"/>
  <c r="B591" i="3"/>
  <c r="C591" i="3"/>
  <c r="D591" i="3"/>
  <c r="G591" i="3"/>
  <c r="H591" i="3" s="1"/>
  <c r="BN591" i="3" s="1"/>
  <c r="F591" i="3"/>
  <c r="BM591" i="3" s="1"/>
  <c r="S591" i="3"/>
  <c r="Q591" i="3"/>
  <c r="O591" i="3"/>
  <c r="U591" i="3"/>
  <c r="M591" i="3"/>
  <c r="AE591" i="3"/>
  <c r="AF591" i="3"/>
  <c r="AD591" i="3"/>
  <c r="AK591" i="3"/>
  <c r="AM591" i="3"/>
  <c r="T591" i="3"/>
  <c r="V591" i="3"/>
  <c r="R591" i="3"/>
  <c r="P591" i="3"/>
  <c r="BC588" i="3"/>
  <c r="AT590" i="3"/>
  <c r="AX589" i="3"/>
  <c r="AY589" i="3" s="1"/>
  <c r="BD587" i="3"/>
  <c r="BG587" i="3"/>
  <c r="BH587" i="3" s="1"/>
  <c r="BI587" i="3" s="1"/>
  <c r="Y590" i="3"/>
  <c r="Z590" i="3" s="1"/>
  <c r="AN590" i="3"/>
  <c r="AH590" i="3"/>
  <c r="AG590" i="3"/>
  <c r="AU589" i="3"/>
  <c r="X590" i="3"/>
  <c r="AT589" i="3"/>
  <c r="AN591" i="3" l="1"/>
  <c r="AW590" i="3"/>
  <c r="X591" i="3"/>
  <c r="BD588" i="3"/>
  <c r="BG588" i="3"/>
  <c r="BH588" i="3" s="1"/>
  <c r="BI588" i="3" s="1"/>
  <c r="AV589" i="3"/>
  <c r="BC589" i="3" s="1"/>
  <c r="BA589" i="3"/>
  <c r="Y591" i="3"/>
  <c r="Z591" i="3" s="1"/>
  <c r="AT591" i="3"/>
  <c r="AO591" i="3"/>
  <c r="AQ592" i="3"/>
  <c r="D592" i="3"/>
  <c r="C592" i="3"/>
  <c r="A593" i="3"/>
  <c r="AR592" i="3"/>
  <c r="B592" i="3"/>
  <c r="G592" i="3"/>
  <c r="H592" i="3" s="1"/>
  <c r="F592" i="3"/>
  <c r="Q592" i="3"/>
  <c r="S592" i="3"/>
  <c r="O592" i="3"/>
  <c r="U592" i="3"/>
  <c r="M592" i="3"/>
  <c r="AK592" i="3"/>
  <c r="AD592" i="3"/>
  <c r="AF592" i="3"/>
  <c r="AE592" i="3"/>
  <c r="AG592" i="3" s="1"/>
  <c r="AM592" i="3"/>
  <c r="AN592" i="3" s="1"/>
  <c r="P592" i="3"/>
  <c r="R592" i="3"/>
  <c r="V592" i="3"/>
  <c r="T592" i="3"/>
  <c r="AX590" i="3"/>
  <c r="AU590" i="3"/>
  <c r="AH591" i="3"/>
  <c r="AG591" i="3"/>
  <c r="AY590" i="3" l="1"/>
  <c r="BA590" i="3"/>
  <c r="AU591" i="3"/>
  <c r="BB590" i="3"/>
  <c r="BQ590" i="3"/>
  <c r="BF590" i="3"/>
  <c r="AV591" i="3"/>
  <c r="AV590" i="3"/>
  <c r="BC590" i="3" s="1"/>
  <c r="Y592" i="3"/>
  <c r="Z592" i="3" s="1"/>
  <c r="AO592" i="3"/>
  <c r="X592" i="3"/>
  <c r="BM592" i="3"/>
  <c r="AT592" i="3"/>
  <c r="BD589" i="3"/>
  <c r="BG589" i="3"/>
  <c r="BH589" i="3" s="1"/>
  <c r="BI589" i="3" s="1"/>
  <c r="AR593" i="3"/>
  <c r="A594" i="3"/>
  <c r="AQ593" i="3"/>
  <c r="B593" i="3"/>
  <c r="D593" i="3"/>
  <c r="C593" i="3"/>
  <c r="F593" i="3"/>
  <c r="BM593" i="3" s="1"/>
  <c r="G593" i="3"/>
  <c r="H593" i="3" s="1"/>
  <c r="BN593" i="3" s="1"/>
  <c r="Q593" i="3"/>
  <c r="S593" i="3"/>
  <c r="O593" i="3"/>
  <c r="U593" i="3"/>
  <c r="AD593" i="3"/>
  <c r="M593" i="3"/>
  <c r="AF593" i="3"/>
  <c r="AM593" i="3"/>
  <c r="AE593" i="3"/>
  <c r="AK593" i="3"/>
  <c r="V593" i="3"/>
  <c r="R593" i="3"/>
  <c r="P593" i="3"/>
  <c r="T593" i="3"/>
  <c r="AH592" i="3"/>
  <c r="BQ589" i="3"/>
  <c r="BF589" i="3"/>
  <c r="BJ588" i="3" s="1"/>
  <c r="BK588" i="3" s="1"/>
  <c r="BB589" i="3"/>
  <c r="AW591" i="3"/>
  <c r="AX591" i="3"/>
  <c r="BN592" i="3"/>
  <c r="AY591" i="3" l="1"/>
  <c r="BA591" i="3"/>
  <c r="AN593" i="3"/>
  <c r="AH593" i="3"/>
  <c r="BF591" i="3"/>
  <c r="BJ590" i="3" s="1"/>
  <c r="BK590" i="3" s="1"/>
  <c r="BQ591" i="3"/>
  <c r="BB591" i="3"/>
  <c r="BD590" i="3"/>
  <c r="BG590" i="3"/>
  <c r="BH590" i="3" s="1"/>
  <c r="BI590" i="3" s="1"/>
  <c r="X593" i="3"/>
  <c r="BC591" i="3"/>
  <c r="AX592" i="3"/>
  <c r="AU593" i="3"/>
  <c r="AO593" i="3"/>
  <c r="C594" i="3"/>
  <c r="A595" i="3"/>
  <c r="D594" i="3"/>
  <c r="AR594" i="3"/>
  <c r="AQ594" i="3"/>
  <c r="B594" i="3"/>
  <c r="G594" i="3"/>
  <c r="H594" i="3" s="1"/>
  <c r="F594" i="3"/>
  <c r="Q594" i="3"/>
  <c r="S594" i="3"/>
  <c r="O594" i="3"/>
  <c r="U594" i="3"/>
  <c r="M594" i="3"/>
  <c r="AF594" i="3"/>
  <c r="AD594" i="3"/>
  <c r="AE594" i="3"/>
  <c r="AK594" i="3"/>
  <c r="AM594" i="3"/>
  <c r="V594" i="3"/>
  <c r="P594" i="3"/>
  <c r="R594" i="3"/>
  <c r="T594" i="3"/>
  <c r="AU592" i="3"/>
  <c r="AW592" i="3"/>
  <c r="Y593" i="3"/>
  <c r="Z593" i="3" s="1"/>
  <c r="BJ589" i="3"/>
  <c r="BK589" i="3" s="1"/>
  <c r="AG593" i="3"/>
  <c r="AT593" i="3"/>
  <c r="AG594" i="3" l="1"/>
  <c r="Y594" i="3"/>
  <c r="Z594" i="3" s="1"/>
  <c r="AN594" i="3"/>
  <c r="BA592" i="3"/>
  <c r="BF592" i="3" s="1"/>
  <c r="BJ591" i="3" s="1"/>
  <c r="BK591" i="3" s="1"/>
  <c r="BB592" i="3"/>
  <c r="AQ595" i="3"/>
  <c r="AR595" i="3"/>
  <c r="B595" i="3"/>
  <c r="D595" i="3"/>
  <c r="C595" i="3"/>
  <c r="A596" i="3"/>
  <c r="F595" i="3"/>
  <c r="BM595" i="3" s="1"/>
  <c r="G595" i="3"/>
  <c r="H595" i="3" s="1"/>
  <c r="BN595" i="3" s="1"/>
  <c r="Q595" i="3"/>
  <c r="S595" i="3"/>
  <c r="O595" i="3"/>
  <c r="U595" i="3"/>
  <c r="AF595" i="3"/>
  <c r="AD595" i="3"/>
  <c r="M595" i="3"/>
  <c r="AE595" i="3"/>
  <c r="AK595" i="3"/>
  <c r="AM595" i="3"/>
  <c r="V595" i="3"/>
  <c r="T595" i="3"/>
  <c r="P595" i="3"/>
  <c r="R595" i="3"/>
  <c r="BD591" i="3"/>
  <c r="BG591" i="3"/>
  <c r="BH591" i="3" s="1"/>
  <c r="BI591" i="3" s="1"/>
  <c r="AH594" i="3"/>
  <c r="AX594" i="3" s="1"/>
  <c r="AY592" i="3"/>
  <c r="AV593" i="3"/>
  <c r="X594" i="3"/>
  <c r="BN594" i="3"/>
  <c r="AO594" i="3"/>
  <c r="AW593" i="3"/>
  <c r="AV592" i="3"/>
  <c r="BM594" i="3"/>
  <c r="AX593" i="3"/>
  <c r="BQ592" i="3" l="1"/>
  <c r="AN595" i="3"/>
  <c r="AW594" i="3"/>
  <c r="AY594" i="3" s="1"/>
  <c r="AH595" i="3"/>
  <c r="AT594" i="3"/>
  <c r="AU594" i="3"/>
  <c r="BC592" i="3"/>
  <c r="X595" i="3"/>
  <c r="A597" i="3"/>
  <c r="AR596" i="3"/>
  <c r="B596" i="3"/>
  <c r="AQ596" i="3"/>
  <c r="C596" i="3"/>
  <c r="D596" i="3"/>
  <c r="G596" i="3"/>
  <c r="H596" i="3" s="1"/>
  <c r="BN596" i="3" s="1"/>
  <c r="F596" i="3"/>
  <c r="BM596" i="3" s="1"/>
  <c r="Q596" i="3"/>
  <c r="S596" i="3"/>
  <c r="O596" i="3"/>
  <c r="U596" i="3"/>
  <c r="AF596" i="3"/>
  <c r="AD596" i="3"/>
  <c r="AE596" i="3"/>
  <c r="M596" i="3"/>
  <c r="AK596" i="3"/>
  <c r="AM596" i="3"/>
  <c r="R596" i="3"/>
  <c r="V596" i="3"/>
  <c r="P596" i="3"/>
  <c r="T596" i="3"/>
  <c r="Y595" i="3"/>
  <c r="Z595" i="3" s="1"/>
  <c r="AY593" i="3"/>
  <c r="BC593" i="3" s="1"/>
  <c r="AO595" i="3"/>
  <c r="AG595" i="3"/>
  <c r="BA593" i="3"/>
  <c r="AN596" i="3" l="1"/>
  <c r="AG596" i="3"/>
  <c r="AW595" i="3"/>
  <c r="AH596" i="3"/>
  <c r="AT596" i="3" s="1"/>
  <c r="AU596" i="3"/>
  <c r="AT595" i="3"/>
  <c r="BD593" i="3"/>
  <c r="BG593" i="3"/>
  <c r="BH593" i="3" s="1"/>
  <c r="BI593" i="3" s="1"/>
  <c r="D597" i="3"/>
  <c r="AR597" i="3"/>
  <c r="A598" i="3"/>
  <c r="AQ597" i="3"/>
  <c r="B597" i="3"/>
  <c r="C597" i="3"/>
  <c r="F597" i="3"/>
  <c r="BM597" i="3" s="1"/>
  <c r="G597" i="3"/>
  <c r="H597" i="3" s="1"/>
  <c r="BN597" i="3" s="1"/>
  <c r="Q597" i="3"/>
  <c r="S597" i="3"/>
  <c r="O597" i="3"/>
  <c r="U597" i="3"/>
  <c r="AF597" i="3"/>
  <c r="AD597" i="3"/>
  <c r="M597" i="3"/>
  <c r="AE597" i="3"/>
  <c r="AG597" i="3" s="1"/>
  <c r="AM597" i="3"/>
  <c r="AK597" i="3"/>
  <c r="AO597" i="3" s="1"/>
  <c r="V597" i="3"/>
  <c r="P597" i="3"/>
  <c r="T597" i="3"/>
  <c r="R597" i="3"/>
  <c r="Y596" i="3"/>
  <c r="Z596" i="3" s="1"/>
  <c r="AX596" i="3"/>
  <c r="BD592" i="3"/>
  <c r="BG592" i="3"/>
  <c r="BH592" i="3" s="1"/>
  <c r="BI592" i="3" s="1"/>
  <c r="AO596" i="3"/>
  <c r="BF593" i="3"/>
  <c r="BJ592" i="3" s="1"/>
  <c r="BK592" i="3" s="1"/>
  <c r="BQ593" i="3"/>
  <c r="BB593" i="3"/>
  <c r="X596" i="3"/>
  <c r="AV594" i="3"/>
  <c r="BC594" i="3" s="1"/>
  <c r="BA594" i="3"/>
  <c r="AU595" i="3"/>
  <c r="AV595" i="3" s="1"/>
  <c r="AX595" i="3"/>
  <c r="AY595" i="3" s="1"/>
  <c r="AW596" i="3" l="1"/>
  <c r="AY596" i="3" s="1"/>
  <c r="AV596" i="3"/>
  <c r="X597" i="3"/>
  <c r="BC595" i="3"/>
  <c r="AN597" i="3"/>
  <c r="BD595" i="3"/>
  <c r="BG595" i="3"/>
  <c r="BH595" i="3" s="1"/>
  <c r="BI595" i="3" s="1"/>
  <c r="BD594" i="3"/>
  <c r="BG594" i="3"/>
  <c r="BH594" i="3" s="1"/>
  <c r="BI594" i="3" s="1"/>
  <c r="Y597" i="3"/>
  <c r="Z597" i="3" s="1"/>
  <c r="AR598" i="3"/>
  <c r="AQ598" i="3"/>
  <c r="B598" i="3"/>
  <c r="A599" i="3"/>
  <c r="C598" i="3"/>
  <c r="D598" i="3"/>
  <c r="F598" i="3"/>
  <c r="G598" i="3"/>
  <c r="H598" i="3" s="1"/>
  <c r="Q598" i="3"/>
  <c r="S598" i="3"/>
  <c r="O598" i="3"/>
  <c r="U598" i="3"/>
  <c r="AF598" i="3"/>
  <c r="AD598" i="3"/>
  <c r="AE598" i="3"/>
  <c r="AG598" i="3" s="1"/>
  <c r="AK598" i="3"/>
  <c r="M598" i="3"/>
  <c r="AM598" i="3"/>
  <c r="R598" i="3"/>
  <c r="P598" i="3"/>
  <c r="T598" i="3"/>
  <c r="V598" i="3"/>
  <c r="BA595" i="3"/>
  <c r="BQ594" i="3"/>
  <c r="BF594" i="3"/>
  <c r="BJ593" i="3" s="1"/>
  <c r="BK593" i="3" s="1"/>
  <c r="BB594" i="3"/>
  <c r="AH597" i="3"/>
  <c r="AX597" i="3" l="1"/>
  <c r="BC596" i="3"/>
  <c r="BA596" i="3"/>
  <c r="BM598" i="3"/>
  <c r="BN598" i="3"/>
  <c r="AN598" i="3"/>
  <c r="AW597" i="3"/>
  <c r="AY597" i="3" s="1"/>
  <c r="BF596" i="3"/>
  <c r="BQ596" i="3"/>
  <c r="BB596" i="3"/>
  <c r="AH598" i="3"/>
  <c r="AX598" i="3" s="1"/>
  <c r="AT597" i="3"/>
  <c r="BF595" i="3"/>
  <c r="BJ594" i="3" s="1"/>
  <c r="BK594" i="3" s="1"/>
  <c r="BB595" i="3"/>
  <c r="BQ595" i="3"/>
  <c r="Y598" i="3"/>
  <c r="Z598" i="3" s="1"/>
  <c r="A600" i="3"/>
  <c r="AQ599" i="3"/>
  <c r="AR599" i="3"/>
  <c r="B599" i="3"/>
  <c r="C599" i="3"/>
  <c r="D599" i="3"/>
  <c r="F599" i="3"/>
  <c r="BM599" i="3" s="1"/>
  <c r="G599" i="3"/>
  <c r="H599" i="3" s="1"/>
  <c r="BN599" i="3" s="1"/>
  <c r="Q599" i="3"/>
  <c r="S599" i="3"/>
  <c r="O599" i="3"/>
  <c r="U599" i="3"/>
  <c r="AD599" i="3"/>
  <c r="AF599" i="3"/>
  <c r="AE599" i="3"/>
  <c r="M599" i="3"/>
  <c r="AM599" i="3"/>
  <c r="AK599" i="3"/>
  <c r="AO599" i="3" s="1"/>
  <c r="P599" i="3"/>
  <c r="R599" i="3"/>
  <c r="T599" i="3"/>
  <c r="V599" i="3"/>
  <c r="AO598" i="3"/>
  <c r="AU597" i="3"/>
  <c r="BD596" i="3"/>
  <c r="BG596" i="3"/>
  <c r="BH596" i="3" s="1"/>
  <c r="BI596" i="3" s="1"/>
  <c r="X598" i="3"/>
  <c r="AH599" i="3" l="1"/>
  <c r="X599" i="3"/>
  <c r="AN599" i="3"/>
  <c r="AW598" i="3"/>
  <c r="AY598" i="3" s="1"/>
  <c r="AT598" i="3"/>
  <c r="AU598" i="3"/>
  <c r="Y599" i="3"/>
  <c r="Z599" i="3" s="1"/>
  <c r="BJ595" i="3"/>
  <c r="BK595" i="3" s="1"/>
  <c r="AQ600" i="3"/>
  <c r="D600" i="3"/>
  <c r="C600" i="3"/>
  <c r="B600" i="3"/>
  <c r="AR600" i="3"/>
  <c r="A601" i="3"/>
  <c r="F600" i="3"/>
  <c r="G600" i="3"/>
  <c r="H600" i="3" s="1"/>
  <c r="Q600" i="3"/>
  <c r="S600" i="3"/>
  <c r="O600" i="3"/>
  <c r="U600" i="3"/>
  <c r="AE600" i="3"/>
  <c r="AF600" i="3"/>
  <c r="AD600" i="3"/>
  <c r="M600" i="3"/>
  <c r="AM600" i="3"/>
  <c r="AK600" i="3"/>
  <c r="V600" i="3"/>
  <c r="R600" i="3"/>
  <c r="P600" i="3"/>
  <c r="T600" i="3"/>
  <c r="AG599" i="3"/>
  <c r="AU599" i="3" s="1"/>
  <c r="AV597" i="3"/>
  <c r="BC597" i="3" s="1"/>
  <c r="BA597" i="3"/>
  <c r="AH600" i="3" l="1"/>
  <c r="AX599" i="3"/>
  <c r="AT599" i="3"/>
  <c r="AN600" i="3"/>
  <c r="AV599" i="3"/>
  <c r="AR601" i="3"/>
  <c r="A602" i="3"/>
  <c r="AQ601" i="3"/>
  <c r="B601" i="3"/>
  <c r="D601" i="3"/>
  <c r="C601" i="3"/>
  <c r="F601" i="3"/>
  <c r="BM601" i="3" s="1"/>
  <c r="G601" i="3"/>
  <c r="H601" i="3" s="1"/>
  <c r="BN601" i="3" s="1"/>
  <c r="Q601" i="3"/>
  <c r="S601" i="3"/>
  <c r="O601" i="3"/>
  <c r="U601" i="3"/>
  <c r="AD601" i="3"/>
  <c r="AF601" i="3"/>
  <c r="AE601" i="3"/>
  <c r="M601" i="3"/>
  <c r="AK601" i="3"/>
  <c r="AM601" i="3"/>
  <c r="P601" i="3"/>
  <c r="R601" i="3"/>
  <c r="V601" i="3"/>
  <c r="T601" i="3"/>
  <c r="BF597" i="3"/>
  <c r="BJ596" i="3" s="1"/>
  <c r="BK596" i="3" s="1"/>
  <c r="BQ597" i="3"/>
  <c r="BB597" i="3"/>
  <c r="AT600" i="3"/>
  <c r="Y600" i="3"/>
  <c r="Z600" i="3" s="1"/>
  <c r="AG600" i="3"/>
  <c r="AU600" i="3" s="1"/>
  <c r="X600" i="3"/>
  <c r="AV598" i="3"/>
  <c r="BC598" i="3" s="1"/>
  <c r="BA598" i="3"/>
  <c r="BD597" i="3"/>
  <c r="BG597" i="3"/>
  <c r="BH597" i="3" s="1"/>
  <c r="BI597" i="3" s="1"/>
  <c r="BN600" i="3"/>
  <c r="AO600" i="3"/>
  <c r="AW599" i="3"/>
  <c r="AY599" i="3" s="1"/>
  <c r="BM600" i="3"/>
  <c r="AX600" i="3" l="1"/>
  <c r="X601" i="3"/>
  <c r="AO601" i="3"/>
  <c r="AH601" i="3"/>
  <c r="AV600" i="3"/>
  <c r="BD598" i="3"/>
  <c r="BG598" i="3"/>
  <c r="BH598" i="3" s="1"/>
  <c r="BI598" i="3" s="1"/>
  <c r="BA599" i="3"/>
  <c r="Y601" i="3"/>
  <c r="Z601" i="3" s="1"/>
  <c r="AN601" i="3"/>
  <c r="AX601" i="3" s="1"/>
  <c r="BQ598" i="3"/>
  <c r="BB598" i="3"/>
  <c r="BF598" i="3"/>
  <c r="BJ597" i="3" s="1"/>
  <c r="BK597" i="3" s="1"/>
  <c r="A603" i="3"/>
  <c r="C602" i="3"/>
  <c r="D602" i="3"/>
  <c r="AR602" i="3"/>
  <c r="AQ602" i="3"/>
  <c r="B602" i="3"/>
  <c r="F602" i="3"/>
  <c r="G602" i="3"/>
  <c r="H602" i="3" s="1"/>
  <c r="Q602" i="3"/>
  <c r="S602" i="3"/>
  <c r="O602" i="3"/>
  <c r="U602" i="3"/>
  <c r="AK602" i="3"/>
  <c r="AD602" i="3"/>
  <c r="AF602" i="3"/>
  <c r="AE602" i="3"/>
  <c r="AG602" i="3" s="1"/>
  <c r="AM602" i="3"/>
  <c r="AN602" i="3" s="1"/>
  <c r="M602" i="3"/>
  <c r="R602" i="3"/>
  <c r="V602" i="3"/>
  <c r="P602" i="3"/>
  <c r="T602" i="3"/>
  <c r="AG601" i="3"/>
  <c r="AT601" i="3" s="1"/>
  <c r="BC599" i="3"/>
  <c r="AW600" i="3"/>
  <c r="AY600" i="3" s="1"/>
  <c r="AQ603" i="3" l="1"/>
  <c r="AR603" i="3"/>
  <c r="B603" i="3"/>
  <c r="D603" i="3"/>
  <c r="C603" i="3"/>
  <c r="A604" i="3"/>
  <c r="F603" i="3"/>
  <c r="BM603" i="3" s="1"/>
  <c r="G603" i="3"/>
  <c r="H603" i="3" s="1"/>
  <c r="BN603" i="3" s="1"/>
  <c r="Q603" i="3"/>
  <c r="S603" i="3"/>
  <c r="O603" i="3"/>
  <c r="U603" i="3"/>
  <c r="AD603" i="3"/>
  <c r="M603" i="3"/>
  <c r="AF603" i="3"/>
  <c r="AE603" i="3"/>
  <c r="AM603" i="3"/>
  <c r="AK603" i="3"/>
  <c r="AO603" i="3" s="1"/>
  <c r="P603" i="3"/>
  <c r="R603" i="3"/>
  <c r="T603" i="3"/>
  <c r="V603" i="3"/>
  <c r="AH602" i="3"/>
  <c r="BN602" i="3"/>
  <c r="X602" i="3"/>
  <c r="AO602" i="3"/>
  <c r="BB599" i="3"/>
  <c r="BF599" i="3"/>
  <c r="BJ598" i="3" s="1"/>
  <c r="BK598" i="3" s="1"/>
  <c r="BQ599" i="3"/>
  <c r="BD599" i="3"/>
  <c r="BG599" i="3"/>
  <c r="BH599" i="3" s="1"/>
  <c r="BI599" i="3" s="1"/>
  <c r="AW601" i="3"/>
  <c r="AY601" i="3" s="1"/>
  <c r="BM602" i="3"/>
  <c r="AU601" i="3"/>
  <c r="AV601" i="3" s="1"/>
  <c r="BA600" i="3"/>
  <c r="BC600" i="3"/>
  <c r="Y602" i="3"/>
  <c r="Z602" i="3" s="1"/>
  <c r="BC601" i="3" l="1"/>
  <c r="BD601" i="3"/>
  <c r="BG601" i="3"/>
  <c r="BH601" i="3" s="1"/>
  <c r="BI601" i="3" s="1"/>
  <c r="AX602" i="3"/>
  <c r="BB600" i="3"/>
  <c r="BF600" i="3"/>
  <c r="BJ599" i="3" s="1"/>
  <c r="BK599" i="3" s="1"/>
  <c r="BQ600" i="3"/>
  <c r="AU602" i="3"/>
  <c r="Y603" i="3"/>
  <c r="Z603" i="3" s="1"/>
  <c r="X603" i="3"/>
  <c r="AT602" i="3"/>
  <c r="A605" i="3"/>
  <c r="AR604" i="3"/>
  <c r="B604" i="3"/>
  <c r="AQ604" i="3"/>
  <c r="D604" i="3"/>
  <c r="C604" i="3"/>
  <c r="G604" i="3"/>
  <c r="H604" i="3" s="1"/>
  <c r="F604" i="3"/>
  <c r="BM604" i="3" s="1"/>
  <c r="S604" i="3"/>
  <c r="Q604" i="3"/>
  <c r="O604" i="3"/>
  <c r="U604" i="3"/>
  <c r="AD604" i="3"/>
  <c r="M604" i="3"/>
  <c r="AF604" i="3"/>
  <c r="AE604" i="3"/>
  <c r="AG604" i="3" s="1"/>
  <c r="AK604" i="3"/>
  <c r="AM604" i="3"/>
  <c r="R604" i="3"/>
  <c r="P604" i="3"/>
  <c r="V604" i="3"/>
  <c r="T604" i="3"/>
  <c r="BD600" i="3"/>
  <c r="BG600" i="3"/>
  <c r="BH600" i="3" s="1"/>
  <c r="BI600" i="3" s="1"/>
  <c r="AN603" i="3"/>
  <c r="AG603" i="3"/>
  <c r="AW602" i="3"/>
  <c r="AY602" i="3" s="1"/>
  <c r="AH603" i="3"/>
  <c r="AX603" i="3" s="1"/>
  <c r="BA601" i="3"/>
  <c r="AN604" i="3" l="1"/>
  <c r="AO604" i="3"/>
  <c r="Y604" i="3"/>
  <c r="Z604" i="3" s="1"/>
  <c r="BA602" i="3"/>
  <c r="AV602" i="3"/>
  <c r="BC602" i="3" s="1"/>
  <c r="AU603" i="3"/>
  <c r="AW603" i="3"/>
  <c r="AY603" i="3" s="1"/>
  <c r="D605" i="3"/>
  <c r="AR605" i="3"/>
  <c r="A606" i="3"/>
  <c r="AQ605" i="3"/>
  <c r="B605" i="3"/>
  <c r="C605" i="3"/>
  <c r="F605" i="3"/>
  <c r="BM605" i="3" s="1"/>
  <c r="G605" i="3"/>
  <c r="H605" i="3" s="1"/>
  <c r="BN605" i="3" s="1"/>
  <c r="Q605" i="3"/>
  <c r="S605" i="3"/>
  <c r="O605" i="3"/>
  <c r="U605" i="3"/>
  <c r="M605" i="3"/>
  <c r="AE605" i="3"/>
  <c r="AD605" i="3"/>
  <c r="AF605" i="3"/>
  <c r="AK605" i="3"/>
  <c r="AM605" i="3"/>
  <c r="P605" i="3"/>
  <c r="R605" i="3"/>
  <c r="T605" i="3"/>
  <c r="V605" i="3"/>
  <c r="AH604" i="3"/>
  <c r="AX604" i="3" s="1"/>
  <c r="X604" i="3"/>
  <c r="AT603" i="3"/>
  <c r="BF601" i="3"/>
  <c r="BJ600" i="3" s="1"/>
  <c r="BK600" i="3" s="1"/>
  <c r="BB601" i="3"/>
  <c r="BQ601" i="3"/>
  <c r="BN604" i="3"/>
  <c r="AN605" i="3" l="1"/>
  <c r="Y605" i="3"/>
  <c r="Z605" i="3" s="1"/>
  <c r="AR606" i="3"/>
  <c r="AQ606" i="3"/>
  <c r="B606" i="3"/>
  <c r="A607" i="3"/>
  <c r="D606" i="3"/>
  <c r="C606" i="3"/>
  <c r="G606" i="3"/>
  <c r="H606" i="3" s="1"/>
  <c r="BN606" i="3" s="1"/>
  <c r="F606" i="3"/>
  <c r="BM606" i="3" s="1"/>
  <c r="Q606" i="3"/>
  <c r="S606" i="3"/>
  <c r="O606" i="3"/>
  <c r="U606" i="3"/>
  <c r="AE606" i="3"/>
  <c r="AF606" i="3"/>
  <c r="AD606" i="3"/>
  <c r="M606" i="3"/>
  <c r="AM606" i="3"/>
  <c r="AK606" i="3"/>
  <c r="V606" i="3"/>
  <c r="R606" i="3"/>
  <c r="P606" i="3"/>
  <c r="T606" i="3"/>
  <c r="AG605" i="3"/>
  <c r="X605" i="3"/>
  <c r="BB602" i="3"/>
  <c r="BF602" i="3"/>
  <c r="BJ601" i="3" s="1"/>
  <c r="BK601" i="3" s="1"/>
  <c r="BQ602" i="3"/>
  <c r="AO605" i="3"/>
  <c r="AH605" i="3"/>
  <c r="AX605" i="3" s="1"/>
  <c r="BG602" i="3"/>
  <c r="BH602" i="3" s="1"/>
  <c r="BI602" i="3" s="1"/>
  <c r="BD602" i="3"/>
  <c r="AW604" i="3"/>
  <c r="AY604" i="3" s="1"/>
  <c r="AU604" i="3"/>
  <c r="AT604" i="3"/>
  <c r="BA603" i="3"/>
  <c r="AV603" i="3"/>
  <c r="BC603" i="3" s="1"/>
  <c r="X606" i="3" l="1"/>
  <c r="AG606" i="3"/>
  <c r="AN606" i="3"/>
  <c r="BD603" i="3"/>
  <c r="BG603" i="3"/>
  <c r="BH603" i="3" s="1"/>
  <c r="BI603" i="3" s="1"/>
  <c r="BA604" i="3"/>
  <c r="AV604" i="3"/>
  <c r="BC604" i="3" s="1"/>
  <c r="AW605" i="3"/>
  <c r="AY605" i="3" s="1"/>
  <c r="BQ603" i="3"/>
  <c r="BB603" i="3"/>
  <c r="BF603" i="3"/>
  <c r="BJ602" i="3" s="1"/>
  <c r="BK602" i="3" s="1"/>
  <c r="AU606" i="3"/>
  <c r="AU605" i="3"/>
  <c r="AT605" i="3"/>
  <c r="A608" i="3"/>
  <c r="AQ607" i="3"/>
  <c r="C607" i="3"/>
  <c r="AR607" i="3"/>
  <c r="B607" i="3"/>
  <c r="D607" i="3"/>
  <c r="G607" i="3"/>
  <c r="H607" i="3" s="1"/>
  <c r="BN607" i="3" s="1"/>
  <c r="F607" i="3"/>
  <c r="Q607" i="3"/>
  <c r="S607" i="3"/>
  <c r="O607" i="3"/>
  <c r="U607" i="3"/>
  <c r="AD607" i="3"/>
  <c r="M607" i="3"/>
  <c r="AE607" i="3"/>
  <c r="AF607" i="3"/>
  <c r="AM607" i="3"/>
  <c r="AK607" i="3"/>
  <c r="AO607" i="3" s="1"/>
  <c r="V607" i="3"/>
  <c r="R607" i="3"/>
  <c r="T607" i="3"/>
  <c r="P607" i="3"/>
  <c r="Y606" i="3"/>
  <c r="Z606" i="3" s="1"/>
  <c r="AO606" i="3"/>
  <c r="AH606" i="3"/>
  <c r="AX606" i="3" s="1"/>
  <c r="BM607" i="3" l="1"/>
  <c r="X607" i="3"/>
  <c r="AT606" i="3"/>
  <c r="AH607" i="3"/>
  <c r="AV605" i="3"/>
  <c r="BC605" i="3" s="1"/>
  <c r="BA605" i="3"/>
  <c r="AG607" i="3"/>
  <c r="AN607" i="3"/>
  <c r="AQ608" i="3"/>
  <c r="D608" i="3"/>
  <c r="C608" i="3"/>
  <c r="AR608" i="3"/>
  <c r="B608" i="3"/>
  <c r="A609" i="3"/>
  <c r="F608" i="3"/>
  <c r="BM608" i="3" s="1"/>
  <c r="G608" i="3"/>
  <c r="H608" i="3" s="1"/>
  <c r="Q608" i="3"/>
  <c r="S608" i="3"/>
  <c r="O608" i="3"/>
  <c r="U608" i="3"/>
  <c r="AE608" i="3"/>
  <c r="AF608" i="3"/>
  <c r="M608" i="3"/>
  <c r="AD608" i="3"/>
  <c r="AM608" i="3"/>
  <c r="AK608" i="3"/>
  <c r="V608" i="3"/>
  <c r="P608" i="3"/>
  <c r="R608" i="3"/>
  <c r="T608" i="3"/>
  <c r="BD604" i="3"/>
  <c r="BG604" i="3"/>
  <c r="BH604" i="3" s="1"/>
  <c r="BI604" i="3" s="1"/>
  <c r="BF604" i="3"/>
  <c r="BJ603" i="3" s="1"/>
  <c r="BK603" i="3" s="1"/>
  <c r="BQ604" i="3"/>
  <c r="BB604" i="3"/>
  <c r="Y607" i="3"/>
  <c r="Z607" i="3" s="1"/>
  <c r="AW606" i="3"/>
  <c r="AY606" i="3" s="1"/>
  <c r="AO608" i="3" l="1"/>
  <c r="AR609" i="3"/>
  <c r="A610" i="3"/>
  <c r="AQ609" i="3"/>
  <c r="B609" i="3"/>
  <c r="C609" i="3"/>
  <c r="D609" i="3"/>
  <c r="G609" i="3"/>
  <c r="H609" i="3" s="1"/>
  <c r="BN609" i="3" s="1"/>
  <c r="F609" i="3"/>
  <c r="BM609" i="3" s="1"/>
  <c r="Q609" i="3"/>
  <c r="S609" i="3"/>
  <c r="O609" i="3"/>
  <c r="U609" i="3"/>
  <c r="AD609" i="3"/>
  <c r="M609" i="3"/>
  <c r="AE609" i="3"/>
  <c r="AF609" i="3"/>
  <c r="AM609" i="3"/>
  <c r="AK609" i="3"/>
  <c r="T609" i="3"/>
  <c r="P609" i="3"/>
  <c r="V609" i="3"/>
  <c r="R609" i="3"/>
  <c r="AU608" i="3"/>
  <c r="Y608" i="3"/>
  <c r="Z608" i="3" s="1"/>
  <c r="AW607" i="3"/>
  <c r="BQ605" i="3"/>
  <c r="BF605" i="3"/>
  <c r="BJ604" i="3" s="1"/>
  <c r="BK604" i="3" s="1"/>
  <c r="BB605" i="3"/>
  <c r="AX607" i="3"/>
  <c r="AV606" i="3"/>
  <c r="BC606" i="3" s="1"/>
  <c r="BA606" i="3"/>
  <c r="AN608" i="3"/>
  <c r="AH608" i="3"/>
  <c r="AG608" i="3"/>
  <c r="AT607" i="3"/>
  <c r="X608" i="3"/>
  <c r="BD605" i="3"/>
  <c r="BG605" i="3"/>
  <c r="BH605" i="3" s="1"/>
  <c r="BI605" i="3" s="1"/>
  <c r="AU607" i="3"/>
  <c r="BN608" i="3"/>
  <c r="AO609" i="3" l="1"/>
  <c r="AW608" i="3"/>
  <c r="AH609" i="3"/>
  <c r="BD606" i="3"/>
  <c r="BG606" i="3"/>
  <c r="BH606" i="3" s="1"/>
  <c r="BI606" i="3" s="1"/>
  <c r="AY607" i="3"/>
  <c r="X609" i="3"/>
  <c r="BQ606" i="3"/>
  <c r="BB606" i="3"/>
  <c r="BF606" i="3"/>
  <c r="BJ605" i="3" s="1"/>
  <c r="BK605" i="3" s="1"/>
  <c r="AV607" i="3"/>
  <c r="BC607" i="3" s="1"/>
  <c r="BA607" i="3"/>
  <c r="AX608" i="3"/>
  <c r="AY608" i="3" s="1"/>
  <c r="AU609" i="3"/>
  <c r="Y609" i="3"/>
  <c r="Z609" i="3" s="1"/>
  <c r="AR610" i="3"/>
  <c r="AQ610" i="3"/>
  <c r="B610" i="3"/>
  <c r="A611" i="3"/>
  <c r="D610" i="3"/>
  <c r="C610" i="3"/>
  <c r="G610" i="3"/>
  <c r="H610" i="3" s="1"/>
  <c r="BN610" i="3" s="1"/>
  <c r="F610" i="3"/>
  <c r="BM610" i="3" s="1"/>
  <c r="Q610" i="3"/>
  <c r="S610" i="3"/>
  <c r="O610" i="3"/>
  <c r="U610" i="3"/>
  <c r="M610" i="3"/>
  <c r="AK610" i="3"/>
  <c r="AE610" i="3"/>
  <c r="AD610" i="3"/>
  <c r="AF610" i="3"/>
  <c r="AM610" i="3"/>
  <c r="P610" i="3"/>
  <c r="R610" i="3"/>
  <c r="V610" i="3"/>
  <c r="T610" i="3"/>
  <c r="AG609" i="3"/>
  <c r="AT608" i="3"/>
  <c r="AN609" i="3"/>
  <c r="AT609" i="3"/>
  <c r="AN610" i="3" l="1"/>
  <c r="AW609" i="3"/>
  <c r="AH610" i="3"/>
  <c r="BB607" i="3"/>
  <c r="BQ607" i="3"/>
  <c r="BF607" i="3"/>
  <c r="BJ606" i="3" s="1"/>
  <c r="BK606" i="3" s="1"/>
  <c r="BD607" i="3"/>
  <c r="BG607" i="3"/>
  <c r="BH607" i="3" s="1"/>
  <c r="BI607" i="3" s="1"/>
  <c r="AV609" i="3"/>
  <c r="BA608" i="3"/>
  <c r="AV608" i="3"/>
  <c r="BC608" i="3" s="1"/>
  <c r="AO610" i="3"/>
  <c r="Y610" i="3"/>
  <c r="Z610" i="3" s="1"/>
  <c r="AG610" i="3"/>
  <c r="AW610" i="3" s="1"/>
  <c r="X610" i="3"/>
  <c r="AQ611" i="3"/>
  <c r="AR611" i="3"/>
  <c r="B611" i="3"/>
  <c r="C611" i="3"/>
  <c r="D611" i="3"/>
  <c r="A612" i="3"/>
  <c r="G611" i="3"/>
  <c r="H611" i="3" s="1"/>
  <c r="BN611" i="3" s="1"/>
  <c r="F611" i="3"/>
  <c r="BM611" i="3" s="1"/>
  <c r="Q611" i="3"/>
  <c r="S611" i="3"/>
  <c r="O611" i="3"/>
  <c r="U611" i="3"/>
  <c r="M611" i="3"/>
  <c r="AF611" i="3"/>
  <c r="AD611" i="3"/>
  <c r="AE611" i="3"/>
  <c r="AM611" i="3"/>
  <c r="AK611" i="3"/>
  <c r="V611" i="3"/>
  <c r="T611" i="3"/>
  <c r="R611" i="3"/>
  <c r="P611" i="3"/>
  <c r="AX609" i="3"/>
  <c r="AY609" i="3" s="1"/>
  <c r="AO611" i="3" l="1"/>
  <c r="AH611" i="3"/>
  <c r="BD608" i="3"/>
  <c r="BG608" i="3"/>
  <c r="BH608" i="3" s="1"/>
  <c r="BI608" i="3" s="1"/>
  <c r="BQ608" i="3"/>
  <c r="BF608" i="3"/>
  <c r="BJ607" i="3" s="1"/>
  <c r="BK607" i="3" s="1"/>
  <c r="BB608" i="3"/>
  <c r="A613" i="3"/>
  <c r="AR612" i="3"/>
  <c r="B612" i="3"/>
  <c r="AQ612" i="3"/>
  <c r="C612" i="3"/>
  <c r="D612" i="3"/>
  <c r="G612" i="3"/>
  <c r="H612" i="3" s="1"/>
  <c r="BN612" i="3" s="1"/>
  <c r="F612" i="3"/>
  <c r="BM612" i="3" s="1"/>
  <c r="Q612" i="3"/>
  <c r="S612" i="3"/>
  <c r="O612" i="3"/>
  <c r="U612" i="3"/>
  <c r="AD612" i="3"/>
  <c r="M612" i="3"/>
  <c r="AF612" i="3"/>
  <c r="AM612" i="3"/>
  <c r="AK612" i="3"/>
  <c r="AE612" i="3"/>
  <c r="AG612" i="3" s="1"/>
  <c r="V612" i="3"/>
  <c r="P612" i="3"/>
  <c r="T612" i="3"/>
  <c r="R612" i="3"/>
  <c r="BA609" i="3"/>
  <c r="AU610" i="3"/>
  <c r="AT610" i="3"/>
  <c r="AN611" i="3"/>
  <c r="X611" i="3"/>
  <c r="BC609" i="3"/>
  <c r="Y611" i="3"/>
  <c r="Z611" i="3" s="1"/>
  <c r="AG611" i="3"/>
  <c r="AX610" i="3"/>
  <c r="AY610" i="3" s="1"/>
  <c r="AX611" i="3" l="1"/>
  <c r="AO612" i="3"/>
  <c r="AW611" i="3"/>
  <c r="AV610" i="3"/>
  <c r="BC610" i="3" s="1"/>
  <c r="BA610" i="3"/>
  <c r="D613" i="3"/>
  <c r="A614" i="3"/>
  <c r="B613" i="3"/>
  <c r="AQ613" i="3"/>
  <c r="AR613" i="3"/>
  <c r="C613" i="3"/>
  <c r="F613" i="3"/>
  <c r="BM613" i="3" s="1"/>
  <c r="G613" i="3"/>
  <c r="H613" i="3" s="1"/>
  <c r="BN613" i="3" s="1"/>
  <c r="Q613" i="3"/>
  <c r="S613" i="3"/>
  <c r="O613" i="3"/>
  <c r="U613" i="3"/>
  <c r="AF613" i="3"/>
  <c r="AD613" i="3"/>
  <c r="AE613" i="3"/>
  <c r="M613" i="3"/>
  <c r="AK613" i="3"/>
  <c r="AM613" i="3"/>
  <c r="P613" i="3"/>
  <c r="R613" i="3"/>
  <c r="V613" i="3"/>
  <c r="T613" i="3"/>
  <c r="BQ609" i="3"/>
  <c r="BF609" i="3"/>
  <c r="BJ608" i="3" s="1"/>
  <c r="BK608" i="3" s="1"/>
  <c r="BB609" i="3"/>
  <c r="AY611" i="3"/>
  <c r="Y612" i="3"/>
  <c r="Z612" i="3" s="1"/>
  <c r="AT611" i="3"/>
  <c r="BD609" i="3"/>
  <c r="BG609" i="3"/>
  <c r="BH609" i="3" s="1"/>
  <c r="BI609" i="3" s="1"/>
  <c r="AH612" i="3"/>
  <c r="AU611" i="3"/>
  <c r="AN612" i="3"/>
  <c r="X612" i="3"/>
  <c r="AN613" i="3" l="1"/>
  <c r="X613" i="3"/>
  <c r="AW612" i="3"/>
  <c r="AG613" i="3"/>
  <c r="AT612" i="3"/>
  <c r="AR614" i="3"/>
  <c r="AQ614" i="3"/>
  <c r="B614" i="3"/>
  <c r="A615" i="3"/>
  <c r="C614" i="3"/>
  <c r="D614" i="3"/>
  <c r="G614" i="3"/>
  <c r="H614" i="3" s="1"/>
  <c r="BN614" i="3" s="1"/>
  <c r="F614" i="3"/>
  <c r="BM614" i="3" s="1"/>
  <c r="Q614" i="3"/>
  <c r="S614" i="3"/>
  <c r="O614" i="3"/>
  <c r="U614" i="3"/>
  <c r="AD614" i="3"/>
  <c r="AF614" i="3"/>
  <c r="M614" i="3"/>
  <c r="AE614" i="3"/>
  <c r="AK614" i="3"/>
  <c r="AM614" i="3"/>
  <c r="R614" i="3"/>
  <c r="P614" i="3"/>
  <c r="V614" i="3"/>
  <c r="T614" i="3"/>
  <c r="Y613" i="3"/>
  <c r="Z613" i="3" s="1"/>
  <c r="AO613" i="3"/>
  <c r="AH613" i="3"/>
  <c r="AX613" i="3" s="1"/>
  <c r="BB610" i="3"/>
  <c r="BQ610" i="3"/>
  <c r="BF610" i="3"/>
  <c r="BJ609" i="3" s="1"/>
  <c r="BK609" i="3" s="1"/>
  <c r="AX612" i="3"/>
  <c r="AU612" i="3"/>
  <c r="AV611" i="3"/>
  <c r="BC611" i="3" s="1"/>
  <c r="BA611" i="3"/>
  <c r="BD610" i="3"/>
  <c r="BG610" i="3"/>
  <c r="BH610" i="3" s="1"/>
  <c r="BI610" i="3" s="1"/>
  <c r="BA612" i="3" l="1"/>
  <c r="AY612" i="3"/>
  <c r="AT613" i="3"/>
  <c r="AH614" i="3"/>
  <c r="AN614" i="3"/>
  <c r="AV612" i="3"/>
  <c r="BC612" i="3" s="1"/>
  <c r="BD612" i="3" s="1"/>
  <c r="BG612" i="3"/>
  <c r="BH612" i="3" s="1"/>
  <c r="BI612" i="3" s="1"/>
  <c r="BQ612" i="3"/>
  <c r="BB612" i="3"/>
  <c r="BF612" i="3"/>
  <c r="Y614" i="3"/>
  <c r="Z614" i="3" s="1"/>
  <c r="AW613" i="3"/>
  <c r="AY613" i="3" s="1"/>
  <c r="AO614" i="3"/>
  <c r="AG614" i="3"/>
  <c r="AU613" i="3"/>
  <c r="AV613" i="3" s="1"/>
  <c r="X614" i="3"/>
  <c r="BQ611" i="3"/>
  <c r="BF611" i="3"/>
  <c r="BJ610" i="3" s="1"/>
  <c r="BK610" i="3" s="1"/>
  <c r="BB611" i="3"/>
  <c r="BD611" i="3"/>
  <c r="BG611" i="3"/>
  <c r="BH611" i="3" s="1"/>
  <c r="BI611" i="3" s="1"/>
  <c r="A616" i="3"/>
  <c r="AQ615" i="3"/>
  <c r="AR615" i="3"/>
  <c r="B615" i="3"/>
  <c r="D615" i="3"/>
  <c r="C615" i="3"/>
  <c r="F615" i="3"/>
  <c r="BM615" i="3" s="1"/>
  <c r="G615" i="3"/>
  <c r="H615" i="3" s="1"/>
  <c r="BN615" i="3" s="1"/>
  <c r="S615" i="3"/>
  <c r="Q615" i="3"/>
  <c r="O615" i="3"/>
  <c r="U615" i="3"/>
  <c r="M615" i="3"/>
  <c r="AM615" i="3"/>
  <c r="AD615" i="3"/>
  <c r="AF615" i="3"/>
  <c r="AE615" i="3"/>
  <c r="AK615" i="3"/>
  <c r="P615" i="3"/>
  <c r="T615" i="3"/>
  <c r="V615" i="3"/>
  <c r="R615" i="3"/>
  <c r="BC613" i="3" l="1"/>
  <c r="AW614" i="3"/>
  <c r="AO615" i="3"/>
  <c r="AG615" i="3"/>
  <c r="BJ611" i="3"/>
  <c r="BK611" i="3" s="1"/>
  <c r="BD613" i="3"/>
  <c r="BG613" i="3"/>
  <c r="BH613" i="3" s="1"/>
  <c r="BI613" i="3" s="1"/>
  <c r="Y615" i="3"/>
  <c r="Z615" i="3" s="1"/>
  <c r="AW615" i="3"/>
  <c r="AT614" i="3"/>
  <c r="AU614" i="3"/>
  <c r="AT615" i="3"/>
  <c r="BA613" i="3"/>
  <c r="AU615" i="3"/>
  <c r="C616" i="3"/>
  <c r="A617" i="3"/>
  <c r="AR616" i="3"/>
  <c r="B616" i="3"/>
  <c r="AQ616" i="3"/>
  <c r="D616" i="3"/>
  <c r="F616" i="3"/>
  <c r="G616" i="3"/>
  <c r="H616" i="3" s="1"/>
  <c r="S616" i="3"/>
  <c r="Q616" i="3"/>
  <c r="O616" i="3"/>
  <c r="U616" i="3"/>
  <c r="AF616" i="3"/>
  <c r="AD616" i="3"/>
  <c r="M616" i="3"/>
  <c r="AE616" i="3"/>
  <c r="AG616" i="3" s="1"/>
  <c r="AK616" i="3"/>
  <c r="AM616" i="3"/>
  <c r="AN616" i="3" s="1"/>
  <c r="P616" i="3"/>
  <c r="R616" i="3"/>
  <c r="V616" i="3"/>
  <c r="T616" i="3"/>
  <c r="AN615" i="3"/>
  <c r="AH615" i="3"/>
  <c r="AX615" i="3" s="1"/>
  <c r="AX614" i="3"/>
  <c r="AY614" i="3" s="1"/>
  <c r="X615" i="3"/>
  <c r="B617" i="3" l="1"/>
  <c r="D617" i="3"/>
  <c r="C617" i="3"/>
  <c r="AR617" i="3"/>
  <c r="A618" i="3"/>
  <c r="AQ617" i="3"/>
  <c r="G617" i="3"/>
  <c r="H617" i="3" s="1"/>
  <c r="BN617" i="3" s="1"/>
  <c r="F617" i="3"/>
  <c r="BM617" i="3" s="1"/>
  <c r="Q617" i="3"/>
  <c r="S617" i="3"/>
  <c r="O617" i="3"/>
  <c r="U617" i="3"/>
  <c r="AF617" i="3"/>
  <c r="AE617" i="3"/>
  <c r="M617" i="3"/>
  <c r="AD617" i="3"/>
  <c r="AK617" i="3"/>
  <c r="AM617" i="3"/>
  <c r="AN617" i="3" s="1"/>
  <c r="T617" i="3"/>
  <c r="P617" i="3"/>
  <c r="V617" i="3"/>
  <c r="R617" i="3"/>
  <c r="Y616" i="3"/>
  <c r="Z616" i="3" s="1"/>
  <c r="AH616" i="3"/>
  <c r="AV614" i="3"/>
  <c r="BC614" i="3" s="1"/>
  <c r="BA614" i="3"/>
  <c r="BQ613" i="3"/>
  <c r="BF613" i="3"/>
  <c r="BJ612" i="3" s="1"/>
  <c r="BK612" i="3" s="1"/>
  <c r="BB613" i="3"/>
  <c r="BA615" i="3"/>
  <c r="AV615" i="3"/>
  <c r="AO616" i="3"/>
  <c r="X616" i="3"/>
  <c r="AY615" i="3"/>
  <c r="BN616" i="3"/>
  <c r="BM616" i="3"/>
  <c r="AX616" i="3" l="1"/>
  <c r="AH617" i="3"/>
  <c r="BQ614" i="3"/>
  <c r="BF614" i="3"/>
  <c r="BJ613" i="3" s="1"/>
  <c r="BK613" i="3" s="1"/>
  <c r="BB614" i="3"/>
  <c r="AU616" i="3"/>
  <c r="AW616" i="3"/>
  <c r="AG617" i="3"/>
  <c r="BD614" i="3"/>
  <c r="BG614" i="3"/>
  <c r="BH614" i="3" s="1"/>
  <c r="BI614" i="3" s="1"/>
  <c r="AT617" i="3"/>
  <c r="AT616" i="3"/>
  <c r="AO617" i="3"/>
  <c r="X617" i="3"/>
  <c r="AU617" i="3"/>
  <c r="AR618" i="3"/>
  <c r="AQ618" i="3"/>
  <c r="B618" i="3"/>
  <c r="A619" i="3"/>
  <c r="C618" i="3"/>
  <c r="D618" i="3"/>
  <c r="G618" i="3"/>
  <c r="H618" i="3" s="1"/>
  <c r="F618" i="3"/>
  <c r="BM618" i="3" s="1"/>
  <c r="S618" i="3"/>
  <c r="Q618" i="3"/>
  <c r="O618" i="3"/>
  <c r="U618" i="3"/>
  <c r="AF618" i="3"/>
  <c r="AE618" i="3"/>
  <c r="AD618" i="3"/>
  <c r="M618" i="3"/>
  <c r="AM618" i="3"/>
  <c r="AN618" i="3" s="1"/>
  <c r="AK618" i="3"/>
  <c r="P618" i="3"/>
  <c r="V618" i="3"/>
  <c r="R618" i="3"/>
  <c r="T618" i="3"/>
  <c r="Y617" i="3"/>
  <c r="Z617" i="3" s="1"/>
  <c r="BC615" i="3"/>
  <c r="BQ615" i="3"/>
  <c r="BB615" i="3"/>
  <c r="BF615" i="3"/>
  <c r="BJ614" i="3" s="1"/>
  <c r="BK614" i="3" s="1"/>
  <c r="AY616" i="3" l="1"/>
  <c r="X618" i="3"/>
  <c r="AV616" i="3"/>
  <c r="BC616" i="3" s="1"/>
  <c r="BA616" i="3"/>
  <c r="BD615" i="3"/>
  <c r="BG615" i="3"/>
  <c r="BH615" i="3" s="1"/>
  <c r="BI615" i="3" s="1"/>
  <c r="AV617" i="3"/>
  <c r="Y618" i="3"/>
  <c r="Z618" i="3" s="1"/>
  <c r="AH618" i="3"/>
  <c r="AG618" i="3"/>
  <c r="AW617" i="3"/>
  <c r="BA617" i="3" s="1"/>
  <c r="BN618" i="3"/>
  <c r="B619" i="3"/>
  <c r="AR619" i="3"/>
  <c r="C619" i="3"/>
  <c r="A620" i="3"/>
  <c r="AQ619" i="3"/>
  <c r="D619" i="3"/>
  <c r="G619" i="3"/>
  <c r="H619" i="3" s="1"/>
  <c r="BN619" i="3" s="1"/>
  <c r="F619" i="3"/>
  <c r="Q619" i="3"/>
  <c r="S619" i="3"/>
  <c r="O619" i="3"/>
  <c r="U619" i="3"/>
  <c r="AF619" i="3"/>
  <c r="AD619" i="3"/>
  <c r="M619" i="3"/>
  <c r="AE619" i="3"/>
  <c r="AM619" i="3"/>
  <c r="AK619" i="3"/>
  <c r="P619" i="3"/>
  <c r="V619" i="3"/>
  <c r="R619" i="3"/>
  <c r="T619" i="3"/>
  <c r="AO618" i="3"/>
  <c r="AX617" i="3"/>
  <c r="AO619" i="3" l="1"/>
  <c r="AG619" i="3"/>
  <c r="BM619" i="3"/>
  <c r="BB617" i="3"/>
  <c r="BQ617" i="3"/>
  <c r="BF617" i="3"/>
  <c r="BJ616" i="3" s="1"/>
  <c r="BK616" i="3" s="1"/>
  <c r="AN619" i="3"/>
  <c r="AH619" i="3"/>
  <c r="AT619" i="3" s="1"/>
  <c r="AW618" i="3"/>
  <c r="AX618" i="3"/>
  <c r="AU619" i="3"/>
  <c r="AY617" i="3"/>
  <c r="BC617" i="3" s="1"/>
  <c r="AU618" i="3"/>
  <c r="Y619" i="3"/>
  <c r="Z619" i="3" s="1"/>
  <c r="AT618" i="3"/>
  <c r="X619" i="3"/>
  <c r="BQ616" i="3"/>
  <c r="BF616" i="3"/>
  <c r="BJ615" i="3" s="1"/>
  <c r="BK615" i="3" s="1"/>
  <c r="BB616" i="3"/>
  <c r="BD616" i="3"/>
  <c r="BG616" i="3"/>
  <c r="BH616" i="3" s="1"/>
  <c r="BI616" i="3" s="1"/>
  <c r="AR620" i="3"/>
  <c r="B620" i="3"/>
  <c r="AQ620" i="3"/>
  <c r="C620" i="3"/>
  <c r="D620" i="3"/>
  <c r="A621" i="3"/>
  <c r="G620" i="3"/>
  <c r="H620" i="3" s="1"/>
  <c r="BN620" i="3" s="1"/>
  <c r="F620" i="3"/>
  <c r="BM620" i="3" s="1"/>
  <c r="Q620" i="3"/>
  <c r="S620" i="3"/>
  <c r="O620" i="3"/>
  <c r="U620" i="3"/>
  <c r="AK620" i="3"/>
  <c r="AD620" i="3"/>
  <c r="AF620" i="3"/>
  <c r="AE620" i="3"/>
  <c r="M620" i="3"/>
  <c r="AM620" i="3"/>
  <c r="AN620" i="3" s="1"/>
  <c r="P620" i="3"/>
  <c r="V620" i="3"/>
  <c r="R620" i="3"/>
  <c r="T620" i="3"/>
  <c r="AY618" i="3" l="1"/>
  <c r="AG620" i="3"/>
  <c r="BD617" i="3"/>
  <c r="BG617" i="3"/>
  <c r="BH617" i="3" s="1"/>
  <c r="BI617" i="3" s="1"/>
  <c r="Y620" i="3"/>
  <c r="Z620" i="3" s="1"/>
  <c r="AV619" i="3"/>
  <c r="AR621" i="3"/>
  <c r="A622" i="3"/>
  <c r="AQ621" i="3"/>
  <c r="B621" i="3"/>
  <c r="C621" i="3"/>
  <c r="D621" i="3"/>
  <c r="F621" i="3"/>
  <c r="BM621" i="3" s="1"/>
  <c r="G621" i="3"/>
  <c r="H621" i="3" s="1"/>
  <c r="BN621" i="3" s="1"/>
  <c r="S621" i="3"/>
  <c r="Q621" i="3"/>
  <c r="O621" i="3"/>
  <c r="U621" i="3"/>
  <c r="AE621" i="3"/>
  <c r="AF621" i="3"/>
  <c r="AD621" i="3"/>
  <c r="M621" i="3"/>
  <c r="AK621" i="3"/>
  <c r="AM621" i="3"/>
  <c r="R621" i="3"/>
  <c r="V621" i="3"/>
  <c r="P621" i="3"/>
  <c r="T621" i="3"/>
  <c r="AW619" i="3"/>
  <c r="AX619" i="3"/>
  <c r="AV618" i="3"/>
  <c r="BC618" i="3" s="1"/>
  <c r="BA618" i="3"/>
  <c r="AH620" i="3"/>
  <c r="AO620" i="3"/>
  <c r="X620" i="3"/>
  <c r="AY619" i="3" l="1"/>
  <c r="AT620" i="3"/>
  <c r="AO621" i="3"/>
  <c r="BA619" i="3"/>
  <c r="BQ619" i="3" s="1"/>
  <c r="AN621" i="3"/>
  <c r="BD618" i="3"/>
  <c r="BG618" i="3"/>
  <c r="BH618" i="3" s="1"/>
  <c r="BI618" i="3" s="1"/>
  <c r="Y621" i="3"/>
  <c r="Z621" i="3" s="1"/>
  <c r="BA620" i="3"/>
  <c r="AV620" i="3"/>
  <c r="AT621" i="3"/>
  <c r="BC619" i="3"/>
  <c r="C622" i="3"/>
  <c r="B622" i="3"/>
  <c r="A623" i="3"/>
  <c r="AQ622" i="3"/>
  <c r="AR622" i="3"/>
  <c r="D622" i="3"/>
  <c r="G622" i="3"/>
  <c r="H622" i="3" s="1"/>
  <c r="BN622" i="3" s="1"/>
  <c r="F622" i="3"/>
  <c r="S622" i="3"/>
  <c r="Q622" i="3"/>
  <c r="O622" i="3"/>
  <c r="U622" i="3"/>
  <c r="M622" i="3"/>
  <c r="AK622" i="3"/>
  <c r="AF622" i="3"/>
  <c r="AD622" i="3"/>
  <c r="AM622" i="3"/>
  <c r="AN622" i="3" s="1"/>
  <c r="AE622" i="3"/>
  <c r="AG622" i="3" s="1"/>
  <c r="P622" i="3"/>
  <c r="R622" i="3"/>
  <c r="V622" i="3"/>
  <c r="T622" i="3"/>
  <c r="AX620" i="3"/>
  <c r="AH621" i="3"/>
  <c r="AW620" i="3"/>
  <c r="AG621" i="3"/>
  <c r="AW621" i="3" s="1"/>
  <c r="AU620" i="3"/>
  <c r="X621" i="3"/>
  <c r="BF618" i="3"/>
  <c r="BJ617" i="3" s="1"/>
  <c r="BK617" i="3" s="1"/>
  <c r="BB618" i="3"/>
  <c r="BQ618" i="3"/>
  <c r="BB619" i="3" l="1"/>
  <c r="BF619" i="3"/>
  <c r="A624" i="3"/>
  <c r="AQ623" i="3"/>
  <c r="AR623" i="3"/>
  <c r="B623" i="3"/>
  <c r="C623" i="3"/>
  <c r="D623" i="3"/>
  <c r="F623" i="3"/>
  <c r="BM623" i="3" s="1"/>
  <c r="G623" i="3"/>
  <c r="H623" i="3" s="1"/>
  <c r="BN623" i="3" s="1"/>
  <c r="Q623" i="3"/>
  <c r="S623" i="3"/>
  <c r="O623" i="3"/>
  <c r="U623" i="3"/>
  <c r="AD623" i="3"/>
  <c r="AE623" i="3"/>
  <c r="M623" i="3"/>
  <c r="AF623" i="3"/>
  <c r="AK623" i="3"/>
  <c r="AM623" i="3"/>
  <c r="AN623" i="3" s="1"/>
  <c r="R623" i="3"/>
  <c r="P623" i="3"/>
  <c r="V623" i="3"/>
  <c r="T623" i="3"/>
  <c r="BM622" i="3"/>
  <c r="BD619" i="3"/>
  <c r="BG619" i="3"/>
  <c r="BH619" i="3" s="1"/>
  <c r="BI619" i="3" s="1"/>
  <c r="AU621" i="3"/>
  <c r="AV621" i="3" s="1"/>
  <c r="BC621" i="3" s="1"/>
  <c r="AY620" i="3"/>
  <c r="BC620" i="3" s="1"/>
  <c r="Y622" i="3"/>
  <c r="Z622" i="3" s="1"/>
  <c r="BJ618" i="3"/>
  <c r="BK618" i="3" s="1"/>
  <c r="AH622" i="3"/>
  <c r="AO622" i="3"/>
  <c r="X622" i="3"/>
  <c r="BQ620" i="3"/>
  <c r="BB620" i="3"/>
  <c r="BF620" i="3"/>
  <c r="BJ619" i="3" s="1"/>
  <c r="BK619" i="3" s="1"/>
  <c r="AX621" i="3"/>
  <c r="AY621" i="3" s="1"/>
  <c r="AH623" i="3" l="1"/>
  <c r="AX622" i="3"/>
  <c r="BD620" i="3"/>
  <c r="BG620" i="3"/>
  <c r="BH620" i="3" s="1"/>
  <c r="BI620" i="3" s="1"/>
  <c r="BD621" i="3"/>
  <c r="BG621" i="3"/>
  <c r="BH621" i="3" s="1"/>
  <c r="BI621" i="3" s="1"/>
  <c r="AU622" i="3"/>
  <c r="AT622" i="3"/>
  <c r="AG623" i="3"/>
  <c r="AU623" i="3" s="1"/>
  <c r="AW622" i="3"/>
  <c r="AY622" i="3" s="1"/>
  <c r="X623" i="3"/>
  <c r="Y623" i="3"/>
  <c r="Z623" i="3" s="1"/>
  <c r="AT623" i="3"/>
  <c r="BA621" i="3"/>
  <c r="AO623" i="3"/>
  <c r="D624" i="3"/>
  <c r="A625" i="3"/>
  <c r="AR624" i="3"/>
  <c r="C624" i="3"/>
  <c r="B624" i="3"/>
  <c r="AQ624" i="3"/>
  <c r="F624" i="3"/>
  <c r="BM624" i="3" s="1"/>
  <c r="G624" i="3"/>
  <c r="H624" i="3" s="1"/>
  <c r="Q624" i="3"/>
  <c r="S624" i="3"/>
  <c r="O624" i="3"/>
  <c r="U624" i="3"/>
  <c r="AF624" i="3"/>
  <c r="AD624" i="3"/>
  <c r="AE624" i="3"/>
  <c r="M624" i="3"/>
  <c r="AM624" i="3"/>
  <c r="AK624" i="3"/>
  <c r="R624" i="3"/>
  <c r="P624" i="3"/>
  <c r="T624" i="3"/>
  <c r="V624" i="3"/>
  <c r="BN624" i="3" l="1"/>
  <c r="AH624" i="3"/>
  <c r="AO624" i="3"/>
  <c r="BF621" i="3"/>
  <c r="BJ620" i="3" s="1"/>
  <c r="BK620" i="3" s="1"/>
  <c r="BB621" i="3"/>
  <c r="BQ621" i="3"/>
  <c r="AV623" i="3"/>
  <c r="AG624" i="3"/>
  <c r="X624" i="3"/>
  <c r="AV622" i="3"/>
  <c r="BC622" i="3" s="1"/>
  <c r="BA622" i="3"/>
  <c r="AU624" i="3"/>
  <c r="AT624" i="3"/>
  <c r="AW623" i="3"/>
  <c r="Y624" i="3"/>
  <c r="Z624" i="3" s="1"/>
  <c r="AX623" i="3"/>
  <c r="B625" i="3"/>
  <c r="C625" i="3"/>
  <c r="D625" i="3"/>
  <c r="AR625" i="3"/>
  <c r="A626" i="3"/>
  <c r="AQ625" i="3"/>
  <c r="G625" i="3"/>
  <c r="H625" i="3" s="1"/>
  <c r="BN625" i="3" s="1"/>
  <c r="F625" i="3"/>
  <c r="BM625" i="3" s="1"/>
  <c r="Q625" i="3"/>
  <c r="S625" i="3"/>
  <c r="O625" i="3"/>
  <c r="U625" i="3"/>
  <c r="M625" i="3"/>
  <c r="AF625" i="3"/>
  <c r="AD625" i="3"/>
  <c r="AE625" i="3"/>
  <c r="AG625" i="3" s="1"/>
  <c r="AK625" i="3"/>
  <c r="AM625" i="3"/>
  <c r="V625" i="3"/>
  <c r="T625" i="3"/>
  <c r="R625" i="3"/>
  <c r="P625" i="3"/>
  <c r="AN624" i="3"/>
  <c r="AY623" i="3" l="1"/>
  <c r="AW624" i="3"/>
  <c r="AO625" i="3"/>
  <c r="BA623" i="3"/>
  <c r="AX624" i="3"/>
  <c r="BQ623" i="3"/>
  <c r="BB623" i="3"/>
  <c r="BF623" i="3"/>
  <c r="X625" i="3"/>
  <c r="AV624" i="3"/>
  <c r="BA624" i="3"/>
  <c r="BD622" i="3"/>
  <c r="BG622" i="3"/>
  <c r="BH622" i="3" s="1"/>
  <c r="BI622" i="3" s="1"/>
  <c r="AU625" i="3"/>
  <c r="AR626" i="3"/>
  <c r="AQ626" i="3"/>
  <c r="B626" i="3"/>
  <c r="A627" i="3"/>
  <c r="D626" i="3"/>
  <c r="C626" i="3"/>
  <c r="F626" i="3"/>
  <c r="G626" i="3"/>
  <c r="H626" i="3" s="1"/>
  <c r="Q626" i="3"/>
  <c r="S626" i="3"/>
  <c r="O626" i="3"/>
  <c r="U626" i="3"/>
  <c r="AD626" i="3"/>
  <c r="AF626" i="3"/>
  <c r="M626" i="3"/>
  <c r="AE626" i="3"/>
  <c r="AG626" i="3" s="1"/>
  <c r="AM626" i="3"/>
  <c r="AK626" i="3"/>
  <c r="T626" i="3"/>
  <c r="P626" i="3"/>
  <c r="R626" i="3"/>
  <c r="V626" i="3"/>
  <c r="Y625" i="3"/>
  <c r="Z625" i="3" s="1"/>
  <c r="AH625" i="3"/>
  <c r="BB622" i="3"/>
  <c r="BQ622" i="3"/>
  <c r="BF622" i="3"/>
  <c r="BJ621" i="3" s="1"/>
  <c r="BK621" i="3" s="1"/>
  <c r="AY624" i="3"/>
  <c r="BC623" i="3"/>
  <c r="AT625" i="3"/>
  <c r="AN625" i="3"/>
  <c r="AW625" i="3" s="1"/>
  <c r="AO626" i="3" l="1"/>
  <c r="AH626" i="3"/>
  <c r="AU626" i="3"/>
  <c r="AN626" i="3"/>
  <c r="AX626" i="3" s="1"/>
  <c r="AV625" i="3"/>
  <c r="BQ624" i="3"/>
  <c r="BF624" i="3"/>
  <c r="BJ623" i="3" s="1"/>
  <c r="BK623" i="3" s="1"/>
  <c r="BB624" i="3"/>
  <c r="BJ622" i="3"/>
  <c r="BK622" i="3" s="1"/>
  <c r="AW626" i="3"/>
  <c r="BD623" i="3"/>
  <c r="BG623" i="3"/>
  <c r="BH623" i="3" s="1"/>
  <c r="BI623" i="3" s="1"/>
  <c r="X626" i="3"/>
  <c r="BN626" i="3"/>
  <c r="Y626" i="3"/>
  <c r="Z626" i="3" s="1"/>
  <c r="C627" i="3"/>
  <c r="B627" i="3"/>
  <c r="AR627" i="3"/>
  <c r="D627" i="3"/>
  <c r="A628" i="3"/>
  <c r="AQ627" i="3"/>
  <c r="G627" i="3"/>
  <c r="H627" i="3" s="1"/>
  <c r="BN627" i="3" s="1"/>
  <c r="F627" i="3"/>
  <c r="Q627" i="3"/>
  <c r="S627" i="3"/>
  <c r="O627" i="3"/>
  <c r="U627" i="3"/>
  <c r="AF627" i="3"/>
  <c r="AD627" i="3"/>
  <c r="M627" i="3"/>
  <c r="AE627" i="3"/>
  <c r="AM627" i="3"/>
  <c r="AK627" i="3"/>
  <c r="T627" i="3"/>
  <c r="V627" i="3"/>
  <c r="R627" i="3"/>
  <c r="P627" i="3"/>
  <c r="AT626" i="3"/>
  <c r="BC624" i="3"/>
  <c r="AX625" i="3"/>
  <c r="AY625" i="3" s="1"/>
  <c r="BM626" i="3"/>
  <c r="AO627" i="3" l="1"/>
  <c r="BM627" i="3"/>
  <c r="AH627" i="3"/>
  <c r="AY626" i="3"/>
  <c r="BC625" i="3"/>
  <c r="X627" i="3"/>
  <c r="BG624" i="3"/>
  <c r="BH624" i="3" s="1"/>
  <c r="BI624" i="3" s="1"/>
  <c r="BD624" i="3"/>
  <c r="AV626" i="3"/>
  <c r="BC626" i="3" s="1"/>
  <c r="BA626" i="3"/>
  <c r="Y627" i="3"/>
  <c r="Z627" i="3" s="1"/>
  <c r="BA625" i="3"/>
  <c r="AG627" i="3"/>
  <c r="AW627" i="3" s="1"/>
  <c r="AR628" i="3"/>
  <c r="B628" i="3"/>
  <c r="AQ628" i="3"/>
  <c r="C628" i="3"/>
  <c r="D628" i="3"/>
  <c r="A629" i="3"/>
  <c r="G628" i="3"/>
  <c r="H628" i="3" s="1"/>
  <c r="F628" i="3"/>
  <c r="Q628" i="3"/>
  <c r="S628" i="3"/>
  <c r="O628" i="3"/>
  <c r="U628" i="3"/>
  <c r="AD628" i="3"/>
  <c r="AF628" i="3"/>
  <c r="M628" i="3"/>
  <c r="AE628" i="3"/>
  <c r="AG628" i="3" s="1"/>
  <c r="AK628" i="3"/>
  <c r="AM628" i="3"/>
  <c r="AN628" i="3" s="1"/>
  <c r="V628" i="3"/>
  <c r="P628" i="3"/>
  <c r="R628" i="3"/>
  <c r="T628" i="3"/>
  <c r="AN627" i="3"/>
  <c r="AX627" i="3" l="1"/>
  <c r="AY627" i="3" s="1"/>
  <c r="BD626" i="3"/>
  <c r="BG626" i="3"/>
  <c r="BH626" i="3" s="1"/>
  <c r="BI626" i="3" s="1"/>
  <c r="Y628" i="3"/>
  <c r="Z628" i="3" s="1"/>
  <c r="BB625" i="3"/>
  <c r="BF625" i="3"/>
  <c r="BJ624" i="3" s="1"/>
  <c r="BK624" i="3" s="1"/>
  <c r="BQ625" i="3"/>
  <c r="X628" i="3"/>
  <c r="BF626" i="3"/>
  <c r="BJ625" i="3" s="1"/>
  <c r="BK625" i="3" s="1"/>
  <c r="BQ626" i="3"/>
  <c r="BB626" i="3"/>
  <c r="AH628" i="3"/>
  <c r="AX628" i="3" s="1"/>
  <c r="AT627" i="3"/>
  <c r="AU627" i="3"/>
  <c r="BN628" i="3"/>
  <c r="BD625" i="3"/>
  <c r="BG625" i="3"/>
  <c r="BH625" i="3" s="1"/>
  <c r="BI625" i="3" s="1"/>
  <c r="AO628" i="3"/>
  <c r="BM628" i="3"/>
  <c r="AR629" i="3"/>
  <c r="A630" i="3"/>
  <c r="AQ629" i="3"/>
  <c r="B629" i="3"/>
  <c r="D629" i="3"/>
  <c r="C629" i="3"/>
  <c r="G629" i="3"/>
  <c r="H629" i="3" s="1"/>
  <c r="BN629" i="3" s="1"/>
  <c r="F629" i="3"/>
  <c r="BM629" i="3" s="1"/>
  <c r="S629" i="3"/>
  <c r="Q629" i="3"/>
  <c r="O629" i="3"/>
  <c r="U629" i="3"/>
  <c r="M629" i="3"/>
  <c r="AF629" i="3"/>
  <c r="AE629" i="3"/>
  <c r="AD629" i="3"/>
  <c r="AM629" i="3"/>
  <c r="AK629" i="3"/>
  <c r="V629" i="3"/>
  <c r="P629" i="3"/>
  <c r="R629" i="3"/>
  <c r="T629" i="3"/>
  <c r="AO629" i="3" l="1"/>
  <c r="AH629" i="3"/>
  <c r="AU628" i="3"/>
  <c r="AW628" i="3"/>
  <c r="AY628" i="3" s="1"/>
  <c r="BA627" i="3"/>
  <c r="AV627" i="3"/>
  <c r="BC627" i="3" s="1"/>
  <c r="Y629" i="3"/>
  <c r="Z629" i="3" s="1"/>
  <c r="D630" i="3"/>
  <c r="B630" i="3"/>
  <c r="AR630" i="3"/>
  <c r="AQ630" i="3"/>
  <c r="A631" i="3"/>
  <c r="C630" i="3"/>
  <c r="F630" i="3"/>
  <c r="BM630" i="3" s="1"/>
  <c r="G630" i="3"/>
  <c r="H630" i="3" s="1"/>
  <c r="BN630" i="3" s="1"/>
  <c r="Q630" i="3"/>
  <c r="S630" i="3"/>
  <c r="O630" i="3"/>
  <c r="U630" i="3"/>
  <c r="AE630" i="3"/>
  <c r="AD630" i="3"/>
  <c r="M630" i="3"/>
  <c r="AF630" i="3"/>
  <c r="AK630" i="3"/>
  <c r="AM630" i="3"/>
  <c r="R630" i="3"/>
  <c r="P630" i="3"/>
  <c r="V630" i="3"/>
  <c r="T630" i="3"/>
  <c r="AG629" i="3"/>
  <c r="AT628" i="3"/>
  <c r="AN629" i="3"/>
  <c r="X629" i="3"/>
  <c r="AN630" i="3" l="1"/>
  <c r="AW629" i="3"/>
  <c r="AV628" i="3"/>
  <c r="BC628" i="3" s="1"/>
  <c r="BA628" i="3"/>
  <c r="A632" i="3"/>
  <c r="AQ631" i="3"/>
  <c r="AR631" i="3"/>
  <c r="B631" i="3"/>
  <c r="C631" i="3"/>
  <c r="D631" i="3"/>
  <c r="G631" i="3"/>
  <c r="H631" i="3" s="1"/>
  <c r="BN631" i="3" s="1"/>
  <c r="F631" i="3"/>
  <c r="BM631" i="3" s="1"/>
  <c r="Q631" i="3"/>
  <c r="S631" i="3"/>
  <c r="O631" i="3"/>
  <c r="U631" i="3"/>
  <c r="AF631" i="3"/>
  <c r="AE631" i="3"/>
  <c r="M631" i="3"/>
  <c r="AD631" i="3"/>
  <c r="AM631" i="3"/>
  <c r="AK631" i="3"/>
  <c r="V631" i="3"/>
  <c r="R631" i="3"/>
  <c r="P631" i="3"/>
  <c r="T631" i="3"/>
  <c r="AX629" i="3"/>
  <c r="AY629" i="3" s="1"/>
  <c r="AH630" i="3"/>
  <c r="AU630" i="3" s="1"/>
  <c r="Y630" i="3"/>
  <c r="Z630" i="3" s="1"/>
  <c r="AO630" i="3"/>
  <c r="BD627" i="3"/>
  <c r="BG627" i="3"/>
  <c r="BH627" i="3" s="1"/>
  <c r="BI627" i="3" s="1"/>
  <c r="BQ627" i="3"/>
  <c r="BB627" i="3"/>
  <c r="BF627" i="3"/>
  <c r="BJ626" i="3" s="1"/>
  <c r="AG630" i="3"/>
  <c r="X630" i="3"/>
  <c r="AT629" i="3"/>
  <c r="AU629" i="3"/>
  <c r="AO631" i="3" l="1"/>
  <c r="AH631" i="3"/>
  <c r="BK626" i="3"/>
  <c r="BK5" i="3"/>
  <c r="Y631" i="3"/>
  <c r="Z631" i="3" s="1"/>
  <c r="AV629" i="3"/>
  <c r="BC629" i="3" s="1"/>
  <c r="BA629" i="3"/>
  <c r="AW630" i="3"/>
  <c r="AG631" i="3"/>
  <c r="BB628" i="3"/>
  <c r="BF628" i="3"/>
  <c r="BJ627" i="3" s="1"/>
  <c r="BK627" i="3" s="1"/>
  <c r="BK6" i="3" s="1"/>
  <c r="BQ628" i="3"/>
  <c r="X631" i="3"/>
  <c r="AX630" i="3"/>
  <c r="AY630" i="3" s="1"/>
  <c r="AT631" i="3"/>
  <c r="AN631" i="3"/>
  <c r="AX631" i="3" s="1"/>
  <c r="D632" i="3"/>
  <c r="C632" i="3"/>
  <c r="A633" i="3"/>
  <c r="AR632" i="3"/>
  <c r="B632" i="3"/>
  <c r="AQ632" i="3"/>
  <c r="F632" i="3"/>
  <c r="BM632" i="3" s="1"/>
  <c r="G632" i="3"/>
  <c r="H632" i="3" s="1"/>
  <c r="BN632" i="3" s="1"/>
  <c r="Q632" i="3"/>
  <c r="S632" i="3"/>
  <c r="O632" i="3"/>
  <c r="U632" i="3"/>
  <c r="AD632" i="3"/>
  <c r="M632" i="3"/>
  <c r="AF632" i="3"/>
  <c r="AE632" i="3"/>
  <c r="AK632" i="3"/>
  <c r="AM632" i="3"/>
  <c r="R632" i="3"/>
  <c r="P632" i="3"/>
  <c r="T632" i="3"/>
  <c r="V632" i="3"/>
  <c r="AT630" i="3"/>
  <c r="BD628" i="3"/>
  <c r="BG628" i="3"/>
  <c r="BH628" i="3" s="1"/>
  <c r="BI628" i="3" s="1"/>
  <c r="AG632" i="3" l="1"/>
  <c r="AN632" i="3"/>
  <c r="Y632" i="3"/>
  <c r="Z632" i="3" s="1"/>
  <c r="AH632" i="3"/>
  <c r="AU632" i="3"/>
  <c r="AW631" i="3"/>
  <c r="AY631" i="3" s="1"/>
  <c r="BA630" i="3"/>
  <c r="AV630" i="3"/>
  <c r="BC630" i="3" s="1"/>
  <c r="BD629" i="3"/>
  <c r="BG629" i="3"/>
  <c r="BH629" i="3" s="1"/>
  <c r="BI629" i="3" s="1"/>
  <c r="AU631" i="3"/>
  <c r="AV631" i="3" s="1"/>
  <c r="BC631" i="3" s="1"/>
  <c r="BF629" i="3"/>
  <c r="BJ628" i="3" s="1"/>
  <c r="BK628" i="3" s="1"/>
  <c r="BQ629" i="3"/>
  <c r="BB629" i="3"/>
  <c r="A692" i="3"/>
  <c r="B692" i="3" s="1"/>
  <c r="A691" i="3"/>
  <c r="B691" i="3" s="1"/>
  <c r="A690" i="3"/>
  <c r="B690" i="3" s="1"/>
  <c r="A688" i="3"/>
  <c r="B260" i="2"/>
  <c r="C260" i="2"/>
  <c r="A260" i="2"/>
  <c r="A261" i="2"/>
  <c r="B261" i="2"/>
  <c r="AT632" i="3"/>
  <c r="B633" i="3"/>
  <c r="C633" i="3"/>
  <c r="D633" i="3"/>
  <c r="AR633" i="3"/>
  <c r="A634" i="3"/>
  <c r="AQ633" i="3"/>
  <c r="F633" i="3"/>
  <c r="BM633" i="3" s="1"/>
  <c r="G633" i="3"/>
  <c r="H633" i="3" s="1"/>
  <c r="Q633" i="3"/>
  <c r="S633" i="3"/>
  <c r="O633" i="3"/>
  <c r="U633" i="3"/>
  <c r="AF633" i="3"/>
  <c r="M633" i="3"/>
  <c r="AD633" i="3"/>
  <c r="AE633" i="3"/>
  <c r="AM633" i="3"/>
  <c r="AK633" i="3"/>
  <c r="P633" i="3"/>
  <c r="T633" i="3"/>
  <c r="V633" i="3"/>
  <c r="R633" i="3"/>
  <c r="X632" i="3"/>
  <c r="AO632" i="3"/>
  <c r="AW632" i="3" s="1"/>
  <c r="AG633" i="3" l="1"/>
  <c r="AN633" i="3"/>
  <c r="BG631" i="3"/>
  <c r="BH631" i="3" s="1"/>
  <c r="BI631" i="3" s="1"/>
  <c r="BD631" i="3"/>
  <c r="Y633" i="3"/>
  <c r="Z633" i="3" s="1"/>
  <c r="AV632" i="3"/>
  <c r="AO633" i="3"/>
  <c r="BD630" i="3"/>
  <c r="BG630" i="3"/>
  <c r="BH630" i="3" s="1"/>
  <c r="BI630" i="3" s="1"/>
  <c r="BB630" i="3"/>
  <c r="BF630" i="3"/>
  <c r="BJ629" i="3" s="1"/>
  <c r="BK629" i="3" s="1"/>
  <c r="BQ630" i="3"/>
  <c r="AH633" i="3"/>
  <c r="AX633" i="3" s="1"/>
  <c r="BA631" i="3"/>
  <c r="X633" i="3"/>
  <c r="U688" i="3"/>
  <c r="AM688" i="3"/>
  <c r="F688" i="3"/>
  <c r="AK688" i="3"/>
  <c r="G688" i="3"/>
  <c r="H688" i="3" s="1"/>
  <c r="AF688" i="3"/>
  <c r="T688" i="3"/>
  <c r="B688" i="3"/>
  <c r="AD688" i="3"/>
  <c r="M688" i="3"/>
  <c r="AE688" i="3"/>
  <c r="D688" i="3"/>
  <c r="V688" i="3"/>
  <c r="Q688" i="3"/>
  <c r="S688" i="3"/>
  <c r="P688" i="3"/>
  <c r="R688" i="3"/>
  <c r="AR688" i="3"/>
  <c r="O688" i="3"/>
  <c r="C688" i="3"/>
  <c r="AQ688" i="3"/>
  <c r="AX632" i="3"/>
  <c r="AY632" i="3" s="1"/>
  <c r="AR634" i="3"/>
  <c r="AQ634" i="3"/>
  <c r="B634" i="3"/>
  <c r="A635" i="3"/>
  <c r="C634" i="3"/>
  <c r="D634" i="3"/>
  <c r="G634" i="3"/>
  <c r="H634" i="3" s="1"/>
  <c r="F634" i="3"/>
  <c r="Q634" i="3"/>
  <c r="S634" i="3"/>
  <c r="O634" i="3"/>
  <c r="U634" i="3"/>
  <c r="AF634" i="3"/>
  <c r="M634" i="3"/>
  <c r="AE634" i="3"/>
  <c r="AD634" i="3"/>
  <c r="AK634" i="3"/>
  <c r="AM634" i="3"/>
  <c r="AN634" i="3" s="1"/>
  <c r="V634" i="3"/>
  <c r="R634" i="3"/>
  <c r="P634" i="3"/>
  <c r="T634" i="3"/>
  <c r="BN633" i="3"/>
  <c r="AH634" i="3" l="1"/>
  <c r="BN634" i="3"/>
  <c r="AG688" i="3"/>
  <c r="AO688" i="3"/>
  <c r="B635" i="3"/>
  <c r="AR635" i="3"/>
  <c r="A636" i="3"/>
  <c r="AQ635" i="3"/>
  <c r="C635" i="3"/>
  <c r="D635" i="3"/>
  <c r="F635" i="3"/>
  <c r="BM635" i="3" s="1"/>
  <c r="G635" i="3"/>
  <c r="H635" i="3" s="1"/>
  <c r="BN635" i="3" s="1"/>
  <c r="Q635" i="3"/>
  <c r="S635" i="3"/>
  <c r="O635" i="3"/>
  <c r="U635" i="3"/>
  <c r="AK635" i="3"/>
  <c r="AE635" i="3"/>
  <c r="AD635" i="3"/>
  <c r="AF635" i="3"/>
  <c r="M635" i="3"/>
  <c r="AM635" i="3"/>
  <c r="P635" i="3"/>
  <c r="R635" i="3"/>
  <c r="T635" i="3"/>
  <c r="V635" i="3"/>
  <c r="Y688" i="3"/>
  <c r="Z688" i="3" s="1"/>
  <c r="X634" i="3"/>
  <c r="AH688" i="3"/>
  <c r="AX688" i="3" s="1"/>
  <c r="AO634" i="3"/>
  <c r="AG634" i="3"/>
  <c r="AW634" i="3" s="1"/>
  <c r="X688" i="3"/>
  <c r="AW633" i="3"/>
  <c r="AY633" i="3" s="1"/>
  <c r="BA632" i="3"/>
  <c r="AN688" i="3"/>
  <c r="AT633" i="3"/>
  <c r="AU633" i="3"/>
  <c r="Y634" i="3"/>
  <c r="Z634" i="3" s="1"/>
  <c r="BC632" i="3"/>
  <c r="BM634" i="3"/>
  <c r="BQ631" i="3"/>
  <c r="BB631" i="3"/>
  <c r="BF631" i="3"/>
  <c r="BJ630" i="3" s="1"/>
  <c r="BK630" i="3" s="1"/>
  <c r="AO635" i="3" l="1"/>
  <c r="X635" i="3"/>
  <c r="BD632" i="3"/>
  <c r="BG632" i="3"/>
  <c r="BH632" i="3" s="1"/>
  <c r="BI632" i="3" s="1"/>
  <c r="AX634" i="3"/>
  <c r="AY634" i="3" s="1"/>
  <c r="Y635" i="3"/>
  <c r="Z635" i="3" s="1"/>
  <c r="AH635" i="3"/>
  <c r="AU688" i="3"/>
  <c r="AW688" i="3"/>
  <c r="AY688" i="3" s="1"/>
  <c r="AG635" i="3"/>
  <c r="AW635" i="3" s="1"/>
  <c r="AT688" i="3"/>
  <c r="BA633" i="3"/>
  <c r="AV633" i="3"/>
  <c r="BC633" i="3" s="1"/>
  <c r="AU634" i="3"/>
  <c r="BB632" i="3"/>
  <c r="BQ632" i="3"/>
  <c r="BF632" i="3"/>
  <c r="AT634" i="3"/>
  <c r="AR636" i="3"/>
  <c r="B636" i="3"/>
  <c r="AQ636" i="3"/>
  <c r="D636" i="3"/>
  <c r="C636" i="3"/>
  <c r="A637" i="3"/>
  <c r="F636" i="3"/>
  <c r="BM636" i="3" s="1"/>
  <c r="G636" i="3"/>
  <c r="H636" i="3" s="1"/>
  <c r="BN636" i="3" s="1"/>
  <c r="Q636" i="3"/>
  <c r="S636" i="3"/>
  <c r="O636" i="3"/>
  <c r="U636" i="3"/>
  <c r="AD636" i="3"/>
  <c r="AF636" i="3"/>
  <c r="AE636" i="3"/>
  <c r="M636" i="3"/>
  <c r="AM636" i="3"/>
  <c r="AK636" i="3"/>
  <c r="T636" i="3"/>
  <c r="R636" i="3"/>
  <c r="P636" i="3"/>
  <c r="V636" i="3"/>
  <c r="AN635" i="3"/>
  <c r="AU635" i="3" l="1"/>
  <c r="AN636" i="3"/>
  <c r="BG633" i="3"/>
  <c r="BH633" i="3" s="1"/>
  <c r="BI633" i="3" s="1"/>
  <c r="BD633" i="3"/>
  <c r="AV688" i="3"/>
  <c r="BC688" i="3" s="1"/>
  <c r="BA688" i="3"/>
  <c r="BB688" i="3" s="1"/>
  <c r="AT635" i="3"/>
  <c r="AO636" i="3"/>
  <c r="X636" i="3"/>
  <c r="AR637" i="3"/>
  <c r="A638" i="3"/>
  <c r="AQ637" i="3"/>
  <c r="B637" i="3"/>
  <c r="D637" i="3"/>
  <c r="C637" i="3"/>
  <c r="F637" i="3"/>
  <c r="BM637" i="3" s="1"/>
  <c r="G637" i="3"/>
  <c r="H637" i="3" s="1"/>
  <c r="Q637" i="3"/>
  <c r="S637" i="3"/>
  <c r="O637" i="3"/>
  <c r="U637" i="3"/>
  <c r="AE637" i="3"/>
  <c r="M637" i="3"/>
  <c r="AF637" i="3"/>
  <c r="AD637" i="3"/>
  <c r="AM637" i="3"/>
  <c r="AK637" i="3"/>
  <c r="AO637" i="3" s="1"/>
  <c r="T637" i="3"/>
  <c r="P637" i="3"/>
  <c r="V637" i="3"/>
  <c r="R637" i="3"/>
  <c r="AU636" i="3"/>
  <c r="BF633" i="3"/>
  <c r="BJ632" i="3" s="1"/>
  <c r="BK632" i="3" s="1"/>
  <c r="BB633" i="3"/>
  <c r="BQ633" i="3"/>
  <c r="AV634" i="3"/>
  <c r="BC634" i="3" s="1"/>
  <c r="BA634" i="3"/>
  <c r="Y636" i="3"/>
  <c r="Z636" i="3" s="1"/>
  <c r="AX635" i="3"/>
  <c r="AY635" i="3" s="1"/>
  <c r="AG636" i="3"/>
  <c r="AH636" i="3"/>
  <c r="AX636" i="3" s="1"/>
  <c r="BJ631" i="3"/>
  <c r="BK631" i="3" s="1"/>
  <c r="BN637" i="3" l="1"/>
  <c r="Y637" i="3"/>
  <c r="Z637" i="3" s="1"/>
  <c r="AN637" i="3"/>
  <c r="AH637" i="3"/>
  <c r="AU637" i="3" s="1"/>
  <c r="BD634" i="3"/>
  <c r="BG634" i="3"/>
  <c r="BH634" i="3" s="1"/>
  <c r="BI634" i="3" s="1"/>
  <c r="X637" i="3"/>
  <c r="C638" i="3"/>
  <c r="A639" i="3"/>
  <c r="AR638" i="3"/>
  <c r="B638" i="3"/>
  <c r="AQ638" i="3"/>
  <c r="D638" i="3"/>
  <c r="G638" i="3"/>
  <c r="H638" i="3" s="1"/>
  <c r="F638" i="3"/>
  <c r="Q638" i="3"/>
  <c r="S638" i="3"/>
  <c r="O638" i="3"/>
  <c r="U638" i="3"/>
  <c r="M638" i="3"/>
  <c r="AD638" i="3"/>
  <c r="AE638" i="3"/>
  <c r="AF638" i="3"/>
  <c r="AK638" i="3"/>
  <c r="AM638" i="3"/>
  <c r="P638" i="3"/>
  <c r="V638" i="3"/>
  <c r="R638" i="3"/>
  <c r="T638" i="3"/>
  <c r="AW636" i="3"/>
  <c r="AY636" i="3" s="1"/>
  <c r="BB634" i="3"/>
  <c r="BQ634" i="3"/>
  <c r="BF634" i="3"/>
  <c r="BJ633" i="3" s="1"/>
  <c r="BK633" i="3" s="1"/>
  <c r="AG637" i="3"/>
  <c r="BA635" i="3"/>
  <c r="AV635" i="3"/>
  <c r="BC635" i="3" s="1"/>
  <c r="AT636" i="3"/>
  <c r="BD688" i="3"/>
  <c r="BG688" i="3"/>
  <c r="AN638" i="3" l="1"/>
  <c r="Y638" i="3"/>
  <c r="Z638" i="3" s="1"/>
  <c r="A640" i="3"/>
  <c r="AQ639" i="3"/>
  <c r="AR639" i="3"/>
  <c r="B639" i="3"/>
  <c r="C639" i="3"/>
  <c r="D639" i="3"/>
  <c r="G639" i="3"/>
  <c r="H639" i="3" s="1"/>
  <c r="F639" i="3"/>
  <c r="BM639" i="3" s="1"/>
  <c r="Q639" i="3"/>
  <c r="S639" i="3"/>
  <c r="O639" i="3"/>
  <c r="U639" i="3"/>
  <c r="M639" i="3"/>
  <c r="AF639" i="3"/>
  <c r="AE639" i="3"/>
  <c r="AD639" i="3"/>
  <c r="AM639" i="3"/>
  <c r="AK639" i="3"/>
  <c r="V639" i="3"/>
  <c r="R639" i="3"/>
  <c r="P639" i="3"/>
  <c r="T639" i="3"/>
  <c r="BH688" i="3"/>
  <c r="BI688" i="3" s="1"/>
  <c r="BG689" i="3"/>
  <c r="BH689" i="3" s="1"/>
  <c r="BI689" i="3" s="1"/>
  <c r="BG690" i="3"/>
  <c r="BH690" i="3" s="1"/>
  <c r="BI690" i="3" s="1"/>
  <c r="AV636" i="3"/>
  <c r="BC636" i="3" s="1"/>
  <c r="BA636" i="3"/>
  <c r="AO638" i="3"/>
  <c r="AH638" i="3"/>
  <c r="X638" i="3"/>
  <c r="AW637" i="3"/>
  <c r="BM638" i="3"/>
  <c r="AG638" i="3"/>
  <c r="BG635" i="3"/>
  <c r="BH635" i="3" s="1"/>
  <c r="BI635" i="3" s="1"/>
  <c r="BD635" i="3"/>
  <c r="BB635" i="3"/>
  <c r="BF635" i="3"/>
  <c r="BJ634" i="3" s="1"/>
  <c r="BK634" i="3" s="1"/>
  <c r="BQ635" i="3"/>
  <c r="AX637" i="3"/>
  <c r="AT637" i="3"/>
  <c r="BN638" i="3"/>
  <c r="AO639" i="3" l="1"/>
  <c r="AX638" i="3"/>
  <c r="BN639" i="3"/>
  <c r="X639" i="3"/>
  <c r="AY637" i="3"/>
  <c r="AH639" i="3"/>
  <c r="BD636" i="3"/>
  <c r="BG636" i="3"/>
  <c r="BH636" i="3" s="1"/>
  <c r="BI636" i="3" s="1"/>
  <c r="BA637" i="3"/>
  <c r="AV637" i="3"/>
  <c r="BC637" i="3" s="1"/>
  <c r="Y639" i="3"/>
  <c r="Z639" i="3" s="1"/>
  <c r="AT638" i="3"/>
  <c r="AG639" i="3"/>
  <c r="AU639" i="3" s="1"/>
  <c r="BQ636" i="3"/>
  <c r="BF636" i="3"/>
  <c r="BJ635" i="3" s="1"/>
  <c r="BK635" i="3" s="1"/>
  <c r="BB636" i="3"/>
  <c r="AW638" i="3"/>
  <c r="AN639" i="3"/>
  <c r="C640" i="3"/>
  <c r="D640" i="3"/>
  <c r="A641" i="3"/>
  <c r="AR640" i="3"/>
  <c r="B640" i="3"/>
  <c r="AQ640" i="3"/>
  <c r="F640" i="3"/>
  <c r="BM640" i="3" s="1"/>
  <c r="G640" i="3"/>
  <c r="H640" i="3" s="1"/>
  <c r="BN640" i="3" s="1"/>
  <c r="Q640" i="3"/>
  <c r="S640" i="3"/>
  <c r="O640" i="3"/>
  <c r="U640" i="3"/>
  <c r="AM640" i="3"/>
  <c r="AN640" i="3" s="1"/>
  <c r="AD640" i="3"/>
  <c r="AE640" i="3"/>
  <c r="M640" i="3"/>
  <c r="AF640" i="3"/>
  <c r="AK640" i="3"/>
  <c r="R640" i="3"/>
  <c r="P640" i="3"/>
  <c r="T640" i="3"/>
  <c r="V640" i="3"/>
  <c r="AU638" i="3"/>
  <c r="AT639" i="3" l="1"/>
  <c r="AY638" i="3"/>
  <c r="AX639" i="3"/>
  <c r="AH640" i="3"/>
  <c r="BB637" i="3"/>
  <c r="BF637" i="3"/>
  <c r="BJ636" i="3" s="1"/>
  <c r="BK636" i="3" s="1"/>
  <c r="BQ637" i="3"/>
  <c r="AG640" i="3"/>
  <c r="AV639" i="3"/>
  <c r="X640" i="3"/>
  <c r="AW639" i="3"/>
  <c r="AY639" i="3" s="1"/>
  <c r="BA638" i="3"/>
  <c r="AV638" i="3"/>
  <c r="BC638" i="3" s="1"/>
  <c r="AU640" i="3"/>
  <c r="AO640" i="3"/>
  <c r="Y640" i="3"/>
  <c r="Z640" i="3" s="1"/>
  <c r="BD637" i="3"/>
  <c r="BG637" i="3"/>
  <c r="BH637" i="3" s="1"/>
  <c r="BI637" i="3" s="1"/>
  <c r="B641" i="3"/>
  <c r="D641" i="3"/>
  <c r="AR641" i="3"/>
  <c r="C641" i="3"/>
  <c r="A642" i="3"/>
  <c r="AQ641" i="3"/>
  <c r="F641" i="3"/>
  <c r="BM641" i="3" s="1"/>
  <c r="G641" i="3"/>
  <c r="H641" i="3" s="1"/>
  <c r="BN641" i="3" s="1"/>
  <c r="Q641" i="3"/>
  <c r="S641" i="3"/>
  <c r="O641" i="3"/>
  <c r="U641" i="3"/>
  <c r="M641" i="3"/>
  <c r="AE641" i="3"/>
  <c r="AD641" i="3"/>
  <c r="AF641" i="3"/>
  <c r="AK641" i="3"/>
  <c r="AM641" i="3"/>
  <c r="R641" i="3"/>
  <c r="P641" i="3"/>
  <c r="T641" i="3"/>
  <c r="V641" i="3"/>
  <c r="AH641" i="3" l="1"/>
  <c r="AN641" i="3"/>
  <c r="BC639" i="3"/>
  <c r="BA639" i="3"/>
  <c r="Y641" i="3"/>
  <c r="Z641" i="3" s="1"/>
  <c r="AW640" i="3"/>
  <c r="AO641" i="3"/>
  <c r="AT640" i="3"/>
  <c r="AG641" i="3"/>
  <c r="AW641" i="3" s="1"/>
  <c r="X641" i="3"/>
  <c r="BD638" i="3"/>
  <c r="BG638" i="3"/>
  <c r="BH638" i="3" s="1"/>
  <c r="BI638" i="3" s="1"/>
  <c r="BB638" i="3"/>
  <c r="BQ638" i="3"/>
  <c r="BF638" i="3"/>
  <c r="BJ637" i="3" s="1"/>
  <c r="BK637" i="3" s="1"/>
  <c r="AU641" i="3"/>
  <c r="AR642" i="3"/>
  <c r="AQ642" i="3"/>
  <c r="B642" i="3"/>
  <c r="A643" i="3"/>
  <c r="C642" i="3"/>
  <c r="D642" i="3"/>
  <c r="G642" i="3"/>
  <c r="H642" i="3" s="1"/>
  <c r="BN642" i="3" s="1"/>
  <c r="F642" i="3"/>
  <c r="BM642" i="3" s="1"/>
  <c r="Q642" i="3"/>
  <c r="S642" i="3"/>
  <c r="O642" i="3"/>
  <c r="U642" i="3"/>
  <c r="AD642" i="3"/>
  <c r="AF642" i="3"/>
  <c r="AE642" i="3"/>
  <c r="M642" i="3"/>
  <c r="AK642" i="3"/>
  <c r="AM642" i="3"/>
  <c r="AN642" i="3" s="1"/>
  <c r="V642" i="3"/>
  <c r="R642" i="3"/>
  <c r="P642" i="3"/>
  <c r="T642" i="3"/>
  <c r="AX640" i="3"/>
  <c r="AG642" i="3" l="1"/>
  <c r="X642" i="3"/>
  <c r="AY640" i="3"/>
  <c r="D643" i="3"/>
  <c r="A644" i="3"/>
  <c r="AQ643" i="3"/>
  <c r="AR643" i="3"/>
  <c r="C643" i="3"/>
  <c r="B643" i="3"/>
  <c r="G643" i="3"/>
  <c r="H643" i="3" s="1"/>
  <c r="BN643" i="3" s="1"/>
  <c r="F643" i="3"/>
  <c r="BM643" i="3" s="1"/>
  <c r="Q643" i="3"/>
  <c r="S643" i="3"/>
  <c r="O643" i="3"/>
  <c r="U643" i="3"/>
  <c r="AE643" i="3"/>
  <c r="AD643" i="3"/>
  <c r="AF643" i="3"/>
  <c r="AK643" i="3"/>
  <c r="M643" i="3"/>
  <c r="AM643" i="3"/>
  <c r="AN643" i="3" s="1"/>
  <c r="V643" i="3"/>
  <c r="P643" i="3"/>
  <c r="R643" i="3"/>
  <c r="T643" i="3"/>
  <c r="AH642" i="3"/>
  <c r="AX642" i="3" s="1"/>
  <c r="AY641" i="3"/>
  <c r="AV640" i="3"/>
  <c r="BC640" i="3" s="1"/>
  <c r="BA640" i="3"/>
  <c r="Y642" i="3"/>
  <c r="Z642" i="3" s="1"/>
  <c r="AT641" i="3"/>
  <c r="BQ639" i="3"/>
  <c r="BF639" i="3"/>
  <c r="BJ638" i="3" s="1"/>
  <c r="BK638" i="3" s="1"/>
  <c r="BB639" i="3"/>
  <c r="BD639" i="3"/>
  <c r="BG639" i="3"/>
  <c r="BH639" i="3" s="1"/>
  <c r="BI639" i="3" s="1"/>
  <c r="AO642" i="3"/>
  <c r="AX641" i="3"/>
  <c r="BA641" i="3" l="1"/>
  <c r="AV641" i="3"/>
  <c r="BC641" i="3" s="1"/>
  <c r="AT642" i="3"/>
  <c r="AG643" i="3"/>
  <c r="X643" i="3"/>
  <c r="BB640" i="3"/>
  <c r="BQ640" i="3"/>
  <c r="BF640" i="3"/>
  <c r="BJ639" i="3" s="1"/>
  <c r="BK639" i="3" s="1"/>
  <c r="BD640" i="3"/>
  <c r="BG640" i="3"/>
  <c r="BH640" i="3" s="1"/>
  <c r="BI640" i="3" s="1"/>
  <c r="AY642" i="3"/>
  <c r="Y643" i="3"/>
  <c r="Z643" i="3" s="1"/>
  <c r="AR644" i="3"/>
  <c r="B644" i="3"/>
  <c r="AQ644" i="3"/>
  <c r="D644" i="3"/>
  <c r="C644" i="3"/>
  <c r="A645" i="3"/>
  <c r="F644" i="3"/>
  <c r="BM644" i="3" s="1"/>
  <c r="G644" i="3"/>
  <c r="H644" i="3" s="1"/>
  <c r="Q644" i="3"/>
  <c r="S644" i="3"/>
  <c r="O644" i="3"/>
  <c r="U644" i="3"/>
  <c r="AF644" i="3"/>
  <c r="AE644" i="3"/>
  <c r="AD644" i="3"/>
  <c r="AM644" i="3"/>
  <c r="M644" i="3"/>
  <c r="AK644" i="3"/>
  <c r="R644" i="3"/>
  <c r="P644" i="3"/>
  <c r="T644" i="3"/>
  <c r="V644" i="3"/>
  <c r="AU642" i="3"/>
  <c r="AO643" i="3"/>
  <c r="AH643" i="3"/>
  <c r="AW642" i="3"/>
  <c r="BN644" i="3" l="1"/>
  <c r="AN644" i="3"/>
  <c r="AG644" i="3"/>
  <c r="AH644" i="3"/>
  <c r="AO644" i="3"/>
  <c r="AT644" i="3"/>
  <c r="AW643" i="3"/>
  <c r="BA642" i="3"/>
  <c r="AV642" i="3"/>
  <c r="BC642" i="3" s="1"/>
  <c r="BD641" i="3"/>
  <c r="BG641" i="3"/>
  <c r="BH641" i="3" s="1"/>
  <c r="BI641" i="3" s="1"/>
  <c r="X644" i="3"/>
  <c r="AT643" i="3"/>
  <c r="AX643" i="3"/>
  <c r="Y644" i="3"/>
  <c r="Z644" i="3" s="1"/>
  <c r="AR645" i="3"/>
  <c r="A646" i="3"/>
  <c r="AQ645" i="3"/>
  <c r="B645" i="3"/>
  <c r="C645" i="3"/>
  <c r="D645" i="3"/>
  <c r="F645" i="3"/>
  <c r="BM645" i="3" s="1"/>
  <c r="G645" i="3"/>
  <c r="H645" i="3" s="1"/>
  <c r="BN645" i="3" s="1"/>
  <c r="Q645" i="3"/>
  <c r="S645" i="3"/>
  <c r="O645" i="3"/>
  <c r="U645" i="3"/>
  <c r="AF645" i="3"/>
  <c r="AE645" i="3"/>
  <c r="AD645" i="3"/>
  <c r="M645" i="3"/>
  <c r="AK645" i="3"/>
  <c r="AM645" i="3"/>
  <c r="V645" i="3"/>
  <c r="P645" i="3"/>
  <c r="R645" i="3"/>
  <c r="T645" i="3"/>
  <c r="AU643" i="3"/>
  <c r="AU644" i="3"/>
  <c r="BQ641" i="3"/>
  <c r="BF641" i="3"/>
  <c r="BJ640" i="3" s="1"/>
  <c r="BK640" i="3" s="1"/>
  <c r="BB641" i="3"/>
  <c r="AN645" i="3" l="1"/>
  <c r="D646" i="3"/>
  <c r="A647" i="3"/>
  <c r="AR646" i="3"/>
  <c r="B646" i="3"/>
  <c r="AQ646" i="3"/>
  <c r="C646" i="3"/>
  <c r="F646" i="3"/>
  <c r="BM646" i="3" s="1"/>
  <c r="G646" i="3"/>
  <c r="H646" i="3" s="1"/>
  <c r="BN646" i="3" s="1"/>
  <c r="Q646" i="3"/>
  <c r="S646" i="3"/>
  <c r="O646" i="3"/>
  <c r="U646" i="3"/>
  <c r="AE646" i="3"/>
  <c r="AF646" i="3"/>
  <c r="M646" i="3"/>
  <c r="AD646" i="3"/>
  <c r="AM646" i="3"/>
  <c r="AK646" i="3"/>
  <c r="AO646" i="3" s="1"/>
  <c r="R646" i="3"/>
  <c r="P646" i="3"/>
  <c r="V646" i="3"/>
  <c r="T646" i="3"/>
  <c r="AG645" i="3"/>
  <c r="X645" i="3"/>
  <c r="AH645" i="3"/>
  <c r="AV643" i="3"/>
  <c r="AX644" i="3"/>
  <c r="AY644" i="3" s="1"/>
  <c r="AO645" i="3"/>
  <c r="BA643" i="3"/>
  <c r="BD642" i="3"/>
  <c r="BG642" i="3"/>
  <c r="BH642" i="3" s="1"/>
  <c r="BI642" i="3" s="1"/>
  <c r="BQ642" i="3"/>
  <c r="BB642" i="3"/>
  <c r="BF642" i="3"/>
  <c r="BJ641" i="3" s="1"/>
  <c r="BK641" i="3" s="1"/>
  <c r="AY643" i="3"/>
  <c r="AV644" i="3"/>
  <c r="Y645" i="3"/>
  <c r="Z645" i="3" s="1"/>
  <c r="AW644" i="3"/>
  <c r="AH646" i="3" l="1"/>
  <c r="BA644" i="3"/>
  <c r="BB644" i="3" s="1"/>
  <c r="BF644" i="3"/>
  <c r="BQ644" i="3"/>
  <c r="AX645" i="3"/>
  <c r="X646" i="3"/>
  <c r="AU645" i="3"/>
  <c r="Y646" i="3"/>
  <c r="Z646" i="3" s="1"/>
  <c r="AG646" i="3"/>
  <c r="AW646" i="3" s="1"/>
  <c r="AW645" i="3"/>
  <c r="AY645" i="3" s="1"/>
  <c r="BC644" i="3"/>
  <c r="AQ647" i="3"/>
  <c r="A648" i="3"/>
  <c r="AR647" i="3"/>
  <c r="B647" i="3"/>
  <c r="C647" i="3"/>
  <c r="D647" i="3"/>
  <c r="G647" i="3"/>
  <c r="H647" i="3" s="1"/>
  <c r="BN647" i="3" s="1"/>
  <c r="F647" i="3"/>
  <c r="BM647" i="3" s="1"/>
  <c r="Q647" i="3"/>
  <c r="S647" i="3"/>
  <c r="O647" i="3"/>
  <c r="U647" i="3"/>
  <c r="M647" i="3"/>
  <c r="AF647" i="3"/>
  <c r="AD647" i="3"/>
  <c r="AM647" i="3"/>
  <c r="AE647" i="3"/>
  <c r="AG647" i="3" s="1"/>
  <c r="AK647" i="3"/>
  <c r="AO647" i="3" s="1"/>
  <c r="T647" i="3"/>
  <c r="V647" i="3"/>
  <c r="P647" i="3"/>
  <c r="R647" i="3"/>
  <c r="BF643" i="3"/>
  <c r="BJ642" i="3" s="1"/>
  <c r="BK642" i="3" s="1"/>
  <c r="BB643" i="3"/>
  <c r="BQ643" i="3"/>
  <c r="AT645" i="3"/>
  <c r="BC643" i="3"/>
  <c r="AN646" i="3"/>
  <c r="Y647" i="3" l="1"/>
  <c r="Z647" i="3" s="1"/>
  <c r="AX646" i="3"/>
  <c r="A649" i="3"/>
  <c r="AR648" i="3"/>
  <c r="D648" i="3"/>
  <c r="B648" i="3"/>
  <c r="AQ648" i="3"/>
  <c r="C648" i="3"/>
  <c r="F648" i="3"/>
  <c r="G648" i="3"/>
  <c r="H648" i="3" s="1"/>
  <c r="BN648" i="3" s="1"/>
  <c r="Q648" i="3"/>
  <c r="S648" i="3"/>
  <c r="O648" i="3"/>
  <c r="U648" i="3"/>
  <c r="AE648" i="3"/>
  <c r="M648" i="3"/>
  <c r="AF648" i="3"/>
  <c r="AD648" i="3"/>
  <c r="AK648" i="3"/>
  <c r="AM648" i="3"/>
  <c r="V648" i="3"/>
  <c r="R648" i="3"/>
  <c r="P648" i="3"/>
  <c r="T648" i="3"/>
  <c r="AN647" i="3"/>
  <c r="AY646" i="3"/>
  <c r="X647" i="3"/>
  <c r="AU646" i="3"/>
  <c r="BD644" i="3"/>
  <c r="BG644" i="3"/>
  <c r="BH644" i="3" s="1"/>
  <c r="BI644" i="3" s="1"/>
  <c r="BJ643" i="3"/>
  <c r="BK643" i="3" s="1"/>
  <c r="AH647" i="3"/>
  <c r="AU647" i="3" s="1"/>
  <c r="BD643" i="3"/>
  <c r="BG643" i="3"/>
  <c r="BH643" i="3" s="1"/>
  <c r="BI643" i="3" s="1"/>
  <c r="AT646" i="3"/>
  <c r="AV645" i="3"/>
  <c r="BC645" i="3" s="1"/>
  <c r="BA645" i="3"/>
  <c r="BM648" i="3" l="1"/>
  <c r="AN648" i="3"/>
  <c r="AH648" i="3"/>
  <c r="AG648" i="3"/>
  <c r="AU648" i="3" s="1"/>
  <c r="X648" i="3"/>
  <c r="BF645" i="3"/>
  <c r="BJ644" i="3" s="1"/>
  <c r="BK644" i="3" s="1"/>
  <c r="BQ645" i="3"/>
  <c r="BB645" i="3"/>
  <c r="AO648" i="3"/>
  <c r="AW648" i="3" s="1"/>
  <c r="B649" i="3"/>
  <c r="D649" i="3"/>
  <c r="C649" i="3"/>
  <c r="AR649" i="3"/>
  <c r="AQ649" i="3"/>
  <c r="A650" i="3"/>
  <c r="G649" i="3"/>
  <c r="H649" i="3" s="1"/>
  <c r="BN649" i="3" s="1"/>
  <c r="F649" i="3"/>
  <c r="Q649" i="3"/>
  <c r="S649" i="3"/>
  <c r="O649" i="3"/>
  <c r="U649" i="3"/>
  <c r="AD649" i="3"/>
  <c r="AF649" i="3"/>
  <c r="AE649" i="3"/>
  <c r="AG649" i="3" s="1"/>
  <c r="M649" i="3"/>
  <c r="AM649" i="3"/>
  <c r="AK649" i="3"/>
  <c r="R649" i="3"/>
  <c r="T649" i="3"/>
  <c r="V649" i="3"/>
  <c r="P649" i="3"/>
  <c r="AX648" i="3"/>
  <c r="BG645" i="3"/>
  <c r="BH645" i="3" s="1"/>
  <c r="BI645" i="3" s="1"/>
  <c r="BD645" i="3"/>
  <c r="BA646" i="3"/>
  <c r="AV646" i="3"/>
  <c r="BC646" i="3" s="1"/>
  <c r="Y648" i="3"/>
  <c r="Z648" i="3" s="1"/>
  <c r="AT648" i="3"/>
  <c r="AX647" i="3"/>
  <c r="AW647" i="3"/>
  <c r="AY647" i="3" s="1"/>
  <c r="AT647" i="3"/>
  <c r="BM649" i="3" l="1"/>
  <c r="Y649" i="3"/>
  <c r="Z649" i="3" s="1"/>
  <c r="AN649" i="3"/>
  <c r="AY648" i="3"/>
  <c r="AO649" i="3"/>
  <c r="AH649" i="3"/>
  <c r="BD646" i="3"/>
  <c r="BG646" i="3"/>
  <c r="BH646" i="3" s="1"/>
  <c r="BI646" i="3" s="1"/>
  <c r="AR650" i="3"/>
  <c r="AQ650" i="3"/>
  <c r="B650" i="3"/>
  <c r="A651" i="3"/>
  <c r="C650" i="3"/>
  <c r="D650" i="3"/>
  <c r="G650" i="3"/>
  <c r="H650" i="3" s="1"/>
  <c r="BN650" i="3" s="1"/>
  <c r="F650" i="3"/>
  <c r="BM650" i="3" s="1"/>
  <c r="Q650" i="3"/>
  <c r="S650" i="3"/>
  <c r="O650" i="3"/>
  <c r="U650" i="3"/>
  <c r="M650" i="3"/>
  <c r="AD650" i="3"/>
  <c r="AF650" i="3"/>
  <c r="AE650" i="3"/>
  <c r="AG650" i="3" s="1"/>
  <c r="AM650" i="3"/>
  <c r="AK650" i="3"/>
  <c r="R650" i="3"/>
  <c r="P650" i="3"/>
  <c r="V650" i="3"/>
  <c r="T650" i="3"/>
  <c r="AV647" i="3"/>
  <c r="BC647" i="3" s="1"/>
  <c r="BA647" i="3"/>
  <c r="AV648" i="3"/>
  <c r="BA648" i="3"/>
  <c r="X649" i="3"/>
  <c r="BQ646" i="3"/>
  <c r="BB646" i="3"/>
  <c r="BF646" i="3"/>
  <c r="BJ645" i="3" s="1"/>
  <c r="BK645" i="3" s="1"/>
  <c r="AO650" i="3" l="1"/>
  <c r="AX649" i="3"/>
  <c r="BC648" i="3"/>
  <c r="AN650" i="3"/>
  <c r="BD647" i="3"/>
  <c r="BG647" i="3"/>
  <c r="BH647" i="3" s="1"/>
  <c r="BI647" i="3" s="1"/>
  <c r="AR651" i="3"/>
  <c r="B651" i="3"/>
  <c r="A652" i="3"/>
  <c r="C651" i="3"/>
  <c r="AQ651" i="3"/>
  <c r="D651" i="3"/>
  <c r="F651" i="3"/>
  <c r="BM651" i="3" s="1"/>
  <c r="G651" i="3"/>
  <c r="H651" i="3" s="1"/>
  <c r="BN651" i="3" s="1"/>
  <c r="Q651" i="3"/>
  <c r="S651" i="3"/>
  <c r="O651" i="3"/>
  <c r="U651" i="3"/>
  <c r="M651" i="3"/>
  <c r="AF651" i="3"/>
  <c r="AD651" i="3"/>
  <c r="AM651" i="3"/>
  <c r="AK651" i="3"/>
  <c r="AE651" i="3"/>
  <c r="AG651" i="3" s="1"/>
  <c r="P651" i="3"/>
  <c r="V651" i="3"/>
  <c r="R651" i="3"/>
  <c r="T651" i="3"/>
  <c r="AW649" i="3"/>
  <c r="AY649" i="3" s="1"/>
  <c r="Y650" i="3"/>
  <c r="Z650" i="3" s="1"/>
  <c r="AH650" i="3"/>
  <c r="AX650" i="3" s="1"/>
  <c r="X650" i="3"/>
  <c r="BB648" i="3"/>
  <c r="BF648" i="3"/>
  <c r="BQ648" i="3"/>
  <c r="AT649" i="3"/>
  <c r="BD648" i="3"/>
  <c r="BG648" i="3"/>
  <c r="BH648" i="3" s="1"/>
  <c r="BI648" i="3" s="1"/>
  <c r="BQ647" i="3"/>
  <c r="BB647" i="3"/>
  <c r="BF647" i="3"/>
  <c r="BJ646" i="3" s="1"/>
  <c r="BK646" i="3" s="1"/>
  <c r="AU649" i="3"/>
  <c r="AO651" i="3" l="1"/>
  <c r="AT650" i="3"/>
  <c r="Y651" i="3"/>
  <c r="Z651" i="3" s="1"/>
  <c r="AR652" i="3"/>
  <c r="B652" i="3"/>
  <c r="AQ652" i="3"/>
  <c r="D652" i="3"/>
  <c r="C652" i="3"/>
  <c r="A653" i="3"/>
  <c r="G652" i="3"/>
  <c r="H652" i="3" s="1"/>
  <c r="BN652" i="3" s="1"/>
  <c r="F652" i="3"/>
  <c r="BM652" i="3" s="1"/>
  <c r="Q652" i="3"/>
  <c r="S652" i="3"/>
  <c r="O652" i="3"/>
  <c r="U652" i="3"/>
  <c r="AE652" i="3"/>
  <c r="M652" i="3"/>
  <c r="AF652" i="3"/>
  <c r="AD652" i="3"/>
  <c r="AM652" i="3"/>
  <c r="AK652" i="3"/>
  <c r="V652" i="3"/>
  <c r="R652" i="3"/>
  <c r="P652" i="3"/>
  <c r="T652" i="3"/>
  <c r="AW650" i="3"/>
  <c r="AY650" i="3" s="1"/>
  <c r="AN651" i="3"/>
  <c r="AU650" i="3"/>
  <c r="AW651" i="3"/>
  <c r="AT651" i="3"/>
  <c r="AV649" i="3"/>
  <c r="BC649" i="3" s="1"/>
  <c r="BA649" i="3"/>
  <c r="AH651" i="3"/>
  <c r="AU651" i="3" s="1"/>
  <c r="BJ647" i="3"/>
  <c r="BK647" i="3" s="1"/>
  <c r="X651" i="3"/>
  <c r="AO652" i="3" l="1"/>
  <c r="AH652" i="3"/>
  <c r="BD649" i="3"/>
  <c r="BG649" i="3"/>
  <c r="BH649" i="3" s="1"/>
  <c r="BI649" i="3" s="1"/>
  <c r="AN652" i="3"/>
  <c r="AY651" i="3"/>
  <c r="AQ653" i="3"/>
  <c r="B653" i="3"/>
  <c r="A654" i="3"/>
  <c r="AR653" i="3"/>
  <c r="C653" i="3"/>
  <c r="D653" i="3"/>
  <c r="G653" i="3"/>
  <c r="H653" i="3" s="1"/>
  <c r="BN653" i="3" s="1"/>
  <c r="F653" i="3"/>
  <c r="BM653" i="3" s="1"/>
  <c r="Q653" i="3"/>
  <c r="S653" i="3"/>
  <c r="O653" i="3"/>
  <c r="U653" i="3"/>
  <c r="AM653" i="3"/>
  <c r="AF653" i="3"/>
  <c r="AD653" i="3"/>
  <c r="AE653" i="3"/>
  <c r="M653" i="3"/>
  <c r="AK653" i="3"/>
  <c r="AO653" i="3" s="1"/>
  <c r="R653" i="3"/>
  <c r="V653" i="3"/>
  <c r="T653" i="3"/>
  <c r="P653" i="3"/>
  <c r="Y652" i="3"/>
  <c r="Z652" i="3" s="1"/>
  <c r="AX652" i="3"/>
  <c r="X652" i="3"/>
  <c r="BA651" i="3"/>
  <c r="AV651" i="3"/>
  <c r="AX651" i="3"/>
  <c r="BF649" i="3"/>
  <c r="BJ648" i="3" s="1"/>
  <c r="BK648" i="3" s="1"/>
  <c r="BB649" i="3"/>
  <c r="BQ649" i="3"/>
  <c r="AG652" i="3"/>
  <c r="AW652" i="3" s="1"/>
  <c r="AV650" i="3"/>
  <c r="BC650" i="3" s="1"/>
  <c r="BA650" i="3"/>
  <c r="AY652" i="3" l="1"/>
  <c r="AG653" i="3"/>
  <c r="Y653" i="3"/>
  <c r="Z653" i="3" s="1"/>
  <c r="AT652" i="3"/>
  <c r="BF651" i="3"/>
  <c r="BQ651" i="3"/>
  <c r="BB651" i="3"/>
  <c r="D654" i="3"/>
  <c r="B654" i="3"/>
  <c r="AR654" i="3"/>
  <c r="AQ654" i="3"/>
  <c r="C654" i="3"/>
  <c r="A655" i="3"/>
  <c r="F654" i="3"/>
  <c r="BM654" i="3" s="1"/>
  <c r="G654" i="3"/>
  <c r="H654" i="3" s="1"/>
  <c r="BN654" i="3" s="1"/>
  <c r="Q654" i="3"/>
  <c r="S654" i="3"/>
  <c r="O654" i="3"/>
  <c r="U654" i="3"/>
  <c r="M654" i="3"/>
  <c r="AE654" i="3"/>
  <c r="AF654" i="3"/>
  <c r="AD654" i="3"/>
  <c r="AM654" i="3"/>
  <c r="AK654" i="3"/>
  <c r="P654" i="3"/>
  <c r="V654" i="3"/>
  <c r="R654" i="3"/>
  <c r="T654" i="3"/>
  <c r="BD650" i="3"/>
  <c r="BG650" i="3"/>
  <c r="BH650" i="3" s="1"/>
  <c r="BI650" i="3" s="1"/>
  <c r="X653" i="3"/>
  <c r="BB650" i="3"/>
  <c r="BQ650" i="3"/>
  <c r="BF650" i="3"/>
  <c r="BJ649" i="3" s="1"/>
  <c r="BK649" i="3" s="1"/>
  <c r="AH653" i="3"/>
  <c r="AN653" i="3"/>
  <c r="AU652" i="3"/>
  <c r="BC651" i="3"/>
  <c r="AO654" i="3" l="1"/>
  <c r="AH654" i="3"/>
  <c r="BJ650" i="3"/>
  <c r="BK650" i="3" s="1"/>
  <c r="Y654" i="3"/>
  <c r="Z654" i="3" s="1"/>
  <c r="BD651" i="3"/>
  <c r="BG651" i="3"/>
  <c r="BH651" i="3" s="1"/>
  <c r="BI651" i="3" s="1"/>
  <c r="AX653" i="3"/>
  <c r="AQ655" i="3"/>
  <c r="A656" i="3"/>
  <c r="AR655" i="3"/>
  <c r="B655" i="3"/>
  <c r="C655" i="3"/>
  <c r="D655" i="3"/>
  <c r="G655" i="3"/>
  <c r="H655" i="3" s="1"/>
  <c r="BN655" i="3" s="1"/>
  <c r="F655" i="3"/>
  <c r="BM655" i="3" s="1"/>
  <c r="Q655" i="3"/>
  <c r="S655" i="3"/>
  <c r="O655" i="3"/>
  <c r="U655" i="3"/>
  <c r="AF655" i="3"/>
  <c r="AE655" i="3"/>
  <c r="AD655" i="3"/>
  <c r="M655" i="3"/>
  <c r="AM655" i="3"/>
  <c r="AK655" i="3"/>
  <c r="AO655" i="3" s="1"/>
  <c r="P655" i="3"/>
  <c r="T655" i="3"/>
  <c r="R655" i="3"/>
  <c r="V655" i="3"/>
  <c r="AN654" i="3"/>
  <c r="AG654" i="3"/>
  <c r="AW653" i="3"/>
  <c r="X654" i="3"/>
  <c r="AV652" i="3"/>
  <c r="BC652" i="3" s="1"/>
  <c r="BA652" i="3"/>
  <c r="AU653" i="3"/>
  <c r="AT653" i="3"/>
  <c r="AH655" i="3" l="1"/>
  <c r="AX654" i="3"/>
  <c r="AW654" i="3"/>
  <c r="AY654" i="3" s="1"/>
  <c r="X655" i="3"/>
  <c r="AN655" i="3"/>
  <c r="AY653" i="3"/>
  <c r="AV653" i="3"/>
  <c r="BA653" i="3"/>
  <c r="AG655" i="3"/>
  <c r="AW655" i="3" s="1"/>
  <c r="AU654" i="3"/>
  <c r="Y655" i="3"/>
  <c r="Z655" i="3" s="1"/>
  <c r="A657" i="3"/>
  <c r="C656" i="3"/>
  <c r="D656" i="3"/>
  <c r="AR656" i="3"/>
  <c r="B656" i="3"/>
  <c r="AQ656" i="3"/>
  <c r="G656" i="3"/>
  <c r="H656" i="3" s="1"/>
  <c r="F656" i="3"/>
  <c r="Q656" i="3"/>
  <c r="S656" i="3"/>
  <c r="O656" i="3"/>
  <c r="U656" i="3"/>
  <c r="AF656" i="3"/>
  <c r="AE656" i="3"/>
  <c r="M656" i="3"/>
  <c r="AD656" i="3"/>
  <c r="AH656" i="3" s="1"/>
  <c r="AK656" i="3"/>
  <c r="AM656" i="3"/>
  <c r="R656" i="3"/>
  <c r="P656" i="3"/>
  <c r="T656" i="3"/>
  <c r="V656" i="3"/>
  <c r="BB652" i="3"/>
  <c r="BQ652" i="3"/>
  <c r="BF652" i="3"/>
  <c r="BJ651" i="3" s="1"/>
  <c r="BK651" i="3" s="1"/>
  <c r="BD652" i="3"/>
  <c r="BG652" i="3"/>
  <c r="BH652" i="3" s="1"/>
  <c r="BI652" i="3" s="1"/>
  <c r="AT654" i="3"/>
  <c r="AO656" i="3" l="1"/>
  <c r="AX655" i="3"/>
  <c r="AN656" i="3"/>
  <c r="AG656" i="3"/>
  <c r="AW656" i="3" s="1"/>
  <c r="X656" i="3"/>
  <c r="BC653" i="3"/>
  <c r="AV654" i="3"/>
  <c r="BC654" i="3" s="1"/>
  <c r="BA654" i="3"/>
  <c r="AY655" i="3"/>
  <c r="AT656" i="3"/>
  <c r="AX656" i="3"/>
  <c r="BQ653" i="3"/>
  <c r="BB653" i="3"/>
  <c r="BF653" i="3"/>
  <c r="BJ652" i="3" s="1"/>
  <c r="BK652" i="3" s="1"/>
  <c r="AT655" i="3"/>
  <c r="BN656" i="3"/>
  <c r="B657" i="3"/>
  <c r="C657" i="3"/>
  <c r="D657" i="3"/>
  <c r="AR657" i="3"/>
  <c r="A658" i="3"/>
  <c r="AQ657" i="3"/>
  <c r="G657" i="3"/>
  <c r="H657" i="3" s="1"/>
  <c r="BN657" i="3" s="1"/>
  <c r="F657" i="3"/>
  <c r="BM657" i="3" s="1"/>
  <c r="Q657" i="3"/>
  <c r="S657" i="3"/>
  <c r="O657" i="3"/>
  <c r="U657" i="3"/>
  <c r="AF657" i="3"/>
  <c r="AD657" i="3"/>
  <c r="AE657" i="3"/>
  <c r="AG657" i="3" s="1"/>
  <c r="M657" i="3"/>
  <c r="AK657" i="3"/>
  <c r="AM657" i="3"/>
  <c r="P657" i="3"/>
  <c r="R657" i="3"/>
  <c r="V657" i="3"/>
  <c r="T657" i="3"/>
  <c r="BM656" i="3"/>
  <c r="AU655" i="3"/>
  <c r="Y656" i="3"/>
  <c r="Z656" i="3" s="1"/>
  <c r="AU656" i="3"/>
  <c r="X657" i="3" l="1"/>
  <c r="AO657" i="3"/>
  <c r="BA655" i="3"/>
  <c r="AV655" i="3"/>
  <c r="BC655" i="3" s="1"/>
  <c r="AH657" i="3"/>
  <c r="AU657" i="3" s="1"/>
  <c r="AV656" i="3"/>
  <c r="BC656" i="3" s="1"/>
  <c r="BA656" i="3"/>
  <c r="BB654" i="3"/>
  <c r="BQ654" i="3"/>
  <c r="BF654" i="3"/>
  <c r="BJ653" i="3" s="1"/>
  <c r="BK653" i="3" s="1"/>
  <c r="BG654" i="3"/>
  <c r="BH654" i="3" s="1"/>
  <c r="BI654" i="3" s="1"/>
  <c r="BD654" i="3"/>
  <c r="AR658" i="3"/>
  <c r="B658" i="3"/>
  <c r="AQ658" i="3"/>
  <c r="A659" i="3"/>
  <c r="C658" i="3"/>
  <c r="D658" i="3"/>
  <c r="F658" i="3"/>
  <c r="G658" i="3"/>
  <c r="H658" i="3" s="1"/>
  <c r="Q658" i="3"/>
  <c r="S658" i="3"/>
  <c r="O658" i="3"/>
  <c r="U658" i="3"/>
  <c r="AD658" i="3"/>
  <c r="AF658" i="3"/>
  <c r="AE658" i="3"/>
  <c r="AG658" i="3" s="1"/>
  <c r="M658" i="3"/>
  <c r="AK658" i="3"/>
  <c r="AM658" i="3"/>
  <c r="AN658" i="3" s="1"/>
  <c r="P658" i="3"/>
  <c r="T658" i="3"/>
  <c r="R658" i="3"/>
  <c r="V658" i="3"/>
  <c r="AY656" i="3"/>
  <c r="Y657" i="3"/>
  <c r="Z657" i="3" s="1"/>
  <c r="BD653" i="3"/>
  <c r="BG653" i="3"/>
  <c r="BH653" i="3" s="1"/>
  <c r="BI653" i="3" s="1"/>
  <c r="AN657" i="3"/>
  <c r="AW657" i="3" s="1"/>
  <c r="AO658" i="3" l="1"/>
  <c r="AH658" i="3"/>
  <c r="AX658" i="3" s="1"/>
  <c r="X658" i="3"/>
  <c r="BQ656" i="3"/>
  <c r="BB656" i="3"/>
  <c r="BF656" i="3"/>
  <c r="BN658" i="3"/>
  <c r="BD655" i="3"/>
  <c r="BG655" i="3"/>
  <c r="BH655" i="3" s="1"/>
  <c r="BI655" i="3" s="1"/>
  <c r="Y658" i="3"/>
  <c r="Z658" i="3" s="1"/>
  <c r="A660" i="3"/>
  <c r="D659" i="3"/>
  <c r="C659" i="3"/>
  <c r="AQ659" i="3"/>
  <c r="AR659" i="3"/>
  <c r="B659" i="3"/>
  <c r="G659" i="3"/>
  <c r="H659" i="3" s="1"/>
  <c r="F659" i="3"/>
  <c r="Q659" i="3"/>
  <c r="S659" i="3"/>
  <c r="O659" i="3"/>
  <c r="U659" i="3"/>
  <c r="AK659" i="3"/>
  <c r="M659" i="3"/>
  <c r="AF659" i="3"/>
  <c r="AD659" i="3"/>
  <c r="AE659" i="3"/>
  <c r="AM659" i="3"/>
  <c r="AN659" i="3" s="1"/>
  <c r="R659" i="3"/>
  <c r="P659" i="3"/>
  <c r="T659" i="3"/>
  <c r="V659" i="3"/>
  <c r="BD656" i="3"/>
  <c r="BG656" i="3"/>
  <c r="BH656" i="3" s="1"/>
  <c r="BI656" i="3" s="1"/>
  <c r="AX657" i="3"/>
  <c r="AY657" i="3" s="1"/>
  <c r="AT657" i="3"/>
  <c r="BM658" i="3"/>
  <c r="BQ655" i="3"/>
  <c r="BB655" i="3"/>
  <c r="BF655" i="3"/>
  <c r="BJ654" i="3" s="1"/>
  <c r="BK654" i="3" s="1"/>
  <c r="AG659" i="3" l="1"/>
  <c r="BM659" i="3"/>
  <c r="AO659" i="3"/>
  <c r="AR660" i="3"/>
  <c r="B660" i="3"/>
  <c r="AQ660" i="3"/>
  <c r="D660" i="3"/>
  <c r="C660" i="3"/>
  <c r="A661" i="3"/>
  <c r="F660" i="3"/>
  <c r="BM660" i="3" s="1"/>
  <c r="G660" i="3"/>
  <c r="H660" i="3" s="1"/>
  <c r="BN660" i="3" s="1"/>
  <c r="Q660" i="3"/>
  <c r="S660" i="3"/>
  <c r="O660" i="3"/>
  <c r="U660" i="3"/>
  <c r="AF660" i="3"/>
  <c r="AE660" i="3"/>
  <c r="AD660" i="3"/>
  <c r="M660" i="3"/>
  <c r="AM660" i="3"/>
  <c r="AK660" i="3"/>
  <c r="R660" i="3"/>
  <c r="V660" i="3"/>
  <c r="P660" i="3"/>
  <c r="T660" i="3"/>
  <c r="X659" i="3"/>
  <c r="BA657" i="3"/>
  <c r="AV657" i="3"/>
  <c r="BC657" i="3" s="1"/>
  <c r="AW658" i="3"/>
  <c r="AY658" i="3" s="1"/>
  <c r="AT658" i="3"/>
  <c r="AH659" i="3"/>
  <c r="AT659" i="3" s="1"/>
  <c r="BJ655" i="3"/>
  <c r="BK655" i="3" s="1"/>
  <c r="BN659" i="3"/>
  <c r="Y659" i="3"/>
  <c r="Z659" i="3" s="1"/>
  <c r="AU658" i="3"/>
  <c r="X660" i="3" l="1"/>
  <c r="AG660" i="3"/>
  <c r="AO660" i="3"/>
  <c r="BD657" i="3"/>
  <c r="BG657" i="3"/>
  <c r="BH657" i="3" s="1"/>
  <c r="BI657" i="3" s="1"/>
  <c r="AW659" i="3"/>
  <c r="AX659" i="3"/>
  <c r="BB657" i="3"/>
  <c r="BF657" i="3"/>
  <c r="BJ656" i="3" s="1"/>
  <c r="BK656" i="3" s="1"/>
  <c r="BQ657" i="3"/>
  <c r="BA658" i="3"/>
  <c r="AV658" i="3"/>
  <c r="BC658" i="3" s="1"/>
  <c r="AU659" i="3"/>
  <c r="BA659" i="3" s="1"/>
  <c r="AQ661" i="3"/>
  <c r="B661" i="3"/>
  <c r="A662" i="3"/>
  <c r="AR661" i="3"/>
  <c r="C661" i="3"/>
  <c r="D661" i="3"/>
  <c r="F661" i="3"/>
  <c r="BM661" i="3" s="1"/>
  <c r="G661" i="3"/>
  <c r="H661" i="3" s="1"/>
  <c r="BN661" i="3" s="1"/>
  <c r="Q661" i="3"/>
  <c r="S661" i="3"/>
  <c r="O661" i="3"/>
  <c r="U661" i="3"/>
  <c r="AD661" i="3"/>
  <c r="AE661" i="3"/>
  <c r="AF661" i="3"/>
  <c r="M661" i="3"/>
  <c r="AM661" i="3"/>
  <c r="AK661" i="3"/>
  <c r="T661" i="3"/>
  <c r="R661" i="3"/>
  <c r="P661" i="3"/>
  <c r="V661" i="3"/>
  <c r="Y660" i="3"/>
  <c r="Z660" i="3" s="1"/>
  <c r="AN660" i="3"/>
  <c r="AH660" i="3"/>
  <c r="AX660" i="3" s="1"/>
  <c r="AW660" i="3" l="1"/>
  <c r="AY660" i="3" s="1"/>
  <c r="AH661" i="3"/>
  <c r="AY659" i="3"/>
  <c r="AN661" i="3"/>
  <c r="BQ659" i="3"/>
  <c r="BF659" i="3"/>
  <c r="BB659" i="3"/>
  <c r="BB658" i="3"/>
  <c r="BQ658" i="3"/>
  <c r="BF658" i="3"/>
  <c r="BJ657" i="3" s="1"/>
  <c r="BK657" i="3" s="1"/>
  <c r="BD658" i="3"/>
  <c r="BG658" i="3"/>
  <c r="BH658" i="3" s="1"/>
  <c r="BI658" i="3" s="1"/>
  <c r="AG661" i="3"/>
  <c r="AU661" i="3" s="1"/>
  <c r="X661" i="3"/>
  <c r="Y661" i="3"/>
  <c r="Z661" i="3" s="1"/>
  <c r="AU660" i="3"/>
  <c r="D662" i="3"/>
  <c r="AR662" i="3"/>
  <c r="B662" i="3"/>
  <c r="AQ662" i="3"/>
  <c r="C662" i="3"/>
  <c r="A663" i="3"/>
  <c r="G662" i="3"/>
  <c r="H662" i="3" s="1"/>
  <c r="BN662" i="3" s="1"/>
  <c r="F662" i="3"/>
  <c r="BM662" i="3" s="1"/>
  <c r="Q662" i="3"/>
  <c r="S662" i="3"/>
  <c r="O662" i="3"/>
  <c r="U662" i="3"/>
  <c r="AE662" i="3"/>
  <c r="M662" i="3"/>
  <c r="AF662" i="3"/>
  <c r="AD662" i="3"/>
  <c r="AM662" i="3"/>
  <c r="AK662" i="3"/>
  <c r="V662" i="3"/>
  <c r="R662" i="3"/>
  <c r="T662" i="3"/>
  <c r="P662" i="3"/>
  <c r="AV659" i="3"/>
  <c r="BC659" i="3" s="1"/>
  <c r="AT660" i="3"/>
  <c r="AO661" i="3"/>
  <c r="AH662" i="3" l="1"/>
  <c r="AT661" i="3"/>
  <c r="AO662" i="3"/>
  <c r="AV661" i="3"/>
  <c r="BD659" i="3"/>
  <c r="BG659" i="3"/>
  <c r="BH659" i="3" s="1"/>
  <c r="BI659" i="3" s="1"/>
  <c r="AX661" i="3"/>
  <c r="X662" i="3"/>
  <c r="BA660" i="3"/>
  <c r="AV660" i="3"/>
  <c r="BC660" i="3" s="1"/>
  <c r="AR663" i="3"/>
  <c r="A664" i="3"/>
  <c r="AQ663" i="3"/>
  <c r="B663" i="3"/>
  <c r="C663" i="3"/>
  <c r="D663" i="3"/>
  <c r="F663" i="3"/>
  <c r="G663" i="3"/>
  <c r="H663" i="3" s="1"/>
  <c r="Q663" i="3"/>
  <c r="S663" i="3"/>
  <c r="O663" i="3"/>
  <c r="U663" i="3"/>
  <c r="AD663" i="3"/>
  <c r="AF663" i="3"/>
  <c r="M663" i="3"/>
  <c r="AE663" i="3"/>
  <c r="AG663" i="3" s="1"/>
  <c r="AK663" i="3"/>
  <c r="AM663" i="3"/>
  <c r="T663" i="3"/>
  <c r="R663" i="3"/>
  <c r="P663" i="3"/>
  <c r="V663" i="3"/>
  <c r="BJ658" i="3"/>
  <c r="BK658" i="3" s="1"/>
  <c r="AG662" i="3"/>
  <c r="AU662" i="3" s="1"/>
  <c r="AW661" i="3"/>
  <c r="Y662" i="3"/>
  <c r="Z662" i="3" s="1"/>
  <c r="AN662" i="3"/>
  <c r="BM663" i="3" l="1"/>
  <c r="AY661" i="3"/>
  <c r="Y663" i="3"/>
  <c r="Z663" i="3" s="1"/>
  <c r="AO663" i="3"/>
  <c r="AX662" i="3"/>
  <c r="BA661" i="3"/>
  <c r="BQ661" i="3" s="1"/>
  <c r="AN663" i="3"/>
  <c r="C664" i="3"/>
  <c r="D664" i="3"/>
  <c r="A665" i="3"/>
  <c r="AR664" i="3"/>
  <c r="B664" i="3"/>
  <c r="AQ664" i="3"/>
  <c r="F664" i="3"/>
  <c r="G664" i="3"/>
  <c r="H664" i="3" s="1"/>
  <c r="Q664" i="3"/>
  <c r="S664" i="3"/>
  <c r="O664" i="3"/>
  <c r="U664" i="3"/>
  <c r="AD664" i="3"/>
  <c r="AF664" i="3"/>
  <c r="M664" i="3"/>
  <c r="AK664" i="3"/>
  <c r="AM664" i="3"/>
  <c r="AN664" i="3" s="1"/>
  <c r="AE664" i="3"/>
  <c r="AG664" i="3" s="1"/>
  <c r="P664" i="3"/>
  <c r="V664" i="3"/>
  <c r="R664" i="3"/>
  <c r="T664" i="3"/>
  <c r="AH663" i="3"/>
  <c r="BG660" i="3"/>
  <c r="BH660" i="3" s="1"/>
  <c r="BI660" i="3" s="1"/>
  <c r="BD660" i="3"/>
  <c r="BQ660" i="3"/>
  <c r="BF660" i="3"/>
  <c r="BJ659" i="3" s="1"/>
  <c r="BK659" i="3" s="1"/>
  <c r="BB660" i="3"/>
  <c r="X663" i="3"/>
  <c r="BC661" i="3"/>
  <c r="AW662" i="3"/>
  <c r="AY662" i="3" s="1"/>
  <c r="AT662" i="3"/>
  <c r="BN663" i="3"/>
  <c r="BF661" i="3" l="1"/>
  <c r="BB661" i="3"/>
  <c r="AX663" i="3"/>
  <c r="BN664" i="3"/>
  <c r="BM664" i="3"/>
  <c r="AW663" i="3"/>
  <c r="AY663" i="3" s="1"/>
  <c r="B665" i="3"/>
  <c r="C665" i="3"/>
  <c r="D665" i="3"/>
  <c r="AR665" i="3"/>
  <c r="AQ665" i="3"/>
  <c r="A666" i="3"/>
  <c r="G665" i="3"/>
  <c r="H665" i="3" s="1"/>
  <c r="BN665" i="3" s="1"/>
  <c r="F665" i="3"/>
  <c r="BM665" i="3" s="1"/>
  <c r="Q665" i="3"/>
  <c r="S665" i="3"/>
  <c r="O665" i="3"/>
  <c r="U665" i="3"/>
  <c r="M665" i="3"/>
  <c r="AE665" i="3"/>
  <c r="AF665" i="3"/>
  <c r="AD665" i="3"/>
  <c r="AK665" i="3"/>
  <c r="AM665" i="3"/>
  <c r="P665" i="3"/>
  <c r="V665" i="3"/>
  <c r="R665" i="3"/>
  <c r="T665" i="3"/>
  <c r="AU663" i="3"/>
  <c r="BJ660" i="3"/>
  <c r="BK660" i="3" s="1"/>
  <c r="Y664" i="3"/>
  <c r="Z664" i="3" s="1"/>
  <c r="BA662" i="3"/>
  <c r="AV662" i="3"/>
  <c r="BC662" i="3" s="1"/>
  <c r="AT663" i="3"/>
  <c r="AH664" i="3"/>
  <c r="AO664" i="3"/>
  <c r="BD661" i="3"/>
  <c r="BG661" i="3"/>
  <c r="BH661" i="3" s="1"/>
  <c r="BI661" i="3" s="1"/>
  <c r="X664" i="3"/>
  <c r="AN665" i="3" l="1"/>
  <c r="AX664" i="3"/>
  <c r="AU664" i="3"/>
  <c r="AV663" i="3"/>
  <c r="BC663" i="3" s="1"/>
  <c r="BA663" i="3"/>
  <c r="AG665" i="3"/>
  <c r="BG662" i="3"/>
  <c r="BH662" i="3" s="1"/>
  <c r="BI662" i="3" s="1"/>
  <c r="BD662" i="3"/>
  <c r="Y665" i="3"/>
  <c r="Z665" i="3" s="1"/>
  <c r="AO665" i="3"/>
  <c r="X665" i="3"/>
  <c r="BQ662" i="3"/>
  <c r="BB662" i="3"/>
  <c r="BF662" i="3"/>
  <c r="BJ661" i="3" s="1"/>
  <c r="BK661" i="3" s="1"/>
  <c r="AR666" i="3"/>
  <c r="AQ666" i="3"/>
  <c r="B666" i="3"/>
  <c r="A667" i="3"/>
  <c r="C666" i="3"/>
  <c r="D666" i="3"/>
  <c r="F666" i="3"/>
  <c r="BM666" i="3" s="1"/>
  <c r="G666" i="3"/>
  <c r="H666" i="3" s="1"/>
  <c r="BN666" i="3" s="1"/>
  <c r="Q666" i="3"/>
  <c r="S666" i="3"/>
  <c r="O666" i="3"/>
  <c r="U666" i="3"/>
  <c r="AM666" i="3"/>
  <c r="AD666" i="3"/>
  <c r="M666" i="3"/>
  <c r="AE666" i="3"/>
  <c r="AF666" i="3"/>
  <c r="AK666" i="3"/>
  <c r="V666" i="3"/>
  <c r="P666" i="3"/>
  <c r="T666" i="3"/>
  <c r="R666" i="3"/>
  <c r="AW664" i="3"/>
  <c r="AY664" i="3" s="1"/>
  <c r="AH665" i="3"/>
  <c r="AT664" i="3"/>
  <c r="AU665" i="3" l="1"/>
  <c r="AT665" i="3"/>
  <c r="AN666" i="3"/>
  <c r="AH666" i="3"/>
  <c r="BA664" i="3"/>
  <c r="AV664" i="3"/>
  <c r="BC664" i="3" s="1"/>
  <c r="AG666" i="3"/>
  <c r="AT666" i="3" s="1"/>
  <c r="X666" i="3"/>
  <c r="AV665" i="3"/>
  <c r="AW665" i="3"/>
  <c r="BA665" i="3" s="1"/>
  <c r="C667" i="3"/>
  <c r="AR667" i="3"/>
  <c r="B667" i="3"/>
  <c r="A668" i="3"/>
  <c r="AQ667" i="3"/>
  <c r="D667" i="3"/>
  <c r="F667" i="3"/>
  <c r="BM667" i="3" s="1"/>
  <c r="G667" i="3"/>
  <c r="H667" i="3" s="1"/>
  <c r="S667" i="3"/>
  <c r="Q667" i="3"/>
  <c r="O667" i="3"/>
  <c r="U667" i="3"/>
  <c r="AF667" i="3"/>
  <c r="AE667" i="3"/>
  <c r="M667" i="3"/>
  <c r="AD667" i="3"/>
  <c r="AH667" i="3" s="1"/>
  <c r="AK667" i="3"/>
  <c r="AM667" i="3"/>
  <c r="T667" i="3"/>
  <c r="R667" i="3"/>
  <c r="P667" i="3"/>
  <c r="V667" i="3"/>
  <c r="Y666" i="3"/>
  <c r="Z666" i="3" s="1"/>
  <c r="BD663" i="3"/>
  <c r="BG663" i="3"/>
  <c r="BH663" i="3" s="1"/>
  <c r="BI663" i="3" s="1"/>
  <c r="AX665" i="3"/>
  <c r="BQ663" i="3"/>
  <c r="BF663" i="3"/>
  <c r="BJ662" i="3" s="1"/>
  <c r="BK662" i="3" s="1"/>
  <c r="BB663" i="3"/>
  <c r="AO666" i="3"/>
  <c r="AU666" i="3"/>
  <c r="Y667" i="3" l="1"/>
  <c r="Z667" i="3" s="1"/>
  <c r="AO667" i="3"/>
  <c r="BF665" i="3"/>
  <c r="BQ665" i="3"/>
  <c r="BB665" i="3"/>
  <c r="AG667" i="3"/>
  <c r="AT667" i="3" s="1"/>
  <c r="AN667" i="3"/>
  <c r="AX667" i="3" s="1"/>
  <c r="AV666" i="3"/>
  <c r="AY665" i="3"/>
  <c r="BC665" i="3" s="1"/>
  <c r="BF664" i="3"/>
  <c r="BJ663" i="3" s="1"/>
  <c r="BK663" i="3" s="1"/>
  <c r="BQ664" i="3"/>
  <c r="BB664" i="3"/>
  <c r="AR668" i="3"/>
  <c r="B668" i="3"/>
  <c r="AQ668" i="3"/>
  <c r="C668" i="3"/>
  <c r="D668" i="3"/>
  <c r="A669" i="3"/>
  <c r="G668" i="3"/>
  <c r="H668" i="3" s="1"/>
  <c r="BN668" i="3" s="1"/>
  <c r="F668" i="3"/>
  <c r="Q668" i="3"/>
  <c r="S668" i="3"/>
  <c r="O668" i="3"/>
  <c r="U668" i="3"/>
  <c r="AE668" i="3"/>
  <c r="AD668" i="3"/>
  <c r="M668" i="3"/>
  <c r="AF668" i="3"/>
  <c r="AM668" i="3"/>
  <c r="AK668" i="3"/>
  <c r="P668" i="3"/>
  <c r="R668" i="3"/>
  <c r="V668" i="3"/>
  <c r="T668" i="3"/>
  <c r="X667" i="3"/>
  <c r="AW666" i="3"/>
  <c r="BD664" i="3"/>
  <c r="BG664" i="3"/>
  <c r="BH664" i="3" s="1"/>
  <c r="BI664" i="3" s="1"/>
  <c r="BN667" i="3"/>
  <c r="AX666" i="3"/>
  <c r="AY666" i="3" s="1"/>
  <c r="AO668" i="3" l="1"/>
  <c r="BM668" i="3"/>
  <c r="AN668" i="3"/>
  <c r="AG668" i="3"/>
  <c r="BA666" i="3"/>
  <c r="BD665" i="3"/>
  <c r="BG665" i="3"/>
  <c r="BH665" i="3" s="1"/>
  <c r="BI665" i="3" s="1"/>
  <c r="BQ666" i="3"/>
  <c r="BB666" i="3"/>
  <c r="BF666" i="3"/>
  <c r="BJ665" i="3" s="1"/>
  <c r="BK665" i="3" s="1"/>
  <c r="X668" i="3"/>
  <c r="Y668" i="3"/>
  <c r="Z668" i="3" s="1"/>
  <c r="BC666" i="3"/>
  <c r="AW667" i="3"/>
  <c r="AY667" i="3" s="1"/>
  <c r="AH668" i="3"/>
  <c r="AX668" i="3" s="1"/>
  <c r="AU667" i="3"/>
  <c r="AQ669" i="3"/>
  <c r="B669" i="3"/>
  <c r="A670" i="3"/>
  <c r="AR669" i="3"/>
  <c r="D669" i="3"/>
  <c r="C669" i="3"/>
  <c r="G669" i="3"/>
  <c r="H669" i="3" s="1"/>
  <c r="BN669" i="3" s="1"/>
  <c r="F669" i="3"/>
  <c r="BM669" i="3" s="1"/>
  <c r="Q669" i="3"/>
  <c r="S669" i="3"/>
  <c r="O669" i="3"/>
  <c r="U669" i="3"/>
  <c r="AD669" i="3"/>
  <c r="M669" i="3"/>
  <c r="AF669" i="3"/>
  <c r="AK669" i="3"/>
  <c r="AM669" i="3"/>
  <c r="AE669" i="3"/>
  <c r="P669" i="3"/>
  <c r="V669" i="3"/>
  <c r="R669" i="3"/>
  <c r="T669" i="3"/>
  <c r="BJ664" i="3"/>
  <c r="BK664" i="3" s="1"/>
  <c r="BA667" i="3" l="1"/>
  <c r="AO669" i="3"/>
  <c r="BQ667" i="3"/>
  <c r="BB667" i="3"/>
  <c r="BF667" i="3"/>
  <c r="BJ666" i="3" s="1"/>
  <c r="BK666" i="3" s="1"/>
  <c r="BD666" i="3"/>
  <c r="BG666" i="3"/>
  <c r="BH666" i="3" s="1"/>
  <c r="BI666" i="3" s="1"/>
  <c r="AN669" i="3"/>
  <c r="AH669" i="3"/>
  <c r="AT669" i="3" s="1"/>
  <c r="AV667" i="3"/>
  <c r="BC667" i="3" s="1"/>
  <c r="X669" i="3"/>
  <c r="AW668" i="3"/>
  <c r="AY668" i="3" s="1"/>
  <c r="AT668" i="3"/>
  <c r="AU668" i="3"/>
  <c r="Y669" i="3"/>
  <c r="Z669" i="3" s="1"/>
  <c r="C670" i="3"/>
  <c r="B670" i="3"/>
  <c r="AR670" i="3"/>
  <c r="AQ670" i="3"/>
  <c r="D670" i="3"/>
  <c r="A671" i="3"/>
  <c r="F670" i="3"/>
  <c r="BM670" i="3" s="1"/>
  <c r="G670" i="3"/>
  <c r="H670" i="3" s="1"/>
  <c r="BN670" i="3" s="1"/>
  <c r="Q670" i="3"/>
  <c r="S670" i="3"/>
  <c r="O670" i="3"/>
  <c r="U670" i="3"/>
  <c r="M670" i="3"/>
  <c r="AE670" i="3"/>
  <c r="AF670" i="3"/>
  <c r="AD670" i="3"/>
  <c r="AK670" i="3"/>
  <c r="AM670" i="3"/>
  <c r="P670" i="3"/>
  <c r="R670" i="3"/>
  <c r="T670" i="3"/>
  <c r="V670" i="3"/>
  <c r="AG669" i="3"/>
  <c r="AU669" i="3" l="1"/>
  <c r="AN670" i="3"/>
  <c r="AG670" i="3"/>
  <c r="AW669" i="3"/>
  <c r="BA668" i="3"/>
  <c r="AV668" i="3"/>
  <c r="BC668" i="3" s="1"/>
  <c r="AH670" i="3"/>
  <c r="AT670" i="3" s="1"/>
  <c r="B671" i="3"/>
  <c r="A672" i="3"/>
  <c r="AR671" i="3"/>
  <c r="AQ671" i="3"/>
  <c r="C671" i="3"/>
  <c r="D671" i="3"/>
  <c r="F671" i="3"/>
  <c r="BM671" i="3" s="1"/>
  <c r="G671" i="3"/>
  <c r="H671" i="3" s="1"/>
  <c r="BN671" i="3" s="1"/>
  <c r="S671" i="3"/>
  <c r="Q671" i="3"/>
  <c r="O671" i="3"/>
  <c r="U671" i="3"/>
  <c r="AF671" i="3"/>
  <c r="AD671" i="3"/>
  <c r="M671" i="3"/>
  <c r="AE671" i="3"/>
  <c r="AG671" i="3" s="1"/>
  <c r="AK671" i="3"/>
  <c r="AM671" i="3"/>
  <c r="P671" i="3"/>
  <c r="V671" i="3"/>
  <c r="R671" i="3"/>
  <c r="T671" i="3"/>
  <c r="AV669" i="3"/>
  <c r="X670" i="3"/>
  <c r="AX669" i="3"/>
  <c r="AY669" i="3" s="1"/>
  <c r="BD667" i="3"/>
  <c r="BG667" i="3"/>
  <c r="BH667" i="3" s="1"/>
  <c r="BI667" i="3" s="1"/>
  <c r="Y670" i="3"/>
  <c r="Z670" i="3" s="1"/>
  <c r="AO670" i="3"/>
  <c r="AU670" i="3" l="1"/>
  <c r="AN671" i="3"/>
  <c r="BA669" i="3"/>
  <c r="BC669" i="3"/>
  <c r="Y671" i="3"/>
  <c r="Z671" i="3" s="1"/>
  <c r="AO671" i="3"/>
  <c r="AH671" i="3"/>
  <c r="AU671" i="3"/>
  <c r="A673" i="3"/>
  <c r="AR672" i="3"/>
  <c r="C672" i="3"/>
  <c r="B672" i="3"/>
  <c r="AQ672" i="3"/>
  <c r="D672" i="3"/>
  <c r="F672" i="3"/>
  <c r="BM672" i="3" s="1"/>
  <c r="G672" i="3"/>
  <c r="H672" i="3" s="1"/>
  <c r="BN672" i="3" s="1"/>
  <c r="Q672" i="3"/>
  <c r="S672" i="3"/>
  <c r="O672" i="3"/>
  <c r="U672" i="3"/>
  <c r="AD672" i="3"/>
  <c r="AF672" i="3"/>
  <c r="AE672" i="3"/>
  <c r="AG672" i="3" s="1"/>
  <c r="AK672" i="3"/>
  <c r="M672" i="3"/>
  <c r="AM672" i="3"/>
  <c r="V672" i="3"/>
  <c r="P672" i="3"/>
  <c r="R672" i="3"/>
  <c r="T672" i="3"/>
  <c r="BQ668" i="3"/>
  <c r="BF668" i="3"/>
  <c r="BJ667" i="3" s="1"/>
  <c r="BK667" i="3" s="1"/>
  <c r="BB668" i="3"/>
  <c r="AV670" i="3"/>
  <c r="AX670" i="3"/>
  <c r="BD668" i="3"/>
  <c r="BG668" i="3"/>
  <c r="BH668" i="3" s="1"/>
  <c r="BI668" i="3" s="1"/>
  <c r="X671" i="3"/>
  <c r="AW670" i="3"/>
  <c r="BA670" i="3" s="1"/>
  <c r="AN672" i="3" l="1"/>
  <c r="BQ670" i="3"/>
  <c r="BF670" i="3"/>
  <c r="BB670" i="3"/>
  <c r="Y672" i="3"/>
  <c r="Z672" i="3" s="1"/>
  <c r="AW671" i="3"/>
  <c r="AX671" i="3"/>
  <c r="AH672" i="3"/>
  <c r="AX672" i="3" s="1"/>
  <c r="X672" i="3"/>
  <c r="BD669" i="3"/>
  <c r="BG669" i="3"/>
  <c r="BH669" i="3" s="1"/>
  <c r="BI669" i="3" s="1"/>
  <c r="AT672" i="3"/>
  <c r="B673" i="3"/>
  <c r="C673" i="3"/>
  <c r="D673" i="3"/>
  <c r="AR673" i="3"/>
  <c r="A674" i="3"/>
  <c r="AQ673" i="3"/>
  <c r="F673" i="3"/>
  <c r="G673" i="3"/>
  <c r="H673" i="3" s="1"/>
  <c r="Q673" i="3"/>
  <c r="S673" i="3"/>
  <c r="O673" i="3"/>
  <c r="U673" i="3"/>
  <c r="AF673" i="3"/>
  <c r="AD673" i="3"/>
  <c r="M673" i="3"/>
  <c r="AE673" i="3"/>
  <c r="AK673" i="3"/>
  <c r="AM673" i="3"/>
  <c r="AN673" i="3" s="1"/>
  <c r="R673" i="3"/>
  <c r="V673" i="3"/>
  <c r="T673" i="3"/>
  <c r="P673" i="3"/>
  <c r="AO672" i="3"/>
  <c r="AY670" i="3"/>
  <c r="BC670" i="3" s="1"/>
  <c r="AT671" i="3"/>
  <c r="BB669" i="3"/>
  <c r="BF669" i="3"/>
  <c r="BJ668" i="3" s="1"/>
  <c r="BK668" i="3" s="1"/>
  <c r="BQ669" i="3"/>
  <c r="BN673" i="3" l="1"/>
  <c r="AY671" i="3"/>
  <c r="AG673" i="3"/>
  <c r="AH673" i="3"/>
  <c r="BA671" i="3"/>
  <c r="AV671" i="3"/>
  <c r="BC671" i="3" s="1"/>
  <c r="AW672" i="3"/>
  <c r="AY672" i="3" s="1"/>
  <c r="BM673" i="3"/>
  <c r="AU673" i="3"/>
  <c r="AT673" i="3"/>
  <c r="BJ669" i="3"/>
  <c r="BK669" i="3" s="1"/>
  <c r="AO673" i="3"/>
  <c r="X673" i="3"/>
  <c r="AU672" i="3"/>
  <c r="BA672" i="3" s="1"/>
  <c r="BG670" i="3"/>
  <c r="BH670" i="3" s="1"/>
  <c r="BI670" i="3" s="1"/>
  <c r="BD670" i="3"/>
  <c r="AR674" i="3"/>
  <c r="B674" i="3"/>
  <c r="AQ674" i="3"/>
  <c r="D674" i="3"/>
  <c r="A675" i="3"/>
  <c r="C674" i="3"/>
  <c r="G674" i="3"/>
  <c r="H674" i="3" s="1"/>
  <c r="BN674" i="3" s="1"/>
  <c r="F674" i="3"/>
  <c r="BM674" i="3" s="1"/>
  <c r="Q674" i="3"/>
  <c r="S674" i="3"/>
  <c r="O674" i="3"/>
  <c r="U674" i="3"/>
  <c r="AD674" i="3"/>
  <c r="M674" i="3"/>
  <c r="AE674" i="3"/>
  <c r="AF674" i="3"/>
  <c r="AM674" i="3"/>
  <c r="AK674" i="3"/>
  <c r="P674" i="3"/>
  <c r="R674" i="3"/>
  <c r="V674" i="3"/>
  <c r="T674" i="3"/>
  <c r="Y673" i="3"/>
  <c r="Z673" i="3" s="1"/>
  <c r="AO674" i="3" l="1"/>
  <c r="AG674" i="3"/>
  <c r="BB672" i="3"/>
  <c r="BQ672" i="3"/>
  <c r="BF672" i="3"/>
  <c r="AV673" i="3"/>
  <c r="AH674" i="3"/>
  <c r="AU674" i="3" s="1"/>
  <c r="X674" i="3"/>
  <c r="Y674" i="3"/>
  <c r="Z674" i="3" s="1"/>
  <c r="B675" i="3"/>
  <c r="D675" i="3"/>
  <c r="AR675" i="3"/>
  <c r="A676" i="3"/>
  <c r="AQ675" i="3"/>
  <c r="C675" i="3"/>
  <c r="F675" i="3"/>
  <c r="BM675" i="3" s="1"/>
  <c r="G675" i="3"/>
  <c r="H675" i="3" s="1"/>
  <c r="Q675" i="3"/>
  <c r="S675" i="3"/>
  <c r="O675" i="3"/>
  <c r="U675" i="3"/>
  <c r="AE675" i="3"/>
  <c r="M675" i="3"/>
  <c r="AF675" i="3"/>
  <c r="AD675" i="3"/>
  <c r="AK675" i="3"/>
  <c r="AM675" i="3"/>
  <c r="T675" i="3"/>
  <c r="V675" i="3"/>
  <c r="P675" i="3"/>
  <c r="R675" i="3"/>
  <c r="BF671" i="3"/>
  <c r="BJ670" i="3" s="1"/>
  <c r="BK670" i="3" s="1"/>
  <c r="BQ671" i="3"/>
  <c r="BB671" i="3"/>
  <c r="AV672" i="3"/>
  <c r="BC672" i="3" s="1"/>
  <c r="BD671" i="3"/>
  <c r="BG671" i="3"/>
  <c r="BH671" i="3" s="1"/>
  <c r="BI671" i="3" s="1"/>
  <c r="AN674" i="3"/>
  <c r="AX673" i="3"/>
  <c r="AW673" i="3"/>
  <c r="AN675" i="3" l="1"/>
  <c r="AY673" i="3"/>
  <c r="AH675" i="3"/>
  <c r="BJ671" i="3"/>
  <c r="BK671" i="3" s="1"/>
  <c r="Y675" i="3"/>
  <c r="Z675" i="3" s="1"/>
  <c r="AR676" i="3"/>
  <c r="B676" i="3"/>
  <c r="D676" i="3"/>
  <c r="C676" i="3"/>
  <c r="AQ676" i="3"/>
  <c r="G676" i="3"/>
  <c r="H676" i="3" s="1"/>
  <c r="BN676" i="3" s="1"/>
  <c r="F676" i="3"/>
  <c r="BM676" i="3" s="1"/>
  <c r="Q676" i="3"/>
  <c r="S676" i="3"/>
  <c r="O676" i="3"/>
  <c r="U676" i="3"/>
  <c r="M676" i="3"/>
  <c r="AF676" i="3"/>
  <c r="AD676" i="3"/>
  <c r="AE676" i="3"/>
  <c r="AM676" i="3"/>
  <c r="AK676" i="3"/>
  <c r="V676" i="3"/>
  <c r="P676" i="3"/>
  <c r="R676" i="3"/>
  <c r="T676" i="3"/>
  <c r="AX674" i="3"/>
  <c r="X675" i="3"/>
  <c r="AT674" i="3"/>
  <c r="AW674" i="3"/>
  <c r="BC673" i="3"/>
  <c r="AO675" i="3"/>
  <c r="AG675" i="3"/>
  <c r="AU675" i="3" s="1"/>
  <c r="BD672" i="3"/>
  <c r="BG672" i="3"/>
  <c r="BH672" i="3" s="1"/>
  <c r="BI672" i="3" s="1"/>
  <c r="BA673" i="3"/>
  <c r="BN675" i="3"/>
  <c r="AO676" i="3" l="1"/>
  <c r="AX675" i="3"/>
  <c r="AY674" i="3"/>
  <c r="Y676" i="3"/>
  <c r="Z676" i="3" s="1"/>
  <c r="BD673" i="3"/>
  <c r="BG673" i="3"/>
  <c r="BH673" i="3" s="1"/>
  <c r="BI673" i="3" s="1"/>
  <c r="X676" i="3"/>
  <c r="BB673" i="3"/>
  <c r="BQ673" i="3"/>
  <c r="BF673" i="3"/>
  <c r="BJ672" i="3" s="1"/>
  <c r="BK672" i="3" s="1"/>
  <c r="AG676" i="3"/>
  <c r="BA674" i="3"/>
  <c r="AV674" i="3"/>
  <c r="BC674" i="3" s="1"/>
  <c r="AN676" i="3"/>
  <c r="AW675" i="3"/>
  <c r="AH676" i="3"/>
  <c r="AT675" i="3"/>
  <c r="AU676" i="3" l="1"/>
  <c r="AT676" i="3"/>
  <c r="AY675" i="3"/>
  <c r="BQ674" i="3"/>
  <c r="BF674" i="3"/>
  <c r="BJ673" i="3" s="1"/>
  <c r="BK673" i="3" s="1"/>
  <c r="BB674" i="3"/>
  <c r="AW676" i="3"/>
  <c r="AX676" i="3"/>
  <c r="AV676" i="3"/>
  <c r="BD674" i="3"/>
  <c r="BG674" i="3"/>
  <c r="BH674" i="3" s="1"/>
  <c r="BI674" i="3" s="1"/>
  <c r="AV675" i="3"/>
  <c r="BC675" i="3" s="1"/>
  <c r="BA675" i="3"/>
  <c r="BA676" i="3" l="1"/>
  <c r="BB676" i="3" s="1"/>
  <c r="BB675" i="3"/>
  <c r="BF675" i="3"/>
  <c r="BJ674" i="3" s="1"/>
  <c r="BK674" i="3" s="1"/>
  <c r="BQ675" i="3"/>
  <c r="BD675" i="3"/>
  <c r="BG675" i="3"/>
  <c r="BH675" i="3" s="1"/>
  <c r="BI675" i="3" s="1"/>
  <c r="AY676" i="3"/>
  <c r="BC676" i="3" s="1"/>
  <c r="BQ676" i="3" l="1"/>
  <c r="BF676" i="3"/>
  <c r="BD676" i="3"/>
  <c r="BG676" i="3"/>
  <c r="BH676" i="3" s="1"/>
  <c r="BI676" i="3" s="1"/>
  <c r="BJ676" i="3"/>
  <c r="BK676" i="3" s="1"/>
  <c r="BJ675" i="3"/>
  <c r="BK67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B1, March 2025,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B1, Timothy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(LM@5145), 75V (LM5145) or 100V (LM5146)</t>
        </r>
        <r>
          <rPr>
            <sz val="9"/>
            <color indexed="81"/>
            <rFont val="Tahoma"/>
            <family val="2"/>
          </rPr>
          <t xml:space="preserve">
-The input voltage is below </t>
        </r>
        <r>
          <rPr>
            <b/>
            <sz val="9"/>
            <color indexed="10"/>
            <rFont val="Tahoma"/>
            <family val="2"/>
          </rPr>
          <t xml:space="preserve">5.5V (LM5146) or 6V (LM25145, LM5145)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1"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2"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107"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8"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<sst xmlns="http://schemas.openxmlformats.org/spreadsheetml/2006/main" count="1372" uniqueCount="772">
  <si>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</si>
  <si>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</si>
  <si>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</si>
  <si>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</si>
  <si>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</si>
  <si>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</si>
  <si>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</si>
  <si>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</si>
  <si>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</si>
  <si>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</si>
  <si>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</si>
  <si>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</si>
  <si>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</si>
  <si>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</si>
  <si>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</si>
  <si>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</si>
  <si>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</si>
  <si>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</si>
  <si>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</si>
  <si>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</si>
  <si>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</si>
  <si>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</si>
  <si>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</si>
  <si>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</si>
  <si>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</si>
  <si>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</si>
  <si>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</si>
  <si>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</si>
  <si>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</si>
  <si>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</si>
  <si>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</si>
  <si>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</si>
  <si>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</si>
  <si>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</si>
  <si>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</si>
  <si>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</si>
  <si>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</si>
  <si>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</si>
  <si>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</si>
  <si>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</si>
  <si>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</si>
  <si>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</si>
  <si>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</si>
  <si>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</si>
  <si>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</si>
  <si>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</si>
  <si>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</si>
  <si>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</si>
  <si>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</si>
  <si>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</si>
  <si>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</si>
  <si>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</si>
  <si>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</si>
  <si>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</si>
  <si>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</si>
  <si>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</si>
  <si>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</si>
  <si>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</si>
  <si>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</si>
  <si>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</si>
  <si>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</si>
  <si>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</si>
  <si>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</si>
  <si>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</si>
  <si>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</si>
  <si>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</si>
  <si>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</si>
  <si>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</si>
  <si>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</si>
  <si>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</si>
  <si>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</si>
  <si>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</si>
  <si>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</si>
  <si>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</si>
  <si>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</si>
  <si>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</si>
  <si>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</si>
  <si>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</si>
  <si>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</si>
  <si>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</si>
  <si>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</si>
  <si>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</si>
  <si>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</si>
  <si>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</si>
  <si>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</si>
  <si>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</si>
  <si>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</si>
  <si>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</si>
  <si>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</si>
  <si>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</si>
  <si>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</si>
  <si>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</si>
  <si>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</si>
  <si>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</si>
  <si>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</si>
  <si>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</si>
  <si>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</si>
  <si>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</si>
  <si>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</si>
  <si>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</si>
  <si>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</si>
  <si>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</si>
  <si>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</si>
  <si>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</si>
  <si>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</si>
  <si>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</si>
  <si>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</si>
  <si>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</si>
  <si>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</si>
  <si>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</si>
  <si>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</si>
  <si>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</si>
  <si>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</si>
  <si>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</si>
  <si>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</si>
  <si>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</si>
  <si>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</si>
  <si>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</si>
  <si>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</si>
  <si>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</si>
  <si>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</si>
  <si>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</si>
  <si>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</si>
  <si>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</si>
  <si>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</si>
  <si>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</si>
  <si>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</si>
  <si>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</si>
  <si>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</si>
  <si>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</si>
  <si>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</si>
  <si>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</si>
  <si>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</si>
  <si>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</si>
  <si>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</si>
  <si>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</si>
  <si>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</si>
  <si>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</si>
  <si>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</si>
  <si>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</si>
  <si>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</si>
  <si>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</si>
  <si>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</si>
  <si>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</si>
  <si>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</si>
  <si>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</si>
  <si>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</si>
  <si>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</si>
  <si>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</si>
  <si>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</si>
  <si>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</si>
  <si>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</si>
  <si>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</si>
  <si>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</si>
  <si>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</si>
  <si>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</si>
  <si>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</si>
  <si>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</si>
  <si>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</si>
  <si>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</si>
  <si>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</si>
  <si>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</si>
  <si>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</si>
  <si>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</si>
  <si>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</si>
  <si>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</si>
  <si>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</si>
  <si>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</si>
  <si>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</si>
  <si>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</si>
  <si>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</si>
  <si>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</si>
  <si>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</si>
  <si>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</si>
  <si>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</si>
  <si>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</si>
  <si>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</si>
  <si>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</si>
  <si>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</si>
  <si>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</si>
  <si>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</si>
  <si>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</si>
  <si>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</si>
  <si>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</si>
  <si>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</si>
  <si>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</si>
  <si>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</si>
  <si>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</si>
  <si>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</si>
  <si>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</si>
  <si>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</si>
  <si>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</si>
  <si>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</si>
  <si>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</si>
  <si>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</si>
  <si>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</si>
  <si>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</si>
  <si>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</si>
  <si>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</si>
  <si>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</si>
  <si>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</si>
  <si>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</si>
  <si>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</si>
  <si>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</si>
  <si>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</si>
  <si>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</si>
  <si>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</si>
  <si>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</si>
  <si>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</si>
  <si>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</si>
  <si>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</si>
  <si>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</si>
  <si>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</si>
  <si>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</si>
  <si>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</si>
  <si>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</si>
  <si>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</si>
  <si>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</si>
  <si>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</si>
  <si>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</si>
  <si>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</si>
  <si>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</si>
  <si>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</si>
  <si>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</si>
  <si>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</si>
  <si>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</si>
  <si>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</si>
  <si>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</si>
  <si>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</si>
  <si>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</si>
  <si>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</si>
  <si>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</si>
  <si>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</si>
  <si>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</si>
  <si>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</si>
  <si>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</si>
  <si>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</si>
  <si>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</si>
  <si>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</si>
  <si>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</si>
  <si>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</si>
  <si>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</si>
  <si>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</si>
  <si>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</si>
  <si>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</si>
  <si>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</si>
  <si>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</si>
  <si>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</si>
  <si>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</si>
  <si>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</si>
  <si>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</si>
  <si>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</si>
  <si>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</si>
  <si>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</si>
  <si>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</si>
  <si>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</si>
  <si>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</si>
  <si>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</si>
  <si>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</si>
  <si>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</si>
  <si>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</si>
  <si>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</si>
  <si>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</si>
  <si>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</si>
  <si>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</si>
  <si>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</si>
  <si>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</si>
  <si>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</si>
  <si>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</si>
  <si>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</si>
  <si>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</si>
  <si>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</si>
  <si>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</si>
  <si>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</si>
  <si>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</si>
  <si>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</si>
  <si>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</si>
  <si>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</si>
  <si>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</si>
  <si>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</si>
  <si>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</si>
  <si>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</si>
  <si>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</si>
  <si>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</si>
  <si>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</si>
  <si>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</si>
  <si>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</si>
  <si>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</si>
  <si>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</si>
  <si>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</si>
  <si>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</si>
  <si>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</si>
  <si>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</si>
  <si>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</si>
  <si>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</si>
  <si>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</si>
  <si>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</si>
  <si>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</si>
  <si>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</si>
  <si>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</si>
  <si>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</si>
  <si>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</si>
  <si>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</si>
  <si>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</si>
  <si>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</si>
  <si>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</si>
  <si>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</si>
  <si>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</si>
  <si>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</si>
  <si>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</si>
  <si>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</si>
  <si>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</si>
  <si>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</si>
  <si>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</si>
  <si>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</si>
  <si>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</si>
  <si>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</si>
  <si>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</si>
  <si>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</si>
  <si>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</si>
  <si>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</si>
  <si>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</si>
  <si>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</si>
  <si>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</si>
  <si>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</si>
  <si>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</si>
  <si>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</si>
  <si>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</si>
  <si>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</si>
  <si>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</si>
  <si>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</si>
  <si>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</si>
  <si>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</si>
  <si>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</si>
  <si>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</si>
  <si>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</si>
  <si>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</si>
  <si>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</si>
  <si>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</si>
  <si>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</si>
  <si>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</si>
  <si>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</si>
  <si>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</si>
  <si>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</si>
  <si>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</si>
  <si>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</si>
  <si>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</si>
  <si>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</si>
  <si>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</si>
  <si>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</si>
  <si>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</si>
  <si>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</si>
  <si>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</si>
  <si>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</si>
  <si>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</si>
  <si>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</si>
  <si>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</si>
  <si>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</si>
  <si>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</si>
  <si>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</si>
  <si>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</si>
  <si>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</si>
  <si>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</si>
  <si>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</si>
  <si>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</si>
  <si>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</si>
  <si>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</si>
  <si>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</si>
  <si>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</si>
  <si>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</si>
  <si>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</si>
  <si>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</si>
  <si>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</si>
  <si>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</si>
  <si>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</si>
  <si>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</si>
  <si>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</si>
  <si>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</si>
  <si>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</si>
  <si>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</si>
  <si>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</si>
  <si>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</si>
  <si>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</si>
  <si>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</si>
  <si>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</si>
  <si>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</si>
  <si>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</si>
  <si>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</si>
  <si>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</si>
  <si>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</si>
  <si>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</si>
  <si>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</si>
  <si>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</si>
  <si>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</si>
  <si>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</si>
  <si>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</si>
  <si>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</si>
  <si>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</si>
  <si>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</si>
  <si>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</si>
  <si>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</si>
  <si>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</si>
  <si>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</si>
  <si>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</si>
  <si>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</si>
  <si>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</si>
  <si>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</si>
  <si>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</si>
  <si>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</si>
  <si>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</si>
  <si>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</si>
  <si>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</si>
  <si>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</si>
  <si>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</si>
  <si>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</si>
  <si>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</si>
  <si>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</si>
  <si>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</si>
  <si>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</si>
  <si>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</si>
  <si>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</si>
  <si>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</si>
  <si>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</si>
  <si>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</si>
  <si>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</si>
  <si>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</si>
  <si>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</si>
  <si>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</si>
  <si>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</si>
  <si>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</si>
  <si>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</si>
  <si>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</si>
  <si>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</si>
  <si>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</si>
  <si>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</si>
  <si>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</si>
  <si>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</si>
  <si>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</si>
  <si>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</si>
  <si>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</si>
  <si>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</si>
  <si>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</si>
  <si>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</si>
  <si>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</si>
  <si>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</si>
  <si>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</si>
  <si>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</si>
  <si>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</si>
  <si>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</si>
  <si>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</si>
  <si>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</si>
  <si>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</si>
  <si>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</si>
  <si>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</si>
  <si>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</si>
  <si>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</si>
  <si>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</si>
  <si>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</si>
  <si>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</si>
  <si>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</si>
  <si>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</si>
  <si>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</si>
  <si>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</si>
  <si>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</si>
  <si>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</si>
  <si>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</si>
  <si>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</si>
  <si>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</si>
  <si>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</si>
  <si>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</si>
  <si>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</si>
  <si>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</si>
  <si>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</si>
  <si>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</si>
  <si>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</si>
  <si>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</si>
  <si>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</si>
  <si>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</si>
  <si>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</si>
  <si>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</si>
  <si>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</si>
  <si>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</si>
  <si>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</si>
  <si>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</si>
  <si>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</si>
  <si>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</si>
  <si>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</si>
  <si>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</si>
  <si>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</si>
  <si>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</si>
  <si>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</si>
  <si>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</si>
  <si>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</si>
  <si>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</si>
  <si>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</si>
  <si>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</si>
  <si>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</si>
  <si>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</si>
  <si>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</si>
  <si>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</si>
  <si>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</si>
  <si>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</si>
  <si>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</si>
  <si>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</si>
  <si>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</si>
  <si>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</si>
  <si>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</si>
  <si>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</si>
  <si>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</si>
  <si>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</si>
  <si>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</si>
  <si>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</si>
  <si>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</si>
  <si>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</si>
  <si>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</si>
  <si>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</si>
  <si>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</si>
  <si>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</si>
  <si>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</si>
  <si>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</si>
  <si>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</si>
  <si>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</si>
  <si>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</si>
  <si>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</si>
  <si>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</si>
  <si>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</si>
  <si>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</si>
  <si>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</si>
  <si>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</si>
  <si>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</si>
  <si>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</si>
  <si>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</si>
  <si>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</si>
  <si>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</si>
  <si>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</si>
  <si>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</si>
  <si>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</si>
  <si>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</si>
  <si>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</si>
  <si>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</si>
  <si>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</si>
  <si>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</si>
  <si>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</si>
  <si>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</si>
  <si>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</si>
  <si>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</si>
  <si>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</si>
  <si>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</si>
  <si>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</si>
  <si>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</si>
  <si>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</si>
  <si>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</si>
  <si>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</si>
  <si>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Body Diode Forward Voltage, V</t>
    </r>
    <r>
      <rPr>
        <b/>
        <vertAlign val="subscript"/>
        <sz val="10"/>
        <rFont val="Arial"/>
        <family val="2"/>
      </rPr>
      <t>BD2</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</si>
  <si>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</si>
  <si>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</si>
  <si>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</si>
  <si>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</si>
  <si>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</si>
  <si>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</si>
  <si>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</si>
  <si>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</si>
  <si>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</si>
  <si>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</si>
  <si>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</si>
  <si>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</si>
  <si>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</si>
  <si>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</si>
  <si>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</si>
  <si>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</si>
  <si>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</si>
  <si>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</si>
  <si>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</si>
  <si>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</si>
  <si>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</si>
  <si>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</si>
  <si>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</si>
  <si>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</si>
  <si>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</si>
  <si>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</si>
  <si>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</si>
  <si>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</si>
  <si>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</si>
  <si>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</si>
  <si>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</si>
  <si>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</si>
  <si>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</si>
  <si>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</si>
  <si>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</si>
  <si>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</si>
  <si>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</si>
  <si>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</si>
  <si>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</si>
  <si>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</si>
  <si>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</si>
  <si>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</si>
  <si>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</si>
  <si>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</si>
  <si>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</si>
  <si>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</si>
  <si>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</si>
  <si>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</si>
  <si>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</si>
  <si>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</si>
  <si>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</si>
  <si>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</si>
  <si>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</si>
  <si>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</si>
  <si>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</si>
  <si>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</si>
  <si>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</si>
  <si>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</si>
  <si>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</si>
  <si>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</si>
  <si>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</si>
  <si>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</si>
  <si>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</si>
  <si>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</si>
  <si>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</si>
  <si>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</si>
  <si>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</si>
  <si>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</si>
  <si>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</si>
  <si>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</si>
  <si>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</si>
  <si>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</si>
  <si>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</si>
  <si>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</si>
  <si>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</si>
  <si>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</si>
  <si>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</si>
  <si>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</si>
  <si>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</si>
  <si>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</si>
  <si>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</si>
  <si>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</si>
  <si>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</si>
  <si>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</si>
  <si>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</si>
  <si>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</si>
  <si>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</si>
  <si>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</si>
  <si>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</si>
  <si>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</si>
  <si>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</si>
  <si>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</si>
  <si>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</si>
  <si>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</si>
  <si>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</si>
  <si>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</si>
  <si>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</si>
  <si>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</si>
  <si>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</si>
  <si>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</si>
  <si>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</si>
  <si>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</si>
  <si>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</si>
  <si>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</si>
  <si>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</si>
  <si>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</si>
  <si>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</si>
  <si>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</si>
  <si>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</si>
  <si>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</si>
  <si>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</si>
  <si>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</si>
  <si>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</si>
  <si>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</si>
  <si>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</si>
  <si>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</si>
  <si>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</si>
  <si>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</si>
  <si>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</si>
  <si>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</si>
  <si>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</si>
  <si>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</si>
  <si>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</si>
  <si>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</si>
  <si>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</si>
  <si>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</si>
  <si>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</si>
  <si>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</si>
  <si>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</si>
  <si>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</si>
  <si>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</si>
  <si>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</si>
  <si>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</si>
  <si>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</si>
  <si>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</si>
  <si>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</si>
  <si>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</si>
  <si>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</si>
  <si>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</si>
  <si>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</si>
  <si>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</si>
  <si>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</si>
  <si>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</si>
  <si>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</si>
  <si>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</si>
  <si>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</si>
  <si>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</si>
  <si>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</si>
  <si>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</si>
  <si>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</si>
  <si>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</si>
  <si>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</si>
  <si>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</si>
  <si>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</si>
  <si>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</si>
  <si>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</si>
  <si>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</si>
  <si>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</si>
  <si>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</si>
  <si>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</si>
  <si>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</si>
  <si>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</si>
  <si>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</si>
  <si>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</si>
  <si>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</si>
  <si>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</si>
  <si>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</si>
  <si>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</si>
  <si>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</si>
  <si>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</si>
  <si>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</si>
  <si>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</si>
  <si>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</si>
  <si>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Pole &amp; Zero Placement</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</si>
  <si>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</si>
  <si>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</si>
  <si>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</si>
  <si>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</si>
  <si>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</si>
  <si>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</si>
  <si>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</si>
  <si>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Total Bottom FET Diss/Loss</t>
  </si>
  <si>
    <t>LM5146-Q1</t>
  </si>
  <si>
    <t>LM5146-Q1-EVM12V</t>
  </si>
  <si>
    <t>x</t>
  </si>
  <si>
    <t xml:space="preserve">                          LM(2)5145/46-Q1 DC-DC Controller Design Tool</t>
  </si>
  <si>
    <t xml:space="preserve"> LM(2)5145/6/-Q1 Quickstart Calculator</t>
  </si>
  <si>
    <t>VARIANT</t>
  </si>
  <si>
    <t>VIN-MAX</t>
  </si>
  <si>
    <t>VOUT-MAX</t>
  </si>
  <si>
    <t>LM5145</t>
  </si>
  <si>
    <t>LM5145-Q1</t>
  </si>
  <si>
    <t>LM25145</t>
  </si>
  <si>
    <t>LM5146</t>
  </si>
  <si>
    <t>VIN-MIN</t>
  </si>
  <si>
    <t>LM5145EVM-HD-20A PCB Layout</t>
  </si>
  <si>
    <t>Top</t>
  </si>
  <si>
    <t>Layer</t>
  </si>
  <si>
    <t>Layer 2</t>
  </si>
  <si>
    <t>Layer 3</t>
  </si>
  <si>
    <t>Bottom</t>
  </si>
  <si>
    <t>No External VCC</t>
  </si>
  <si>
    <t>Ext_VCC</t>
  </si>
  <si>
    <t>Step 9: IC Power Loss</t>
  </si>
  <si>
    <t>IC Power Dissipation</t>
  </si>
  <si>
    <t>IC Junction Temperature Rise (est)</t>
  </si>
  <si>
    <t>External VCC Applied</t>
  </si>
  <si>
    <r>
      <t>Gate-Source Plateau Voltage, V</t>
    </r>
    <r>
      <rPr>
        <b/>
        <vertAlign val="subscript"/>
        <sz val="10"/>
        <rFont val="Arial"/>
        <family val="2"/>
      </rPr>
      <t>GS(MP)</t>
    </r>
    <r>
      <rPr>
        <b/>
        <sz val="10"/>
        <rFont val="Arial"/>
        <family val="2"/>
      </rPr>
      <t xml:space="preserve"> </t>
    </r>
  </si>
  <si>
    <r>
      <t>Estimate Core Loss at V</t>
    </r>
    <r>
      <rPr>
        <b/>
        <vertAlign val="subscript"/>
        <sz val="10"/>
        <rFont val="Arial"/>
        <family val="2"/>
      </rPr>
      <t>IN(nom)</t>
    </r>
  </si>
  <si>
    <t>CSD19538Q3A</t>
  </si>
  <si>
    <t>NVMFS6B14NL</t>
  </si>
  <si>
    <r>
      <t>Inductance, L</t>
    </r>
    <r>
      <rPr>
        <b/>
        <vertAlign val="subscript"/>
        <sz val="10"/>
        <color theme="1"/>
        <rFont val="Arial"/>
        <family val="2"/>
      </rPr>
      <t>O</t>
    </r>
    <r>
      <rPr>
        <b/>
        <sz val="10"/>
        <color theme="1"/>
        <rFont val="Arial"/>
        <family val="2"/>
      </rPr>
      <t xml:space="preserve"> </t>
    </r>
  </si>
  <si>
    <r>
      <t>L</t>
    </r>
    <r>
      <rPr>
        <vertAlign val="subscript"/>
        <sz val="10"/>
        <rFont val="Arial"/>
        <family val="2"/>
      </rPr>
      <t>O</t>
    </r>
  </si>
  <si>
    <r>
      <t>mV</t>
    </r>
    <r>
      <rPr>
        <vertAlign val="subscript"/>
        <sz val="10"/>
        <rFont val="Arial"/>
        <family val="2"/>
      </rPr>
      <t>PK-PK</t>
    </r>
  </si>
  <si>
    <r>
      <t>A</t>
    </r>
    <r>
      <rPr>
        <vertAlign val="subscript"/>
        <sz val="10"/>
        <rFont val="Arial"/>
        <family val="2"/>
      </rPr>
      <t>RMS</t>
    </r>
  </si>
  <si>
    <r>
      <t>A</t>
    </r>
    <r>
      <rPr>
        <vertAlign val="subscript"/>
        <sz val="10"/>
        <rFont val="Arial"/>
        <family val="2"/>
      </rPr>
      <t>PK-PK</t>
    </r>
  </si>
  <si>
    <r>
      <t>mV</t>
    </r>
    <r>
      <rPr>
        <b/>
        <vertAlign val="subscript"/>
        <sz val="10"/>
        <rFont val="Arial"/>
        <family val="2"/>
      </rPr>
      <t>PK-PK</t>
    </r>
  </si>
  <si>
    <t xml:space="preserve"> or VCC for diode emulation or FPWM modes, respectively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</si>
</sst>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76" formatCode="_(* #,##0.00_);_(* \(#,##0.00\);_(* &quot;-&quot;??_);_(@_)"/>
    <numFmt numFmtId="177" formatCode="0.00000"/>
    <numFmt numFmtId="178" formatCode="0.0000"/>
    <numFmt numFmtId="179" formatCode="0.000"/>
    <numFmt numFmtId="180" formatCode="0.0"/>
    <numFmt numFmtId="181" formatCode="0.000E+00"/>
    <numFmt numFmtId="182" formatCode="0.00000000"/>
    <numFmt numFmtId="183" formatCode="0.000000000"/>
    <numFmt numFmtId="184" formatCode="#0.0#"/>
    <numFmt numFmtId="185" formatCode="General&quot;nF&quot;"/>
    <numFmt numFmtId="186" formatCode="General&quot;k&quot;"/>
    <numFmt numFmtId="187" formatCode="General&quot;pF&quot;"/>
    <numFmt numFmtId="188" formatCode="General&quot;µF&quot;"/>
    <numFmt numFmtId="189" formatCode="General&quot;µH&quot;"/>
    <numFmt numFmtId="190" formatCode="&quot;MOSFET, N-CH, 100V, &quot;General&quot;mΩ&quot;"/>
    <numFmt numFmtId="191" formatCode="General&quot;mΩ&quot;"/>
    <numFmt numFmtId="192" formatCode="&quot;Capacitor, Ceramic, &quot;General&quot;pF, 50V, NP0, 5%&quot;"/>
    <numFmt numFmtId="193" formatCode="&quot;Capacitor, Ceramic, &quot;General&quot;pF, 16V, X7R, 10%&quot;"/>
    <numFmt numFmtId="194" formatCode="&quot;Capacitor, Ceramic, &quot;General&quot;µF, 25V, X7R, 20%&quot;"/>
    <numFmt numFmtId="195" formatCode="&quot;Capacitor, Ceramic, &quot;General&quot;nF, 16V, X7R, 10%&quot;"/>
    <numFmt numFmtId="196" formatCode="&quot;Capacitor, Ceramic, &quot;General&quot;µF, 50V, X7R, 20%&quot;"/>
    <numFmt numFmtId="197" formatCode="&quot;Resistor, Chip, &quot;General&quot;kΩ, 1/16W, 1%&quot;"/>
    <numFmt numFmtId="198" formatCode="&quot;Resistor, Chip, &quot;General&quot;Ω, 1/16W, 1%&quot;"/>
    <numFmt numFmtId="199" formatCode="&quot;Resistor, &quot;General&quot;mΩ, 1/4W, 1%&quot;"/>
    <numFmt numFmtId="200" formatCode="&quot;MOSFET, N-CH, 80V/100V, &quot;General&quot;mΩ&quot;"/>
  </numFmts>
  <fonts count="107" x14ac:knownFonts="1">
    <font>
      <sz val="10"/>
      <name val="Arial"/>
    </font>
    <font>
      <sz val="11"/>
      <color theme="1"/>
      <name val="ＭＳ Ｐゴシック"/>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28"/>
      <color theme="0"/>
      <name val="Arial"/>
      <family val="2"/>
    </font>
    <font>
      <sz val="10"/>
      <name val="Arial"/>
      <family val="2"/>
    </font>
    <font>
      <sz val="6"/>
      <name val="ＭＳ Ｐゴシック"/>
      <family val="3"/>
      <charset val="128"/>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6">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176" fontId="1" fillId="0" borderId="0" applyFont="0" applyFill="0" applyBorder="0" applyAlignment="0" applyProtection="0"/>
    <xf numFmtId="176" fontId="105" fillId="0" borderId="0" applyFont="0" applyFill="0" applyBorder="0" applyAlignment="0" applyProtection="0"/>
  </cellStyleXfs>
  <cellXfs count="568">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81"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7" fillId="4" borderId="1" xfId="0" applyFont="1" applyFill="1" applyBorder="1"/>
    <xf numFmtId="0" fontId="7" fillId="4" borderId="2" xfId="0" applyFont="1" applyFill="1" applyBorder="1"/>
    <xf numFmtId="0" fontId="0" fillId="4" borderId="3" xfId="0" applyFill="1" applyBorder="1"/>
    <xf numFmtId="0" fontId="16" fillId="4" borderId="3" xfId="0" applyFont="1" applyFill="1" applyBorder="1"/>
    <xf numFmtId="181" fontId="7" fillId="4" borderId="2" xfId="0" applyNumberFormat="1" applyFont="1" applyFill="1" applyBorder="1" applyAlignment="1">
      <alignment horizontal="center"/>
    </xf>
    <xf numFmtId="0" fontId="0" fillId="4" borderId="2" xfId="0" applyFill="1" applyBorder="1"/>
    <xf numFmtId="0" fontId="17" fillId="3" borderId="4" xfId="0" applyFont="1" applyFill="1" applyBorder="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81" fontId="3" fillId="2" borderId="6" xfId="0" applyNumberFormat="1" applyFont="1" applyFill="1" applyBorder="1" applyAlignment="1">
      <alignment horizontal="center" vertical="top" wrapText="1"/>
    </xf>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3"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8" fillId="0" borderId="0" xfId="0" applyFont="1"/>
    <xf numFmtId="0" fontId="3" fillId="0" borderId="0" xfId="0" applyFont="1" applyAlignment="1">
      <alignment horizontal="center"/>
    </xf>
    <xf numFmtId="184" fontId="21" fillId="0" borderId="0" xfId="0" applyNumberFormat="1" applyFont="1" applyAlignment="1">
      <alignment horizontal="center"/>
    </xf>
    <xf numFmtId="184" fontId="8" fillId="0" borderId="0" xfId="0" applyNumberFormat="1" applyFont="1" applyAlignment="1">
      <alignment horizontal="center"/>
    </xf>
    <xf numFmtId="184" fontId="8" fillId="0" borderId="0" xfId="0" applyNumberFormat="1" applyFont="1" applyAlignment="1" applyProtection="1">
      <alignment horizontal="center"/>
      <protection locked="0"/>
    </xf>
    <xf numFmtId="11" fontId="7" fillId="0" borderId="0" xfId="0" applyNumberFormat="1" applyFont="1"/>
    <xf numFmtId="184" fontId="0" fillId="0" borderId="0" xfId="0" applyNumberFormat="1"/>
    <xf numFmtId="0" fontId="0" fillId="12" borderId="0" xfId="0" applyFill="1"/>
    <xf numFmtId="180"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81"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81"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184" fontId="18" fillId="3" borderId="0" xfId="0" applyNumberFormat="1" applyFont="1" applyFill="1" applyAlignment="1">
      <alignment horizontal="center"/>
    </xf>
    <xf numFmtId="184" fontId="27" fillId="3" borderId="0" xfId="0" applyNumberFormat="1" applyFont="1" applyFill="1" applyAlignment="1">
      <alignment horizontal="center"/>
    </xf>
    <xf numFmtId="0" fontId="0" fillId="0" borderId="29" xfId="0" applyBorder="1"/>
    <xf numFmtId="0" fontId="0" fillId="0" borderId="30" xfId="0" applyBorder="1"/>
    <xf numFmtId="0" fontId="8" fillId="0" borderId="29" xfId="0" applyFont="1" applyBorder="1"/>
    <xf numFmtId="0" fontId="0" fillId="14" borderId="0" xfId="0" applyFill="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xf numFmtId="0" fontId="8" fillId="13" borderId="0" xfId="0" applyFont="1" applyFill="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80" fontId="0" fillId="13" borderId="32" xfId="0" applyNumberFormat="1" applyFill="1" applyBorder="1"/>
    <xf numFmtId="0" fontId="7" fillId="0" borderId="31" xfId="0" applyFont="1" applyBorder="1"/>
    <xf numFmtId="0" fontId="0" fillId="4" borderId="32" xfId="0" applyFill="1" applyBorder="1"/>
    <xf numFmtId="183" fontId="0" fillId="13" borderId="0" xfId="0" applyNumberFormat="1" applyFill="1"/>
    <xf numFmtId="0" fontId="0" fillId="0" borderId="32" xfId="0" applyBorder="1" applyAlignment="1">
      <alignment horizontal="right"/>
    </xf>
    <xf numFmtId="0" fontId="0" fillId="5" borderId="0" xfId="0" applyFill="1"/>
    <xf numFmtId="11" fontId="7" fillId="0" borderId="32"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10" borderId="0" xfId="0" applyFill="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xf numFmtId="0" fontId="8" fillId="10" borderId="11" xfId="0" applyFont="1" applyFill="1" applyBorder="1"/>
    <xf numFmtId="0" fontId="18" fillId="3" borderId="0" xfId="0" applyFont="1" applyFill="1"/>
    <xf numFmtId="0" fontId="19" fillId="10" borderId="0" xfId="0" applyFont="1" applyFill="1"/>
    <xf numFmtId="0" fontId="18" fillId="10" borderId="0" xfId="0" applyFont="1" applyFill="1" applyAlignment="1">
      <alignment horizontal="right"/>
    </xf>
    <xf numFmtId="0" fontId="19" fillId="10" borderId="0" xfId="0" applyFont="1" applyFill="1" applyAlignment="1">
      <alignment horizontal="right"/>
    </xf>
    <xf numFmtId="0" fontId="18" fillId="10" borderId="0" xfId="0" applyFont="1" applyFill="1"/>
    <xf numFmtId="0" fontId="27" fillId="16" borderId="20" xfId="0" applyFont="1" applyFill="1" applyBorder="1"/>
    <xf numFmtId="0" fontId="27" fillId="16" borderId="21" xfId="0" applyFont="1" applyFill="1" applyBorder="1"/>
    <xf numFmtId="0" fontId="27" fillId="3" borderId="0" xfId="0" applyFont="1" applyFill="1"/>
    <xf numFmtId="0" fontId="18" fillId="10" borderId="0" xfId="0" applyFont="1" applyFill="1" applyAlignment="1">
      <alignment horizontal="center"/>
    </xf>
    <xf numFmtId="0" fontId="18" fillId="10" borderId="0" xfId="0" applyFont="1" applyFill="1" applyAlignment="1">
      <alignment horizontal="left"/>
    </xf>
    <xf numFmtId="0" fontId="23" fillId="0" borderId="0" xfId="0" applyFont="1"/>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xf numFmtId="0" fontId="0" fillId="17" borderId="0" xfId="0" applyFill="1"/>
    <xf numFmtId="2" fontId="0" fillId="18" borderId="0" xfId="0" applyNumberFormat="1" applyFill="1"/>
    <xf numFmtId="0" fontId="31" fillId="0" borderId="0" xfId="0" applyFont="1"/>
    <xf numFmtId="0" fontId="31" fillId="4" borderId="0" xfId="0" applyFont="1" applyFill="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xf numFmtId="0" fontId="0" fillId="18" borderId="0" xfId="0" applyFill="1"/>
    <xf numFmtId="0" fontId="31" fillId="18" borderId="35" xfId="0" applyFont="1" applyFill="1" applyBorder="1"/>
    <xf numFmtId="0" fontId="8" fillId="0" borderId="32" xfId="0" applyFont="1" applyBorder="1"/>
    <xf numFmtId="0" fontId="8" fillId="14" borderId="0" xfId="0" applyFont="1" applyFill="1"/>
    <xf numFmtId="0" fontId="18" fillId="10" borderId="30" xfId="0" applyFont="1" applyFill="1" applyBorder="1"/>
    <xf numFmtId="0" fontId="20" fillId="10" borderId="0" xfId="0" applyFont="1" applyFill="1"/>
    <xf numFmtId="2" fontId="18" fillId="10" borderId="0" xfId="0" applyNumberFormat="1" applyFont="1" applyFill="1"/>
    <xf numFmtId="179" fontId="18" fillId="10" borderId="0" xfId="0" applyNumberFormat="1" applyFont="1" applyFill="1"/>
    <xf numFmtId="182" fontId="18" fillId="10" borderId="0" xfId="0" applyNumberFormat="1" applyFont="1" applyFill="1"/>
    <xf numFmtId="178" fontId="18" fillId="10" borderId="0" xfId="0" applyNumberFormat="1" applyFont="1" applyFill="1"/>
    <xf numFmtId="2" fontId="7" fillId="4" borderId="0" xfId="0" applyNumberFormat="1" applyFont="1" applyFill="1"/>
    <xf numFmtId="180" fontId="0" fillId="13" borderId="0" xfId="0" applyNumberFormat="1" applyFill="1"/>
    <xf numFmtId="0" fontId="11" fillId="0" borderId="0" xfId="1" applyAlignment="1" applyProtection="1"/>
    <xf numFmtId="2" fontId="31" fillId="13" borderId="0" xfId="0" applyNumberFormat="1" applyFont="1" applyFill="1"/>
    <xf numFmtId="179" fontId="31" fillId="18" borderId="0" xfId="0" applyNumberFormat="1" applyFont="1" applyFill="1"/>
    <xf numFmtId="0" fontId="18"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2" xfId="0" applyFont="1" applyBorder="1"/>
    <xf numFmtId="0" fontId="34" fillId="10" borderId="0" xfId="0" applyFont="1" applyFill="1"/>
    <xf numFmtId="0" fontId="22" fillId="22" borderId="0" xfId="0" applyFont="1" applyFill="1" applyAlignment="1">
      <alignment vertical="center"/>
    </xf>
    <xf numFmtId="0" fontId="0" fillId="21" borderId="0" xfId="0" applyFill="1"/>
    <xf numFmtId="0" fontId="25"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32" xfId="0" applyFont="1" applyFill="1" applyBorder="1" applyAlignment="1">
      <alignment horizontal="right"/>
    </xf>
    <xf numFmtId="0" fontId="2" fillId="10" borderId="29" xfId="0" applyFont="1" applyFill="1" applyBorder="1"/>
    <xf numFmtId="0" fontId="2" fillId="10" borderId="0" xfId="0" applyFont="1" applyFill="1"/>
    <xf numFmtId="0" fontId="3" fillId="22" borderId="0" xfId="0" applyFont="1" applyFill="1" applyProtection="1">
      <protection locked="0"/>
    </xf>
    <xf numFmtId="0" fontId="58" fillId="10" borderId="0" xfId="0" applyFont="1" applyFill="1"/>
    <xf numFmtId="1" fontId="3" fillId="22" borderId="0" xfId="0" applyNumberFormat="1" applyFont="1" applyFill="1" applyProtection="1">
      <protection locked="0"/>
    </xf>
    <xf numFmtId="0" fontId="59" fillId="10" borderId="0" xfId="0" applyFont="1" applyFill="1"/>
    <xf numFmtId="0" fontId="6" fillId="10" borderId="0" xfId="0" applyFont="1" applyFill="1" applyAlignment="1">
      <alignment horizontal="right"/>
    </xf>
    <xf numFmtId="0" fontId="57" fillId="10" borderId="0" xfId="0" applyFont="1" applyFill="1"/>
    <xf numFmtId="0" fontId="60" fillId="10" borderId="0" xfId="0" applyFont="1" applyFill="1"/>
    <xf numFmtId="0" fontId="3" fillId="10" borderId="0" xfId="0" applyFont="1" applyFill="1"/>
    <xf numFmtId="180" fontId="3" fillId="10" borderId="0" xfId="0" applyNumberFormat="1" applyFont="1" applyFill="1"/>
    <xf numFmtId="0" fontId="2" fillId="19" borderId="0" xfId="0" applyFont="1" applyFill="1"/>
    <xf numFmtId="0" fontId="3" fillId="10" borderId="29" xfId="0" applyFont="1" applyFill="1" applyBorder="1"/>
    <xf numFmtId="0" fontId="60" fillId="19" borderId="0" xfId="0" applyFont="1" applyFill="1"/>
    <xf numFmtId="1" fontId="57" fillId="10" borderId="0" xfId="0" applyNumberFormat="1" applyFont="1" applyFill="1" applyAlignment="1">
      <alignment horizontal="right"/>
    </xf>
    <xf numFmtId="0" fontId="62" fillId="16" borderId="20" xfId="0" applyFont="1" applyFill="1" applyBorder="1"/>
    <xf numFmtId="0" fontId="60" fillId="10" borderId="0" xfId="0" applyFont="1" applyFill="1" applyAlignment="1">
      <alignment vertical="center"/>
    </xf>
    <xf numFmtId="0" fontId="7" fillId="10" borderId="0" xfId="0" applyFont="1" applyFill="1" applyAlignment="1">
      <alignment horizontal="right"/>
    </xf>
    <xf numFmtId="180" fontId="7" fillId="10" borderId="0" xfId="0" applyNumberFormat="1" applyFont="1" applyFill="1"/>
    <xf numFmtId="0" fontId="7" fillId="10" borderId="0" xfId="0" applyFont="1" applyFill="1"/>
    <xf numFmtId="180" fontId="3" fillId="19" borderId="0" xfId="0" applyNumberFormat="1" applyFont="1" applyFill="1" applyAlignment="1">
      <alignment horizontal="right" vertical="center"/>
    </xf>
    <xf numFmtId="180"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63" fillId="10" borderId="0" xfId="0" applyFont="1" applyFill="1"/>
    <xf numFmtId="0" fontId="2" fillId="10" borderId="0" xfId="0" applyFont="1" applyFill="1" applyAlignment="1">
      <alignment horizontal="left"/>
    </xf>
    <xf numFmtId="0" fontId="61" fillId="22" borderId="0" xfId="0" applyFont="1" applyFill="1" applyAlignment="1" applyProtection="1">
      <alignment horizontal="right"/>
      <protection locked="0" hidden="1"/>
    </xf>
    <xf numFmtId="0" fontId="65" fillId="16" borderId="20" xfId="0" applyFont="1" applyFill="1" applyBorder="1"/>
    <xf numFmtId="0" fontId="24" fillId="10" borderId="29" xfId="0" applyFont="1" applyFill="1" applyBorder="1"/>
    <xf numFmtId="2" fontId="2" fillId="10" borderId="0" xfId="0" applyNumberFormat="1" applyFont="1" applyFill="1"/>
    <xf numFmtId="180"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7" fillId="10" borderId="0" xfId="0" applyFont="1" applyFill="1" applyAlignment="1">
      <alignment horizontal="right"/>
    </xf>
    <xf numFmtId="1" fontId="67" fillId="22" borderId="0" xfId="0" applyNumberFormat="1" applyFont="1" applyFill="1" applyAlignment="1" applyProtection="1">
      <alignment horizontal="right"/>
      <protection locked="0"/>
    </xf>
    <xf numFmtId="0" fontId="67" fillId="22" borderId="0" xfId="0" applyFont="1" applyFill="1" applyProtection="1">
      <protection locked="0"/>
    </xf>
    <xf numFmtId="180" fontId="67" fillId="22" borderId="0" xfId="0" applyNumberFormat="1" applyFont="1" applyFill="1" applyAlignment="1" applyProtection="1">
      <alignment horizontal="right" vertical="center"/>
      <protection locked="0" hidden="1"/>
    </xf>
    <xf numFmtId="1" fontId="67" fillId="22" borderId="0" xfId="0" applyNumberFormat="1" applyFont="1" applyFill="1" applyAlignment="1" applyProtection="1">
      <alignment horizontal="right" vertical="center"/>
      <protection locked="0" hidden="1"/>
    </xf>
    <xf numFmtId="0" fontId="2" fillId="10" borderId="2" xfId="0" applyFont="1" applyFill="1" applyBorder="1"/>
    <xf numFmtId="0" fontId="2" fillId="10" borderId="2" xfId="0" applyFont="1" applyFill="1" applyBorder="1" applyAlignment="1">
      <alignment horizontal="right"/>
    </xf>
    <xf numFmtId="0" fontId="67" fillId="10" borderId="2" xfId="0" applyFont="1" applyFill="1" applyBorder="1" applyAlignment="1">
      <alignment horizontal="right"/>
    </xf>
    <xf numFmtId="0" fontId="3" fillId="22" borderId="2" xfId="0" applyFont="1" applyFill="1" applyBorder="1" applyProtection="1">
      <protection locked="0"/>
    </xf>
    <xf numFmtId="0" fontId="3" fillId="10" borderId="3" xfId="0" applyFont="1" applyFill="1" applyBorder="1"/>
    <xf numFmtId="0" fontId="3" fillId="10" borderId="30" xfId="0" applyFont="1" applyFill="1" applyBorder="1"/>
    <xf numFmtId="0" fontId="2" fillId="10" borderId="31" xfId="0" applyFont="1" applyFill="1" applyBorder="1"/>
    <xf numFmtId="0" fontId="2" fillId="10" borderId="32" xfId="0" applyFont="1" applyFill="1" applyBorder="1"/>
    <xf numFmtId="0" fontId="2" fillId="10" borderId="33" xfId="0" applyFont="1" applyFill="1" applyBorder="1"/>
    <xf numFmtId="0" fontId="2" fillId="10" borderId="3" xfId="0" applyFont="1" applyFill="1" applyBorder="1"/>
    <xf numFmtId="0" fontId="2" fillId="10" borderId="30" xfId="0" applyFont="1" applyFill="1" applyBorder="1"/>
    <xf numFmtId="180" fontId="2" fillId="10" borderId="32" xfId="0" applyNumberFormat="1" applyFont="1" applyFill="1" applyBorder="1"/>
    <xf numFmtId="0" fontId="3" fillId="10" borderId="2" xfId="0" applyFont="1" applyFill="1" applyBorder="1"/>
    <xf numFmtId="0" fontId="3" fillId="10" borderId="2" xfId="0" applyFont="1" applyFill="1" applyBorder="1" applyAlignment="1">
      <alignment horizontal="right"/>
    </xf>
    <xf numFmtId="1" fontId="3" fillId="22" borderId="2" xfId="0" applyNumberFormat="1" applyFont="1" applyFill="1" applyBorder="1" applyProtection="1">
      <protection locked="0"/>
    </xf>
    <xf numFmtId="0" fontId="67" fillId="19" borderId="2" xfId="0" applyFont="1" applyFill="1" applyBorder="1" applyAlignment="1">
      <alignment horizontal="right"/>
    </xf>
    <xf numFmtId="0" fontId="3" fillId="10" borderId="30" xfId="0" applyFont="1" applyFill="1" applyBorder="1" applyAlignment="1">
      <alignment horizontal="left"/>
    </xf>
    <xf numFmtId="180" fontId="2" fillId="10" borderId="2" xfId="0" applyNumberFormat="1" applyFont="1" applyFill="1" applyBorder="1"/>
    <xf numFmtId="0" fontId="2" fillId="19" borderId="42" xfId="0" applyFont="1" applyFill="1" applyBorder="1" applyAlignment="1">
      <alignment horizontal="left"/>
    </xf>
    <xf numFmtId="0" fontId="61" fillId="22" borderId="42" xfId="0" applyFont="1" applyFill="1" applyBorder="1" applyAlignment="1" applyProtection="1">
      <alignment horizontal="right"/>
      <protection locked="0" hidden="1"/>
    </xf>
    <xf numFmtId="0" fontId="61" fillId="10" borderId="43" xfId="0" applyFont="1" applyFill="1" applyBorder="1" applyAlignment="1">
      <alignment horizontal="left"/>
    </xf>
    <xf numFmtId="0" fontId="61" fillId="10" borderId="30" xfId="0" applyFont="1" applyFill="1" applyBorder="1" applyAlignment="1">
      <alignment horizontal="left"/>
    </xf>
    <xf numFmtId="180" fontId="3" fillId="10" borderId="44" xfId="0" applyNumberFormat="1" applyFont="1" applyFill="1" applyBorder="1" applyAlignment="1">
      <alignment horizontal="right"/>
    </xf>
    <xf numFmtId="180" fontId="3" fillId="10" borderId="29" xfId="0" applyNumberFormat="1" applyFont="1" applyFill="1" applyBorder="1" applyAlignment="1">
      <alignment horizontal="right"/>
    </xf>
    <xf numFmtId="0" fontId="3" fillId="10" borderId="44" xfId="0" applyFont="1" applyFill="1" applyBorder="1" applyAlignment="1">
      <alignment horizontal="center"/>
    </xf>
    <xf numFmtId="0" fontId="3" fillId="10" borderId="29" xfId="0" applyFont="1" applyFill="1" applyBorder="1" applyAlignment="1">
      <alignment horizontal="center"/>
    </xf>
    <xf numFmtId="0" fontId="3" fillId="10" borderId="44" xfId="0" applyFont="1" applyFill="1" applyBorder="1"/>
    <xf numFmtId="0" fontId="3" fillId="10" borderId="42" xfId="0" applyFont="1" applyFill="1" applyBorder="1"/>
    <xf numFmtId="0" fontId="2" fillId="10" borderId="42" xfId="0" applyFont="1" applyFill="1" applyBorder="1"/>
    <xf numFmtId="0" fontId="2" fillId="10" borderId="43" xfId="0" applyFont="1" applyFill="1" applyBorder="1"/>
    <xf numFmtId="0" fontId="2" fillId="10" borderId="42" xfId="0" applyFont="1" applyFill="1" applyBorder="1" applyAlignment="1">
      <alignment vertical="center"/>
    </xf>
    <xf numFmtId="0" fontId="2" fillId="10" borderId="46" xfId="0" applyFont="1" applyFill="1" applyBorder="1"/>
    <xf numFmtId="0" fontId="3" fillId="10" borderId="46" xfId="0" applyFont="1" applyFill="1" applyBorder="1" applyAlignment="1">
      <alignment horizontal="right"/>
    </xf>
    <xf numFmtId="0" fontId="2" fillId="10" borderId="47" xfId="0" applyFont="1" applyFill="1" applyBorder="1"/>
    <xf numFmtId="0" fontId="2" fillId="19" borderId="46" xfId="0" applyFont="1" applyFill="1" applyBorder="1" applyAlignment="1">
      <alignment horizontal="left"/>
    </xf>
    <xf numFmtId="0" fontId="61" fillId="22" borderId="46" xfId="0" applyFont="1" applyFill="1" applyBorder="1" applyAlignment="1" applyProtection="1">
      <alignment horizontal="right"/>
      <protection locked="0" hidden="1"/>
    </xf>
    <xf numFmtId="0" fontId="61" fillId="10" borderId="47" xfId="0" applyFont="1" applyFill="1" applyBorder="1" applyAlignment="1">
      <alignment horizontal="left"/>
    </xf>
    <xf numFmtId="0" fontId="64" fillId="10" borderId="45" xfId="0" applyFont="1" applyFill="1" applyBorder="1" applyAlignment="1">
      <alignment horizontal="left"/>
    </xf>
    <xf numFmtId="0" fontId="64" fillId="10" borderId="47" xfId="0" applyFont="1" applyFill="1" applyBorder="1"/>
    <xf numFmtId="0" fontId="3" fillId="10" borderId="43" xfId="0" applyFont="1" applyFill="1" applyBorder="1" applyAlignment="1">
      <alignment horizontal="left"/>
    </xf>
    <xf numFmtId="180" fontId="2" fillId="10" borderId="42" xfId="0" applyNumberFormat="1" applyFont="1" applyFill="1" applyBorder="1" applyAlignment="1">
      <alignment horizontal="left" vertical="center"/>
    </xf>
    <xf numFmtId="1" fontId="2" fillId="10" borderId="0" xfId="0" applyNumberFormat="1" applyFont="1" applyFill="1" applyAlignment="1">
      <alignment horizontal="left" vertical="center"/>
    </xf>
    <xf numFmtId="1" fontId="2" fillId="10" borderId="46" xfId="0" applyNumberFormat="1" applyFont="1" applyFill="1" applyBorder="1" applyAlignment="1">
      <alignment horizontal="left" vertical="center"/>
    </xf>
    <xf numFmtId="1" fontId="3" fillId="19" borderId="46" xfId="0" applyNumberFormat="1" applyFont="1" applyFill="1" applyBorder="1" applyAlignment="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lignment horizontal="left"/>
    </xf>
    <xf numFmtId="0" fontId="24" fillId="10" borderId="29" xfId="0" applyFont="1" applyFill="1" applyBorder="1" applyAlignment="1">
      <alignment vertical="center"/>
    </xf>
    <xf numFmtId="0" fontId="2" fillId="10" borderId="44" xfId="0" applyFont="1" applyFill="1" applyBorder="1"/>
    <xf numFmtId="0" fontId="2" fillId="19" borderId="29" xfId="0" applyFont="1" applyFill="1" applyBorder="1"/>
    <xf numFmtId="1" fontId="3" fillId="19" borderId="29" xfId="0" applyNumberFormat="1" applyFont="1" applyFill="1" applyBorder="1" applyAlignment="1">
      <alignment horizontal="right" vertical="center"/>
    </xf>
    <xf numFmtId="0" fontId="3" fillId="10" borderId="31" xfId="0" applyFont="1" applyFill="1" applyBorder="1" applyAlignment="1">
      <alignment horizontal="center"/>
    </xf>
    <xf numFmtId="0" fontId="62" fillId="16" borderId="48" xfId="0" applyFont="1" applyFill="1" applyBorder="1"/>
    <xf numFmtId="0" fontId="18" fillId="3" borderId="29" xfId="0" applyFont="1" applyFill="1" applyBorder="1"/>
    <xf numFmtId="0" fontId="18" fillId="19" borderId="29" xfId="0" applyFont="1" applyFill="1" applyBorder="1"/>
    <xf numFmtId="0" fontId="18" fillId="19" borderId="42" xfId="0" applyFont="1" applyFill="1" applyBorder="1"/>
    <xf numFmtId="0" fontId="18" fillId="19" borderId="31" xfId="0" applyFont="1" applyFill="1" applyBorder="1"/>
    <xf numFmtId="0" fontId="18" fillId="19" borderId="46" xfId="0" applyFont="1" applyFill="1" applyBorder="1"/>
    <xf numFmtId="180" fontId="3" fillId="19" borderId="42" xfId="0" applyNumberFormat="1" applyFont="1" applyFill="1" applyBorder="1" applyAlignment="1">
      <alignment horizontal="right" vertical="center"/>
    </xf>
    <xf numFmtId="180" fontId="67" fillId="22" borderId="42"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43" xfId="0" applyFont="1" applyBorder="1" applyAlignment="1">
      <alignment horizontal="left"/>
    </xf>
    <xf numFmtId="184" fontId="18" fillId="21" borderId="0" xfId="0" applyNumberFormat="1" applyFont="1" applyFill="1" applyAlignment="1">
      <alignment horizontal="center"/>
    </xf>
    <xf numFmtId="0" fontId="18" fillId="21" borderId="0" xfId="0" applyFont="1" applyFill="1"/>
    <xf numFmtId="184" fontId="27" fillId="21" borderId="0" xfId="0" applyNumberFormat="1" applyFont="1" applyFill="1" applyAlignment="1">
      <alignment horizontal="center"/>
    </xf>
    <xf numFmtId="0" fontId="27" fillId="21" borderId="0" xfId="0" applyFont="1" applyFill="1"/>
    <xf numFmtId="0" fontId="2" fillId="10" borderId="45" xfId="0" applyFont="1" applyFill="1" applyBorder="1"/>
    <xf numFmtId="0" fontId="3" fillId="10" borderId="46" xfId="0" applyFont="1" applyFill="1" applyBorder="1"/>
    <xf numFmtId="0" fontId="2" fillId="10" borderId="49" xfId="0" applyFont="1" applyFill="1" applyBorder="1"/>
    <xf numFmtId="0" fontId="69" fillId="10" borderId="0" xfId="0" applyFont="1" applyFill="1" applyAlignment="1">
      <alignment horizontal="right"/>
    </xf>
    <xf numFmtId="0" fontId="71" fillId="10" borderId="0" xfId="0" applyFont="1" applyFill="1"/>
    <xf numFmtId="0" fontId="71" fillId="10" borderId="30" xfId="0" applyFont="1" applyFill="1" applyBorder="1"/>
    <xf numFmtId="184" fontId="71" fillId="21" borderId="0" xfId="0" applyNumberFormat="1" applyFont="1" applyFill="1" applyAlignment="1">
      <alignment horizontal="center"/>
    </xf>
    <xf numFmtId="0" fontId="71" fillId="21" borderId="0" xfId="0" applyFont="1" applyFill="1"/>
    <xf numFmtId="184" fontId="71" fillId="3" borderId="0" xfId="0" applyNumberFormat="1" applyFont="1" applyFill="1" applyAlignment="1">
      <alignment horizontal="center"/>
    </xf>
    <xf numFmtId="0" fontId="71" fillId="3" borderId="0" xfId="0" applyFont="1" applyFill="1"/>
    <xf numFmtId="0" fontId="69" fillId="10" borderId="42" xfId="0" applyFont="1" applyFill="1" applyBorder="1" applyAlignment="1">
      <alignment horizontal="right"/>
    </xf>
    <xf numFmtId="0" fontId="70" fillId="10" borderId="29" xfId="0" applyFont="1" applyFill="1" applyBorder="1" applyAlignment="1">
      <alignment vertical="center"/>
    </xf>
    <xf numFmtId="0" fontId="69" fillId="10" borderId="0" xfId="0" applyFont="1" applyFill="1" applyAlignment="1">
      <alignment horizontal="right" vertical="center"/>
    </xf>
    <xf numFmtId="180" fontId="69" fillId="10" borderId="46" xfId="0" applyNumberFormat="1" applyFont="1" applyFill="1" applyBorder="1" applyAlignment="1">
      <alignment horizontal="center" vertical="center"/>
    </xf>
    <xf numFmtId="180" fontId="69" fillId="10" borderId="46" xfId="0" applyNumberFormat="1" applyFont="1" applyFill="1" applyBorder="1" applyAlignment="1">
      <alignment vertical="center"/>
    </xf>
    <xf numFmtId="0" fontId="69" fillId="0" borderId="0" xfId="0" applyFont="1" applyAlignment="1">
      <alignment horizontal="left" vertical="center"/>
    </xf>
    <xf numFmtId="0" fontId="2" fillId="0" borderId="1" xfId="0" applyFont="1" applyBorder="1"/>
    <xf numFmtId="0" fontId="2" fillId="0" borderId="29" xfId="0" applyFont="1" applyBorder="1"/>
    <xf numFmtId="2" fontId="0" fillId="0" borderId="0" xfId="0" applyNumberFormat="1" applyAlignment="1">
      <alignment horizontal="right"/>
    </xf>
    <xf numFmtId="0" fontId="3" fillId="22" borderId="0" xfId="0" applyFont="1" applyFill="1" applyAlignment="1" applyProtection="1">
      <alignment horizontal="right"/>
      <protection locked="0"/>
    </xf>
    <xf numFmtId="0" fontId="74" fillId="0" borderId="0" xfId="0" applyFont="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86"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86"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88"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87"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88" fontId="2" fillId="19" borderId="11" xfId="2" applyNumberFormat="1" applyFill="1" applyBorder="1" applyAlignment="1">
      <alignment horizontal="center" vertical="center"/>
    </xf>
    <xf numFmtId="188"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89" fontId="2" fillId="23"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xf numFmtId="0" fontId="3" fillId="22" borderId="46" xfId="0" applyFont="1" applyFill="1" applyBorder="1" applyProtection="1">
      <protection locked="0"/>
    </xf>
    <xf numFmtId="0" fontId="76" fillId="19" borderId="0" xfId="0" applyFont="1" applyFill="1"/>
    <xf numFmtId="0" fontId="3" fillId="10" borderId="0" xfId="2" applyFont="1" applyFill="1"/>
    <xf numFmtId="0" fontId="63" fillId="10" borderId="42" xfId="0" applyFont="1" applyFill="1" applyBorder="1" applyProtection="1">
      <protection locked="0"/>
    </xf>
    <xf numFmtId="1" fontId="0" fillId="4" borderId="0" xfId="0" applyNumberFormat="1" applyFill="1"/>
    <xf numFmtId="0" fontId="63" fillId="10" borderId="29" xfId="0" applyFont="1" applyFill="1" applyBorder="1" applyAlignment="1">
      <alignment vertical="center"/>
    </xf>
    <xf numFmtId="0" fontId="0" fillId="14" borderId="2" xfId="0" applyFill="1" applyBorder="1"/>
    <xf numFmtId="0" fontId="3" fillId="5" borderId="55" xfId="0" applyFont="1" applyFill="1" applyBorder="1"/>
    <xf numFmtId="2" fontId="7" fillId="13" borderId="0" xfId="0" applyNumberFormat="1" applyFont="1" applyFill="1"/>
    <xf numFmtId="180" fontId="7" fillId="13" borderId="0" xfId="0" applyNumberFormat="1" applyFont="1" applyFill="1"/>
    <xf numFmtId="11" fontId="7" fillId="13" borderId="0" xfId="0" applyNumberFormat="1" applyFont="1" applyFill="1"/>
    <xf numFmtId="0" fontId="22" fillId="25" borderId="48" xfId="0" applyFont="1" applyFill="1" applyBorder="1"/>
    <xf numFmtId="0" fontId="22" fillId="25" borderId="49" xfId="0" applyFont="1" applyFill="1" applyBorder="1"/>
    <xf numFmtId="0" fontId="18" fillId="25" borderId="49" xfId="0" applyFont="1" applyFill="1" applyBorder="1"/>
    <xf numFmtId="184" fontId="18" fillId="25" borderId="46" xfId="0" applyNumberFormat="1" applyFont="1" applyFill="1" applyBorder="1" applyAlignment="1">
      <alignment horizontal="center"/>
    </xf>
    <xf numFmtId="0" fontId="18" fillId="25" borderId="0" xfId="0" applyFont="1" applyFill="1"/>
    <xf numFmtId="184" fontId="18" fillId="25" borderId="0" xfId="0" applyNumberFormat="1" applyFont="1" applyFill="1" applyAlignment="1">
      <alignment horizontal="center"/>
    </xf>
    <xf numFmtId="184" fontId="71" fillId="25" borderId="0" xfId="0" applyNumberFormat="1" applyFont="1" applyFill="1" applyAlignment="1">
      <alignment horizontal="center"/>
    </xf>
    <xf numFmtId="184" fontId="27" fillId="25" borderId="0" xfId="0" applyNumberFormat="1" applyFont="1" applyFill="1" applyAlignment="1">
      <alignment horizontal="center"/>
    </xf>
    <xf numFmtId="0" fontId="28" fillId="25" borderId="0" xfId="0" applyFont="1" applyFill="1" applyAlignment="1">
      <alignment horizontal="left"/>
    </xf>
    <xf numFmtId="0" fontId="26" fillId="25" borderId="0" xfId="0" applyFont="1" applyFill="1" applyAlignment="1">
      <alignment horizontal="left" vertical="center"/>
    </xf>
    <xf numFmtId="0" fontId="73" fillId="25" borderId="0" xfId="0" applyFont="1" applyFill="1" applyAlignment="1">
      <alignment horizontal="left" vertical="center"/>
    </xf>
    <xf numFmtId="0" fontId="22" fillId="25" borderId="0" xfId="0" applyFont="1" applyFill="1" applyAlignment="1">
      <alignment vertical="center"/>
    </xf>
    <xf numFmtId="0" fontId="26" fillId="25" borderId="0" xfId="0" quotePrefix="1" applyFont="1" applyFill="1" applyAlignment="1">
      <alignment vertical="center"/>
    </xf>
    <xf numFmtId="0" fontId="30" fillId="25" borderId="0" xfId="0" applyFont="1" applyFill="1" applyAlignment="1">
      <alignment vertical="center"/>
    </xf>
    <xf numFmtId="0" fontId="30" fillId="25" borderId="0" xfId="0" applyFont="1" applyFill="1"/>
    <xf numFmtId="0" fontId="32" fillId="25" borderId="31" xfId="0" applyFont="1" applyFill="1" applyBorder="1"/>
    <xf numFmtId="0" fontId="32" fillId="25" borderId="32" xfId="0" applyFont="1" applyFill="1" applyBorder="1"/>
    <xf numFmtId="0" fontId="22" fillId="25" borderId="32" xfId="0" applyFont="1" applyFill="1" applyBorder="1"/>
    <xf numFmtId="0" fontId="26" fillId="25" borderId="56" xfId="0" applyFont="1" applyFill="1" applyBorder="1" applyAlignment="1">
      <alignment horizontal="left" vertical="center"/>
    </xf>
    <xf numFmtId="0" fontId="79"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56" xfId="0" applyFont="1" applyFill="1" applyBorder="1"/>
    <xf numFmtId="0" fontId="63" fillId="0" borderId="0" xfId="0" applyFont="1"/>
    <xf numFmtId="0" fontId="63" fillId="0" borderId="0" xfId="0" applyFont="1" applyAlignment="1">
      <alignment horizontal="left"/>
    </xf>
    <xf numFmtId="0" fontId="2" fillId="0" borderId="0" xfId="2"/>
    <xf numFmtId="179" fontId="0" fillId="4" borderId="0" xfId="0" applyNumberFormat="1" applyFill="1"/>
    <xf numFmtId="2" fontId="0" fillId="13" borderId="0" xfId="0" applyNumberFormat="1" applyFill="1"/>
    <xf numFmtId="0" fontId="0" fillId="0" borderId="56" xfId="0" applyBorder="1"/>
    <xf numFmtId="0" fontId="2" fillId="0" borderId="56" xfId="0" applyFont="1" applyBorder="1"/>
    <xf numFmtId="179" fontId="7" fillId="13" borderId="2" xfId="0" applyNumberFormat="1" applyFont="1" applyFill="1" applyBorder="1"/>
    <xf numFmtId="178" fontId="7" fillId="13" borderId="0" xfId="0" applyNumberFormat="1" applyFont="1" applyFill="1"/>
    <xf numFmtId="179" fontId="7" fillId="13" borderId="0" xfId="0" applyNumberFormat="1" applyFont="1" applyFill="1"/>
    <xf numFmtId="0" fontId="7" fillId="0" borderId="56" xfId="0" applyFont="1" applyBorder="1"/>
    <xf numFmtId="0" fontId="3" fillId="13" borderId="0" xfId="0" applyFont="1" applyFill="1" applyAlignment="1">
      <alignment horizontal="right"/>
    </xf>
    <xf numFmtId="180" fontId="0" fillId="4" borderId="0" xfId="0" applyNumberFormat="1" applyFill="1"/>
    <xf numFmtId="179" fontId="7" fillId="19" borderId="0" xfId="0" applyNumberFormat="1" applyFont="1" applyFill="1"/>
    <xf numFmtId="0" fontId="82" fillId="19" borderId="42" xfId="0" applyFont="1" applyFill="1" applyBorder="1" applyAlignment="1">
      <alignment horizontal="left" vertical="center"/>
    </xf>
    <xf numFmtId="0" fontId="2" fillId="19" borderId="42" xfId="0" applyFont="1" applyFill="1" applyBorder="1"/>
    <xf numFmtId="0" fontId="66" fillId="10" borderId="46" xfId="0" applyFont="1" applyFill="1" applyBorder="1" applyAlignment="1">
      <alignment horizontal="right"/>
    </xf>
    <xf numFmtId="0" fontId="2" fillId="10" borderId="46" xfId="0" applyFont="1" applyFill="1" applyBorder="1" applyAlignment="1">
      <alignment horizontal="right"/>
    </xf>
    <xf numFmtId="180" fontId="0" fillId="19" borderId="0" xfId="0" applyNumberFormat="1" applyFill="1"/>
    <xf numFmtId="0" fontId="67" fillId="10" borderId="42" xfId="0" applyFont="1" applyFill="1" applyBorder="1" applyAlignment="1">
      <alignment horizontal="right"/>
    </xf>
    <xf numFmtId="0" fontId="3" fillId="10" borderId="43" xfId="0" applyFont="1" applyFill="1" applyBorder="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78" fontId="0" fillId="0" borderId="0" xfId="0" applyNumberFormat="1"/>
    <xf numFmtId="179" fontId="0" fillId="0" borderId="0" xfId="0" applyNumberFormat="1"/>
    <xf numFmtId="178" fontId="0" fillId="0" borderId="0" xfId="0" applyNumberFormat="1" applyAlignment="1">
      <alignment horizontal="left" indent="1"/>
    </xf>
    <xf numFmtId="179" fontId="16" fillId="7" borderId="0" xfId="0" applyNumberFormat="1" applyFont="1" applyFill="1"/>
    <xf numFmtId="179" fontId="8" fillId="0" borderId="0" xfId="0" applyNumberFormat="1" applyFont="1"/>
    <xf numFmtId="180" fontId="16" fillId="0" borderId="0" xfId="0" applyNumberFormat="1" applyFont="1"/>
    <xf numFmtId="177" fontId="0" fillId="0" borderId="0" xfId="0" applyNumberFormat="1"/>
    <xf numFmtId="177" fontId="16" fillId="0" borderId="0" xfId="0" applyNumberFormat="1" applyFont="1"/>
    <xf numFmtId="0" fontId="2" fillId="4" borderId="43" xfId="0" applyFont="1" applyFill="1" applyBorder="1"/>
    <xf numFmtId="0" fontId="74" fillId="0" borderId="11" xfId="0" applyFont="1" applyBorder="1"/>
    <xf numFmtId="0" fontId="2" fillId="0" borderId="11" xfId="0" applyFont="1" applyBorder="1"/>
    <xf numFmtId="0" fontId="2" fillId="0" borderId="13" xfId="0" applyFont="1" applyBorder="1"/>
    <xf numFmtId="0" fontId="2" fillId="0" borderId="15" xfId="0" applyFont="1" applyBorder="1"/>
    <xf numFmtId="0" fontId="2" fillId="0" borderId="16" xfId="0" applyFont="1" applyBorder="1"/>
    <xf numFmtId="1" fontId="3" fillId="13" borderId="0" xfId="0" applyNumberFormat="1" applyFont="1" applyFill="1"/>
    <xf numFmtId="2" fontId="3" fillId="13" borderId="0" xfId="0" applyNumberFormat="1" applyFont="1" applyFill="1"/>
    <xf numFmtId="1" fontId="3" fillId="10" borderId="29" xfId="0" applyNumberFormat="1" applyFont="1" applyFill="1" applyBorder="1" applyAlignment="1">
      <alignment horizontal="right"/>
    </xf>
    <xf numFmtId="0" fontId="3" fillId="10" borderId="8" xfId="2" applyFont="1" applyFill="1" applyBorder="1" applyAlignment="1">
      <alignment horizontal="left" vertical="center"/>
    </xf>
    <xf numFmtId="190" fontId="2" fillId="19" borderId="8" xfId="2" applyNumberFormat="1" applyFill="1" applyBorder="1" applyAlignment="1">
      <alignment horizontal="left" vertical="center"/>
    </xf>
    <xf numFmtId="190" fontId="2" fillId="19" borderId="9" xfId="2" applyNumberFormat="1" applyFill="1" applyBorder="1" applyAlignment="1">
      <alignment horizontal="left" vertical="center"/>
    </xf>
    <xf numFmtId="190"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180"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80"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80" fontId="88" fillId="0" borderId="0" xfId="2" applyNumberFormat="1" applyFont="1" applyAlignment="1">
      <alignment horizontal="right" vertical="center"/>
    </xf>
    <xf numFmtId="0" fontId="88" fillId="10" borderId="0" xfId="2" applyFont="1" applyFill="1" applyAlignment="1">
      <alignment horizontal="left"/>
    </xf>
    <xf numFmtId="178" fontId="88" fillId="10" borderId="0" xfId="2" applyNumberFormat="1" applyFont="1" applyFill="1" applyAlignment="1">
      <alignment vertical="center"/>
    </xf>
    <xf numFmtId="177" fontId="0" fillId="4" borderId="32" xfId="0" applyNumberFormat="1" applyFill="1" applyBorder="1"/>
    <xf numFmtId="177" fontId="0" fillId="13" borderId="2" xfId="0" applyNumberFormat="1" applyFill="1" applyBorder="1"/>
    <xf numFmtId="185"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80" fontId="2" fillId="19" borderId="11" xfId="2" applyNumberFormat="1" applyFill="1" applyBorder="1" applyAlignment="1">
      <alignment horizontal="center" vertical="center"/>
    </xf>
    <xf numFmtId="179" fontId="2" fillId="0" borderId="0" xfId="0" applyNumberFormat="1" applyFont="1"/>
    <xf numFmtId="1" fontId="0" fillId="13" borderId="0" xfId="0" applyNumberFormat="1" applyFill="1"/>
    <xf numFmtId="1" fontId="8" fillId="13" borderId="0" xfId="0" applyNumberFormat="1" applyFont="1" applyFill="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80" fontId="2" fillId="10" borderId="42" xfId="0" applyNumberFormat="1" applyFont="1" applyFill="1" applyBorder="1"/>
    <xf numFmtId="0" fontId="3" fillId="0" borderId="56" xfId="0" applyFont="1" applyBorder="1"/>
    <xf numFmtId="179"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91" fillId="19" borderId="11" xfId="2" quotePrefix="1" applyFont="1" applyFill="1" applyBorder="1" applyAlignment="1">
      <alignment horizontal="left" vertical="center"/>
    </xf>
    <xf numFmtId="191" fontId="2" fillId="19" borderId="11" xfId="2" applyNumberFormat="1" applyFill="1" applyBorder="1" applyAlignment="1">
      <alignment horizontal="center" vertical="center"/>
    </xf>
    <xf numFmtId="178" fontId="0" fillId="0" borderId="11" xfId="0" applyNumberFormat="1" applyBorder="1"/>
    <xf numFmtId="177"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xf numFmtId="0" fontId="93" fillId="25" borderId="0" xfId="0" applyFont="1" applyFill="1" applyAlignment="1">
      <alignment horizontal="left"/>
    </xf>
    <xf numFmtId="0" fontId="94" fillId="25" borderId="0" xfId="0" applyFont="1" applyFill="1"/>
    <xf numFmtId="0" fontId="95" fillId="25" borderId="32" xfId="0" applyFont="1" applyFill="1" applyBorder="1"/>
    <xf numFmtId="0" fontId="94" fillId="10" borderId="0" xfId="0" applyFont="1" applyFill="1"/>
    <xf numFmtId="0" fontId="94" fillId="10" borderId="30" xfId="0" applyFont="1" applyFill="1" applyBorder="1"/>
    <xf numFmtId="0" fontId="96" fillId="25" borderId="0" xfId="0" applyFont="1" applyFill="1" applyAlignment="1">
      <alignment horizontal="left"/>
    </xf>
    <xf numFmtId="0" fontId="97" fillId="25" borderId="0" xfId="1" applyFont="1" applyFill="1" applyBorder="1" applyAlignment="1" applyProtection="1"/>
    <xf numFmtId="0" fontId="19" fillId="25" borderId="32" xfId="0" applyFont="1" applyFill="1" applyBorder="1"/>
    <xf numFmtId="0" fontId="19" fillId="25" borderId="46" xfId="0" applyFont="1" applyFill="1" applyBorder="1"/>
    <xf numFmtId="0" fontId="98" fillId="25" borderId="0" xfId="0" applyFont="1" applyFill="1"/>
    <xf numFmtId="179" fontId="2" fillId="19" borderId="46" xfId="0" applyNumberFormat="1" applyFont="1" applyFill="1" applyBorder="1"/>
    <xf numFmtId="0" fontId="28" fillId="25" borderId="56" xfId="0" applyFont="1" applyFill="1" applyBorder="1" applyAlignment="1">
      <alignment horizontal="left" vertical="center"/>
    </xf>
    <xf numFmtId="0" fontId="18" fillId="19" borderId="0" xfId="2" applyFont="1" applyFill="1"/>
    <xf numFmtId="0" fontId="2" fillId="21" borderId="0" xfId="2" applyFill="1"/>
    <xf numFmtId="0" fontId="103" fillId="21" borderId="0" xfId="2" applyFont="1" applyFill="1"/>
    <xf numFmtId="0" fontId="103" fillId="21" borderId="0" xfId="2" applyFont="1" applyFill="1" applyAlignment="1">
      <alignment horizontal="center" vertical="center"/>
    </xf>
    <xf numFmtId="0" fontId="103"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63" fillId="0" borderId="0" xfId="0" applyFont="1" applyAlignment="1">
      <alignment horizontal="right"/>
    </xf>
    <xf numFmtId="0" fontId="3" fillId="0" borderId="0" xfId="0" applyFont="1" applyAlignment="1" applyProtection="1">
      <alignment horizontal="right"/>
      <protection locked="0"/>
    </xf>
    <xf numFmtId="0" fontId="24" fillId="10" borderId="56" xfId="0" applyFont="1" applyFill="1" applyBorder="1"/>
    <xf numFmtId="0" fontId="3" fillId="19" borderId="0" xfId="0" applyFont="1" applyFill="1"/>
    <xf numFmtId="0" fontId="3" fillId="19" borderId="0" xfId="0" applyFont="1" applyFill="1" applyAlignment="1">
      <alignment horizontal="right"/>
    </xf>
    <xf numFmtId="0" fontId="2" fillId="10" borderId="42" xfId="0" applyFont="1" applyFill="1" applyBorder="1" applyAlignment="1">
      <alignment horizontal="right"/>
    </xf>
    <xf numFmtId="2" fontId="66" fillId="10" borderId="42" xfId="5" applyNumberFormat="1" applyFont="1" applyFill="1" applyBorder="1" applyAlignment="1" applyProtection="1">
      <alignment horizontal="right"/>
    </xf>
    <xf numFmtId="0" fontId="2" fillId="10" borderId="46" xfId="0" applyFont="1" applyFill="1" applyBorder="1" applyAlignment="1">
      <alignment horizontal="right" vertical="center"/>
    </xf>
    <xf numFmtId="180" fontId="2" fillId="10" borderId="46" xfId="0" applyNumberFormat="1" applyFont="1" applyFill="1" applyBorder="1" applyAlignment="1">
      <alignment vertical="center"/>
    </xf>
    <xf numFmtId="0" fontId="2" fillId="10" borderId="47" xfId="0" applyFont="1" applyFill="1" applyBorder="1" applyAlignment="1">
      <alignment vertical="center"/>
    </xf>
    <xf numFmtId="0" fontId="3" fillId="10" borderId="46" xfId="0" applyFont="1" applyFill="1" applyBorder="1" applyAlignment="1">
      <alignment horizontal="right" vertical="center"/>
    </xf>
    <xf numFmtId="0" fontId="3" fillId="10" borderId="47" xfId="0" applyFont="1" applyFill="1" applyBorder="1"/>
    <xf numFmtId="0" fontId="3" fillId="19" borderId="0" xfId="0" applyFont="1" applyFill="1" applyProtection="1">
      <protection locked="0"/>
    </xf>
    <xf numFmtId="0" fontId="69" fillId="10" borderId="0" xfId="0" applyFont="1" applyFill="1" applyAlignment="1">
      <alignment horizontal="left" vertical="center"/>
    </xf>
    <xf numFmtId="0" fontId="99" fillId="25" borderId="0" xfId="0" applyFont="1" applyFill="1" applyAlignment="1">
      <alignment horizontal="center" vertical="center"/>
    </xf>
    <xf numFmtId="0" fontId="104" fillId="20" borderId="44" xfId="0" applyFont="1" applyFill="1" applyBorder="1" applyAlignment="1">
      <alignment horizontal="left" vertical="center"/>
    </xf>
    <xf numFmtId="0" fontId="104" fillId="20" borderId="42" xfId="0" applyFont="1" applyFill="1" applyBorder="1" applyAlignment="1">
      <alignment horizontal="left" vertical="center"/>
    </xf>
    <xf numFmtId="0" fontId="88" fillId="10" borderId="0" xfId="2" applyFont="1" applyFill="1" applyAlignment="1">
      <alignment horizontal="right" wrapText="1"/>
    </xf>
    <xf numFmtId="198" fontId="2" fillId="24" borderId="8" xfId="2" applyNumberFormat="1" applyFill="1" applyBorder="1" applyAlignment="1">
      <alignment horizontal="left" vertical="center"/>
    </xf>
    <xf numFmtId="198" fontId="2" fillId="24" borderId="9" xfId="2" applyNumberFormat="1" applyFill="1" applyBorder="1" applyAlignment="1">
      <alignment horizontal="left" vertical="center"/>
    </xf>
    <xf numFmtId="198" fontId="2" fillId="24" borderId="15"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0" fontId="2" fillId="23" borderId="15" xfId="2" applyFill="1" applyBorder="1" applyAlignment="1">
      <alignment horizontal="left" vertical="center"/>
    </xf>
    <xf numFmtId="195" fontId="2" fillId="19" borderId="8" xfId="2" applyNumberFormat="1" applyFill="1" applyBorder="1" applyAlignment="1">
      <alignment horizontal="left" vertical="center"/>
    </xf>
    <xf numFmtId="195" fontId="2" fillId="19" borderId="9" xfId="2" applyNumberFormat="1" applyFill="1" applyBorder="1" applyAlignment="1">
      <alignment horizontal="left" vertical="center"/>
    </xf>
    <xf numFmtId="196" fontId="2" fillId="19" borderId="8" xfId="2" applyNumberFormat="1" applyFill="1" applyBorder="1" applyAlignment="1">
      <alignment horizontal="left" vertical="center"/>
    </xf>
    <xf numFmtId="196" fontId="2" fillId="19" borderId="9" xfId="2" applyNumberFormat="1" applyFill="1" applyBorder="1" applyAlignment="1">
      <alignment horizontal="left" vertical="center"/>
    </xf>
    <xf numFmtId="0" fontId="2" fillId="19" borderId="8" xfId="2" applyFill="1" applyBorder="1" applyAlignment="1">
      <alignment horizontal="left" vertical="center"/>
    </xf>
    <xf numFmtId="0" fontId="2" fillId="19" borderId="9" xfId="2" applyFill="1" applyBorder="1" applyAlignment="1">
      <alignment horizontal="left" vertical="center"/>
    </xf>
    <xf numFmtId="194" fontId="2" fillId="19" borderId="8" xfId="2" applyNumberFormat="1" applyFill="1" applyBorder="1" applyAlignment="1">
      <alignment horizontal="left" vertical="center"/>
    </xf>
    <xf numFmtId="194" fontId="2" fillId="19" borderId="9" xfId="2" applyNumberFormat="1" applyFill="1" applyBorder="1" applyAlignment="1">
      <alignment horizontal="left" vertical="center"/>
    </xf>
    <xf numFmtId="197" fontId="2" fillId="24" borderId="8" xfId="2" applyNumberFormat="1" applyFill="1" applyBorder="1" applyAlignment="1">
      <alignment horizontal="left" vertical="center"/>
    </xf>
    <xf numFmtId="197" fontId="2" fillId="24" borderId="9" xfId="2" applyNumberFormat="1" applyFill="1" applyBorder="1" applyAlignment="1">
      <alignment horizontal="left" vertical="center"/>
    </xf>
    <xf numFmtId="197" fontId="2" fillId="24" borderId="15" xfId="2" applyNumberForma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97" fontId="2" fillId="19" borderId="8" xfId="2" applyNumberFormat="1" applyFill="1" applyBorder="1" applyAlignment="1">
      <alignment horizontal="left" vertical="center"/>
    </xf>
    <xf numFmtId="197" fontId="2" fillId="19" borderId="9" xfId="2" applyNumberFormat="1" applyFill="1" applyBorder="1" applyAlignment="1">
      <alignment horizontal="left" vertical="center"/>
    </xf>
    <xf numFmtId="197" fontId="2" fillId="19" borderId="15" xfId="2" applyNumberFormat="1" applyFill="1" applyBorder="1" applyAlignment="1">
      <alignment horizontal="left" vertical="center"/>
    </xf>
    <xf numFmtId="200" fontId="2" fillId="19" borderId="8" xfId="2" applyNumberFormat="1" applyFill="1" applyBorder="1" applyAlignment="1">
      <alignment horizontal="left" vertical="center"/>
    </xf>
    <xf numFmtId="200" fontId="2" fillId="19" borderId="9" xfId="2" applyNumberFormat="1" applyFill="1" applyBorder="1" applyAlignment="1">
      <alignment horizontal="left" vertical="center"/>
    </xf>
    <xf numFmtId="200" fontId="2" fillId="19" borderId="15" xfId="2" applyNumberFormat="1" applyFill="1" applyBorder="1" applyAlignment="1">
      <alignment horizontal="left" vertical="center"/>
    </xf>
    <xf numFmtId="198" fontId="2" fillId="19" borderId="8" xfId="2" applyNumberFormat="1" applyFill="1" applyBorder="1" applyAlignment="1">
      <alignment horizontal="left" vertical="center"/>
    </xf>
    <xf numFmtId="198" fontId="2" fillId="19" borderId="9" xfId="2" applyNumberFormat="1" applyFill="1" applyBorder="1" applyAlignment="1">
      <alignment horizontal="left" vertical="center"/>
    </xf>
    <xf numFmtId="198" fontId="2" fillId="19" borderId="15" xfId="2" applyNumberFormat="1" applyFill="1" applyBorder="1" applyAlignment="1">
      <alignment horizontal="left" vertical="center"/>
    </xf>
    <xf numFmtId="199" fontId="2" fillId="19" borderId="8" xfId="2" applyNumberFormat="1" applyFill="1" applyBorder="1" applyAlignment="1">
      <alignment horizontal="left" vertical="center"/>
    </xf>
    <xf numFmtId="199" fontId="2" fillId="19" borderId="9" xfId="2" applyNumberFormat="1" applyFill="1" applyBorder="1" applyAlignment="1">
      <alignment horizontal="left" vertical="center"/>
    </xf>
    <xf numFmtId="199" fontId="2" fillId="19" borderId="15" xfId="2" applyNumberFormat="1" applyFill="1" applyBorder="1" applyAlignment="1">
      <alignment horizontal="left" vertical="center"/>
    </xf>
    <xf numFmtId="194" fontId="2" fillId="10" borderId="8" xfId="2" applyNumberFormat="1" applyFill="1" applyBorder="1" applyAlignment="1">
      <alignment horizontal="left" vertical="center"/>
    </xf>
    <xf numFmtId="194" fontId="2" fillId="10" borderId="9" xfId="2" applyNumberFormat="1" applyFill="1" applyBorder="1" applyAlignment="1">
      <alignment horizontal="left" vertical="center"/>
    </xf>
    <xf numFmtId="193" fontId="2" fillId="23" borderId="8" xfId="2" applyNumberFormat="1" applyFill="1" applyBorder="1" applyAlignment="1">
      <alignment horizontal="left" vertical="center"/>
    </xf>
    <xf numFmtId="193" fontId="2" fillId="23" borderId="9" xfId="2" applyNumberFormat="1" applyFill="1" applyBorder="1" applyAlignment="1">
      <alignment horizontal="left" vertical="center"/>
    </xf>
    <xf numFmtId="192" fontId="2" fillId="23" borderId="8" xfId="2" applyNumberFormat="1" applyFill="1" applyBorder="1" applyAlignment="1">
      <alignment horizontal="left" vertical="center"/>
    </xf>
    <xf numFmtId="192" fontId="2" fillId="23" borderId="9" xfId="2" applyNumberFormat="1" applyFill="1" applyBorder="1" applyAlignment="1">
      <alignment horizontal="left" vertical="center"/>
    </xf>
    <xf numFmtId="0" fontId="102" fillId="19" borderId="56" xfId="2" applyFont="1" applyFill="1" applyBorder="1" applyAlignment="1">
      <alignment horizontal="left" vertical="center"/>
    </xf>
    <xf numFmtId="0" fontId="102"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6">
    <cellStyle name="Comma 2" xfId="4" xr:uid="{00000000-0005-0000-0000-000000000000}"/>
    <cellStyle name="Normal 2" xfId="2" xr:uid="{00000000-0005-0000-0000-000003000000}"/>
    <cellStyle name="Normal 3" xfId="3" xr:uid="{00000000-0005-0000-0000-000004000000}"/>
    <cellStyle name="ハイパーリンク" xfId="1" builtinId="8"/>
    <cellStyle name="桁区切り [0.00]" xfId="5" builtinId="3"/>
    <cellStyle name="標準" xfId="0" builtinId="0"/>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85.933218618692791</c:v>
                </c:pt>
                <c:pt idx="1">
                  <c:v>83.442395443996716</c:v>
                </c:pt>
                <c:pt idx="2">
                  <c:v>81.068347431433082</c:v>
                </c:pt>
                <c:pt idx="3">
                  <c:v>79.055594677960713</c:v>
                </c:pt>
                <c:pt idx="4">
                  <c:v>77.362200539995413</c:v>
                </c:pt>
                <c:pt idx="5">
                  <c:v>75.917582690298516</c:v>
                </c:pt>
                <c:pt idx="6">
                  <c:v>74.664671861364866</c:v>
                </c:pt>
                <c:pt idx="7">
                  <c:v>73.561598629668453</c:v>
                </c:pt>
                <c:pt idx="8">
                  <c:v>72.57790623264097</c:v>
                </c:pt>
                <c:pt idx="9">
                  <c:v>71.69113606555635</c:v>
                </c:pt>
                <c:pt idx="10">
                  <c:v>65.762777940645648</c:v>
                </c:pt>
                <c:pt idx="11">
                  <c:v>62.258693257831027</c:v>
                </c:pt>
                <c:pt idx="12">
                  <c:v>59.766667186741564</c:v>
                </c:pt>
                <c:pt idx="13">
                  <c:v>57.832167544185737</c:v>
                </c:pt>
                <c:pt idx="14">
                  <c:v>56.251162662451833</c:v>
                </c:pt>
                <c:pt idx="15">
                  <c:v>54.914441507947458</c:v>
                </c:pt>
                <c:pt idx="16">
                  <c:v>53.756694052212481</c:v>
                </c:pt>
                <c:pt idx="17">
                  <c:v>52.735746822105078</c:v>
                </c:pt>
                <c:pt idx="18">
                  <c:v>51.822783017792034</c:v>
                </c:pt>
                <c:pt idx="19">
                  <c:v>45.833001995424013</c:v>
                </c:pt>
                <c:pt idx="20">
                  <c:v>42.361103578918254</c:v>
                </c:pt>
                <c:pt idx="21">
                  <c:v>39.931936926941525</c:v>
                </c:pt>
                <c:pt idx="22">
                  <c:v>38.083001937607548</c:v>
                </c:pt>
                <c:pt idx="23">
                  <c:v>36.608189799853534</c:v>
                </c:pt>
                <c:pt idx="24">
                  <c:v>35.397469631423689</c:v>
                </c:pt>
                <c:pt idx="25">
                  <c:v>34.385082335083865</c:v>
                </c:pt>
                <c:pt idx="26">
                  <c:v>33.528537309207096</c:v>
                </c:pt>
                <c:pt idx="27">
                  <c:v>32.798754527739639</c:v>
                </c:pt>
                <c:pt idx="28">
                  <c:v>30.479928627572516</c:v>
                </c:pt>
                <c:pt idx="29">
                  <c:v>29.630216474623708</c:v>
                </c:pt>
                <c:pt idx="30">
                  <c:v>29.780938336604951</c:v>
                </c:pt>
                <c:pt idx="31">
                  <c:v>30.735669977760995</c:v>
                </c:pt>
                <c:pt idx="32">
                  <c:v>32.349516632116455</c:v>
                </c:pt>
                <c:pt idx="33">
                  <c:v>34.144120297662397</c:v>
                </c:pt>
                <c:pt idx="34">
                  <c:v>34.577930420869436</c:v>
                </c:pt>
                <c:pt idx="35">
                  <c:v>32.699233166003012</c:v>
                </c:pt>
                <c:pt idx="36">
                  <c:v>30.048736287697086</c:v>
                </c:pt>
                <c:pt idx="37">
                  <c:v>27.640595133108611</c:v>
                </c:pt>
                <c:pt idx="38">
                  <c:v>25.621936135068871</c:v>
                </c:pt>
                <c:pt idx="39">
                  <c:v>23.934123459795288</c:v>
                </c:pt>
                <c:pt idx="40">
                  <c:v>22.503463727103753</c:v>
                </c:pt>
                <c:pt idx="41">
                  <c:v>21.271460453769389</c:v>
                </c:pt>
                <c:pt idx="42">
                  <c:v>20.194938057739268</c:v>
                </c:pt>
                <c:pt idx="43">
                  <c:v>19.242196459032279</c:v>
                </c:pt>
                <c:pt idx="44">
                  <c:v>18.38967031389944</c:v>
                </c:pt>
                <c:pt idx="45">
                  <c:v>17.619542835706483</c:v>
                </c:pt>
                <c:pt idx="46">
                  <c:v>16.918109155468365</c:v>
                </c:pt>
                <c:pt idx="47">
                  <c:v>16.274654732002315</c:v>
                </c:pt>
                <c:pt idx="48">
                  <c:v>15.680677435437557</c:v>
                </c:pt>
                <c:pt idx="49">
                  <c:v>15.129339223803113</c:v>
                </c:pt>
                <c:pt idx="50">
                  <c:v>14.615073044892217</c:v>
                </c:pt>
                <c:pt idx="51">
                  <c:v>14.133296342862899</c:v>
                </c:pt>
                <c:pt idx="52">
                  <c:v>13.680199001597968</c:v>
                </c:pt>
                <c:pt idx="53">
                  <c:v>13.252584115393393</c:v>
                </c:pt>
                <c:pt idx="54">
                  <c:v>12.847746834305493</c:v>
                </c:pt>
                <c:pt idx="55">
                  <c:v>12.463381050669033</c:v>
                </c:pt>
                <c:pt idx="56">
                  <c:v>12.09750671887722</c:v>
                </c:pt>
                <c:pt idx="57">
                  <c:v>11.748412657932848</c:v>
                </c:pt>
                <c:pt idx="58">
                  <c:v>11.414611106512675</c:v>
                </c:pt>
                <c:pt idx="59">
                  <c:v>11.094801294747016</c:v>
                </c:pt>
                <c:pt idx="60">
                  <c:v>10.787840002656754</c:v>
                </c:pt>
                <c:pt idx="61">
                  <c:v>10.492717582374318</c:v>
                </c:pt>
                <c:pt idx="62">
                  <c:v>10.208538290085924</c:v>
                </c:pt>
                <c:pt idx="63">
                  <c:v>9.9345040447915718</c:v>
                </c:pt>
                <c:pt idx="64">
                  <c:v>9.6699009324100746</c:v>
                </c:pt>
                <c:pt idx="65">
                  <c:v>9.4140879248426028</c:v>
                </c:pt>
                <c:pt idx="66">
                  <c:v>9.1664873979643726</c:v>
                </c:pt>
                <c:pt idx="67">
                  <c:v>8.9265771198108226</c:v>
                </c:pt>
                <c:pt idx="68">
                  <c:v>8.693883447401209</c:v>
                </c:pt>
                <c:pt idx="69">
                  <c:v>8.4679755227287536</c:v>
                </c:pt>
                <c:pt idx="70">
                  <c:v>8.2484602991215219</c:v>
                </c:pt>
                <c:pt idx="71">
                  <c:v>8.0349782611573275</c:v>
                </c:pt>
                <c:pt idx="72">
                  <c:v>7.8271997266200142</c:v>
                </c:pt>
                <c:pt idx="73">
                  <c:v>7.6248216391278323</c:v>
                </c:pt>
                <c:pt idx="74">
                  <c:v>7.4275647761938579</c:v>
                </c:pt>
                <c:pt idx="75">
                  <c:v>7.2351713104631621</c:v>
                </c:pt>
                <c:pt idx="76">
                  <c:v>7.0474026723804251</c:v>
                </c:pt>
                <c:pt idx="77">
                  <c:v>6.864037671089358</c:v>
                </c:pt>
                <c:pt idx="78">
                  <c:v>6.6848708373505765</c:v>
                </c:pt>
                <c:pt idx="79">
                  <c:v>6.5097109579992942</c:v>
                </c:pt>
                <c:pt idx="80">
                  <c:v>6.3383797761929923</c:v>
                </c:pt>
                <c:pt idx="81">
                  <c:v>6.1707108356144067</c:v>
                </c:pt>
                <c:pt idx="82">
                  <c:v>6.0065484500504347</c:v>
                </c:pt>
                <c:pt idx="83">
                  <c:v>5.8457467824835518</c:v>
                </c:pt>
                <c:pt idx="84">
                  <c:v>5.688169020107936</c:v>
                </c:pt>
                <c:pt idx="85">
                  <c:v>5.533686633595007</c:v>
                </c:pt>
                <c:pt idx="86">
                  <c:v>5.3821787105463246</c:v>
                </c:pt>
                <c:pt idx="87">
                  <c:v>5.2335313544370816</c:v>
                </c:pt>
                <c:pt idx="88">
                  <c:v>5.0876371415124595</c:v>
                </c:pt>
                <c:pt idx="89">
                  <c:v>4.9443946290860277</c:v>
                </c:pt>
                <c:pt idx="90">
                  <c:v>4.8037079095324025</c:v>
                </c:pt>
                <c:pt idx="91">
                  <c:v>4.6654862049883237</c:v>
                </c:pt>
                <c:pt idx="92">
                  <c:v>4.5296434983963838</c:v>
                </c:pt>
                <c:pt idx="93">
                  <c:v>4.3960981970598425</c:v>
                </c:pt>
                <c:pt idx="94">
                  <c:v>4.2647728253376673</c:v>
                </c:pt>
                <c:pt idx="95">
                  <c:v>4.1355937435084629</c:v>
                </c:pt>
                <c:pt idx="96">
                  <c:v>4.0084908901778107</c:v>
                </c:pt>
                <c:pt idx="97">
                  <c:v>3.8833975459049537</c:v>
                </c:pt>
                <c:pt idx="98">
                  <c:v>3.7602501159869899</c:v>
                </c:pt>
                <c:pt idx="99">
                  <c:v>3.6389879305683164</c:v>
                </c:pt>
                <c:pt idx="100">
                  <c:v>3.5195530604435477</c:v>
                </c:pt>
                <c:pt idx="101">
                  <c:v>3.40189014709832</c:v>
                </c:pt>
                <c:pt idx="102">
                  <c:v>3.2859462456872968</c:v>
                </c:pt>
                <c:pt idx="103">
                  <c:v>3.1716706797847816</c:v>
                </c:pt>
                <c:pt idx="104">
                  <c:v>3.0590149068639199</c:v>
                </c:pt>
                <c:pt idx="105">
                  <c:v>2.947932393566588</c:v>
                </c:pt>
                <c:pt idx="106">
                  <c:v>2.8383784999204091</c:v>
                </c:pt>
                <c:pt idx="107">
                  <c:v>2.7303103717428954</c:v>
                </c:pt>
                <c:pt idx="108">
                  <c:v>2.623686840546839</c:v>
                </c:pt>
                <c:pt idx="109">
                  <c:v>2.5184683303274378</c:v>
                </c:pt>
                <c:pt idx="110">
                  <c:v>2.414616770670265</c:v>
                </c:pt>
                <c:pt idx="111">
                  <c:v>2.3120955156722283</c:v>
                </c:pt>
                <c:pt idx="112">
                  <c:v>2.210869268214251</c:v>
                </c:pt>
                <c:pt idx="113">
                  <c:v>2.1109040091671387</c:v>
                </c:pt>
                <c:pt idx="114">
                  <c:v>2.0121669311493875</c:v>
                </c:pt>
                <c:pt idx="115">
                  <c:v>1.9146263764901106</c:v>
                </c:pt>
                <c:pt idx="116">
                  <c:v>1.8182517790804942</c:v>
                </c:pt>
                <c:pt idx="117">
                  <c:v>1.7230136098250015</c:v>
                </c:pt>
                <c:pt idx="118">
                  <c:v>1.6288833254281478</c:v>
                </c:pt>
                <c:pt idx="119">
                  <c:v>1.5358333202752434</c:v>
                </c:pt>
                <c:pt idx="120">
                  <c:v>1.4438368811858007</c:v>
                </c:pt>
                <c:pt idx="121">
                  <c:v>1.3528681448365101</c:v>
                </c:pt>
                <c:pt idx="122">
                  <c:v>1.2629020576674694</c:v>
                </c:pt>
                <c:pt idx="123">
                  <c:v>1.1739143381004973</c:v>
                </c:pt>
                <c:pt idx="124">
                  <c:v>1.0858814409118935</c:v>
                </c:pt>
                <c:pt idx="125">
                  <c:v>0.99878052361467962</c:v>
                </c:pt>
                <c:pt idx="126">
                  <c:v>0.91258941471666621</c:v>
                </c:pt>
                <c:pt idx="127">
                  <c:v>0.82728658373097408</c:v>
                </c:pt>
                <c:pt idx="128">
                  <c:v>0.7428511128252655</c:v>
                </c:pt>
                <c:pt idx="129">
                  <c:v>0.65926267000431604</c:v>
                </c:pt>
                <c:pt idx="130">
                  <c:v>0.57650148372884369</c:v>
                </c:pt>
                <c:pt idx="131">
                  <c:v>0.49454831888025041</c:v>
                </c:pt>
                <c:pt idx="132">
                  <c:v>0.41338445398803281</c:v>
                </c:pt>
                <c:pt idx="133">
                  <c:v>0.33299165964234773</c:v>
                </c:pt>
                <c:pt idx="134">
                  <c:v>0.2533521780199553</c:v>
                </c:pt>
                <c:pt idx="135">
                  <c:v>0.1744487034568247</c:v>
                </c:pt>
                <c:pt idx="136">
                  <c:v>9.6264364005484632E-2</c:v>
                </c:pt>
                <c:pt idx="137">
                  <c:v>1.8782703919359406E-2</c:v>
                </c:pt>
                <c:pt idx="138">
                  <c:v>-5.8012332989484862E-2</c:v>
                </c:pt>
                <c:pt idx="139">
                  <c:v>-0.13413641916923863</c:v>
                </c:pt>
                <c:pt idx="140">
                  <c:v>-0.209604858370427</c:v>
                </c:pt>
                <c:pt idx="141">
                  <c:v>-0.28443259995467418</c:v>
                </c:pt>
                <c:pt idx="142">
                  <c:v>-0.3586342525106857</c:v>
                </c:pt>
                <c:pt idx="143">
                  <c:v>-0.43222409681535295</c:v>
                </c:pt>
                <c:pt idx="144">
                  <c:v>-0.50521609817542745</c:v>
                </c:pt>
                <c:pt idx="145">
                  <c:v>-0.57762391818283243</c:v>
                </c:pt>
                <c:pt idx="146">
                  <c:v>-0.64946092591459292</c:v>
                </c:pt>
                <c:pt idx="147">
                  <c:v>-0.72074020860659216</c:v>
                </c:pt>
                <c:pt idx="148">
                  <c:v>-0.79147458182800878</c:v>
                </c:pt>
                <c:pt idx="149">
                  <c:v>-0.86167659918236617</c:v>
                </c:pt>
                <c:pt idx="150">
                  <c:v>-0.93135856155875063</c:v>
                </c:pt>
                <c:pt idx="151">
                  <c:v>-1.000532525955879</c:v>
                </c:pt>
                <c:pt idx="152">
                  <c:v>-1.0692103139000624</c:v>
                </c:pt>
                <c:pt idx="153">
                  <c:v>-1.1374035194768752</c:v>
                </c:pt>
                <c:pt idx="154">
                  <c:v>-1.2051235169952252</c:v>
                </c:pt>
                <c:pt idx="155">
                  <c:v>-1.2723814683013477</c:v>
                </c:pt>
                <c:pt idx="156">
                  <c:v>-1.3391883297592782</c:v>
                </c:pt>
                <c:pt idx="157">
                  <c:v>-1.4055548589133651</c:v>
                </c:pt>
                <c:pt idx="158">
                  <c:v>-1.4714916208475324</c:v>
                </c:pt>
                <c:pt idx="159">
                  <c:v>-1.5370089942551051</c:v>
                </c:pt>
                <c:pt idx="160">
                  <c:v>-1.6021171772323084</c:v>
                </c:pt>
                <c:pt idx="161">
                  <c:v>-1.6668261928078425</c:v>
                </c:pt>
                <c:pt idx="162">
                  <c:v>-1.7311458942200417</c:v>
                </c:pt>
                <c:pt idx="163">
                  <c:v>-1.7950859699528889</c:v>
                </c:pt>
                <c:pt idx="164">
                  <c:v>-1.8586559485411658</c:v>
                </c:pt>
                <c:pt idx="165">
                  <c:v>-1.9218652031547219</c:v>
                </c:pt>
                <c:pt idx="166">
                  <c:v>-1.984722955971193</c:v>
                </c:pt>
                <c:pt idx="167">
                  <c:v>-2.0472382823461137</c:v>
                </c:pt>
                <c:pt idx="168">
                  <c:v>-2.1094201147888922</c:v>
                </c:pt>
                <c:pt idx="169">
                  <c:v>-2.1712772467525228</c:v>
                </c:pt>
                <c:pt idx="170">
                  <c:v>-2.2328183362448835</c:v>
                </c:pt>
                <c:pt idx="171">
                  <c:v>-2.2940519092686502</c:v>
                </c:pt>
                <c:pt idx="172">
                  <c:v>-2.3549863630969186</c:v>
                </c:pt>
                <c:pt idx="173">
                  <c:v>-2.4156299693909835</c:v>
                </c:pt>
                <c:pt idx="174">
                  <c:v>-2.4759908771665815</c:v>
                </c:pt>
                <c:pt idx="175">
                  <c:v>-2.5360771156146629</c:v>
                </c:pt>
                <c:pt idx="176">
                  <c:v>-2.5958965967822483</c:v>
                </c:pt>
                <c:pt idx="177">
                  <c:v>-2.6554571181190489</c:v>
                </c:pt>
                <c:pt idx="178">
                  <c:v>-2.7147663648949036</c:v>
                </c:pt>
                <c:pt idx="179">
                  <c:v>-2.773831912493125</c:v>
                </c:pt>
                <c:pt idx="180">
                  <c:v>-2.8326612285846036</c:v>
                </c:pt>
                <c:pt idx="181">
                  <c:v>-2.891261675187188</c:v>
                </c:pt>
                <c:pt idx="182">
                  <c:v>-2.9496405106148322</c:v>
                </c:pt>
                <c:pt idx="183">
                  <c:v>-3.0078048913208071</c:v>
                </c:pt>
                <c:pt idx="184">
                  <c:v>-3.0657618736390169</c:v>
                </c:pt>
                <c:pt idx="185">
                  <c:v>-3.1235184154273905</c:v>
                </c:pt>
                <c:pt idx="186">
                  <c:v>-3.1810813776172315</c:v>
                </c:pt>
                <c:pt idx="187">
                  <c:v>-3.238457525672132</c:v>
                </c:pt>
                <c:pt idx="188">
                  <c:v>-3.2956535309600259</c:v>
                </c:pt>
                <c:pt idx="189">
                  <c:v>-3.3526759720419581</c:v>
                </c:pt>
                <c:pt idx="190">
                  <c:v>-3.4095313358806774</c:v>
                </c:pt>
                <c:pt idx="191">
                  <c:v>-3.466226018972574</c:v>
                </c:pt>
                <c:pt idx="192">
                  <c:v>-3.5227663284058632</c:v>
                </c:pt>
                <c:pt idx="193">
                  <c:v>-3.5791584828482574</c:v>
                </c:pt>
                <c:pt idx="194">
                  <c:v>-3.6354086134670198</c:v>
                </c:pt>
                <c:pt idx="195">
                  <c:v>-3.6915227647842856</c:v>
                </c:pt>
                <c:pt idx="196">
                  <c:v>-3.7475068954705888</c:v>
                </c:pt>
                <c:pt idx="197">
                  <c:v>-3.8033668790791566</c:v>
                </c:pt>
                <c:pt idx="198">
                  <c:v>-3.8591085047239213</c:v>
                </c:pt>
                <c:pt idx="199">
                  <c:v>-3.9147374777036377</c:v>
                </c:pt>
                <c:pt idx="200">
                  <c:v>-3.9702594200748531</c:v>
                </c:pt>
                <c:pt idx="201">
                  <c:v>-4.0256798711761839</c:v>
                </c:pt>
                <c:pt idx="202">
                  <c:v>-4.081004288106322</c:v>
                </c:pt>
                <c:pt idx="203">
                  <c:v>-4.1362380461583168</c:v>
                </c:pt>
                <c:pt idx="204">
                  <c:v>-4.1913864392123763</c:v>
                </c:pt>
                <c:pt idx="205">
                  <c:v>-4.246454680089581</c:v>
                </c:pt>
                <c:pt idx="206">
                  <c:v>-4.3014479008688129</c:v>
                </c:pt>
                <c:pt idx="207">
                  <c:v>-4.356371153169043</c:v>
                </c:pt>
                <c:pt idx="208">
                  <c:v>-4.4112294083993531</c:v>
                </c:pt>
                <c:pt idx="209">
                  <c:v>-4.4660275579786379</c:v>
                </c:pt>
                <c:pt idx="210">
                  <c:v>-4.5207704135273206</c:v>
                </c:pt>
                <c:pt idx="211">
                  <c:v>-4.5754627070330569</c:v>
                </c:pt>
                <c:pt idx="212">
                  <c:v>-4.6301090909924447</c:v>
                </c:pt>
                <c:pt idx="213">
                  <c:v>-4.6847141385309135</c:v>
                </c:pt>
                <c:pt idx="214">
                  <c:v>-4.739282343502607</c:v>
                </c:pt>
                <c:pt idx="215">
                  <c:v>-4.7938181205722756</c:v>
                </c:pt>
                <c:pt idx="216">
                  <c:v>-4.8483258052811493</c:v>
                </c:pt>
                <c:pt idx="217">
                  <c:v>-4.9028096540985571</c:v>
                </c:pt>
                <c:pt idx="218">
                  <c:v>-4.9572738444611977</c:v>
                </c:pt>
                <c:pt idx="219">
                  <c:v>-5.0117224748018554</c:v>
                </c:pt>
                <c:pt idx="220">
                  <c:v>-5.0661595645693573</c:v>
                </c:pt>
                <c:pt idx="221">
                  <c:v>-5.1205890542414503</c:v>
                </c:pt>
                <c:pt idx="222">
                  <c:v>-5.1750148053323528</c:v>
                </c:pt>
                <c:pt idx="223">
                  <c:v>-5.2294406003965808</c:v>
                </c:pt>
                <c:pt idx="224">
                  <c:v>-5.2838701430307333</c:v>
                </c:pt>
                <c:pt idx="225">
                  <c:v>-5.3383070578748137</c:v>
                </c:pt>
                <c:pt idx="226">
                  <c:v>-5.8838226619743894</c:v>
                </c:pt>
                <c:pt idx="227">
                  <c:v>-6.4334772228225203</c:v>
                </c:pt>
                <c:pt idx="228">
                  <c:v>-6.9896010550581922</c:v>
                </c:pt>
                <c:pt idx="229">
                  <c:v>-7.5537643742914407</c:v>
                </c:pt>
                <c:pt idx="230">
                  <c:v>-8.126821240838769</c:v>
                </c:pt>
                <c:pt idx="231">
                  <c:v>-8.7089775051615845</c:v>
                </c:pt>
                <c:pt idx="232">
                  <c:v>-9.2998799728557877</c:v>
                </c:pt>
                <c:pt idx="233">
                  <c:v>-9.8987204734446301</c:v>
                </c:pt>
                <c:pt idx="234">
                  <c:v>-10.504346639720453</c:v>
                </c:pt>
                <c:pt idx="235">
                  <c:v>-11.115371044086896</c:v>
                </c:pt>
                <c:pt idx="236">
                  <c:v>-11.730271571221749</c:v>
                </c:pt>
                <c:pt idx="237">
                  <c:v>-12.347477979396697</c:v>
                </c:pt>
                <c:pt idx="238">
                  <c:v>-12.965441929273762</c:v>
                </c:pt>
                <c:pt idx="239">
                  <c:v>-13.58268987144446</c:v>
                </c:pt>
                <c:pt idx="240">
                  <c:v>-14.197859805517304</c:v>
                </c:pt>
                <c:pt idx="241">
                  <c:v>-14.809723963446375</c:v>
                </c:pt>
                <c:pt idx="242">
                  <c:v>-15.417199973288799</c:v>
                </c:pt>
                <c:pt idx="243">
                  <c:v>-16.019353145256527</c:v>
                </c:pt>
                <c:pt idx="244">
                  <c:v>-16.615392328798375</c:v>
                </c:pt>
                <c:pt idx="245">
                  <c:v>-17.204661442961775</c:v>
                </c:pt>
                <c:pt idx="246">
                  <c:v>-17.786628378560842</c:v>
                </c:pt>
                <c:pt idx="247">
                  <c:v>-18.360872573774657</c:v>
                </c:pt>
                <c:pt idx="248">
                  <c:v>-18.927072211179844</c:v>
                </c:pt>
                <c:pt idx="249">
                  <c:v>-19.484991689897214</c:v>
                </c:pt>
                <c:pt idx="250">
                  <c:v>-20.034469794146631</c:v>
                </c:pt>
                <c:pt idx="251">
                  <c:v>-20.575408804071095</c:v>
                </c:pt>
                <c:pt idx="252">
                  <c:v>-21.107764667679824</c:v>
                </c:pt>
                <c:pt idx="253">
                  <c:v>-21.631538264695894</c:v>
                </c:pt>
                <c:pt idx="254">
                  <c:v>-22.146767735027414</c:v>
                </c:pt>
                <c:pt idx="255">
                  <c:v>-22.653521808781111</c:v>
                </c:pt>
                <c:pt idx="256">
                  <c:v>-23.151894054909118</c:v>
                </c:pt>
                <c:pt idx="257">
                  <c:v>-23.64199795681624</c:v>
                </c:pt>
                <c:pt idx="258">
                  <c:v>-24.123962721859556</c:v>
                </c:pt>
                <c:pt idx="259">
                  <c:v>-24.597929734943826</c:v>
                </c:pt>
                <c:pt idx="260">
                  <c:v>-25.064049572434762</c:v>
                </c:pt>
                <c:pt idx="261">
                  <c:v>-25.52247950005151</c:v>
                </c:pt>
                <c:pt idx="262">
                  <c:v>-25.973381386372235</c:v>
                </c:pt>
                <c:pt idx="263">
                  <c:v>-26.416919971521587</c:v>
                </c:pt>
                <c:pt idx="264">
                  <c:v>-26.853261438158682</c:v>
                </c:pt>
                <c:pt idx="265">
                  <c:v>-27.282572238854712</c:v>
                </c:pt>
                <c:pt idx="266">
                  <c:v>-27.705018140250441</c:v>
                </c:pt>
                <c:pt idx="267">
                  <c:v>-28.120763449991287</c:v>
                </c:pt>
                <c:pt idx="268">
                  <c:v>-28.529970397369713</c:v>
                </c:pt>
                <c:pt idx="269">
                  <c:v>-28.932798642904011</c:v>
                </c:pt>
                <c:pt idx="270">
                  <c:v>-29.329404895803211</c:v>
                </c:pt>
                <c:pt idx="271">
                  <c:v>-29.719942621471041</c:v>
                </c:pt>
                <c:pt idx="272">
                  <c:v>-30.104561823946256</c:v>
                </c:pt>
                <c:pt idx="273">
                  <c:v>-30.483408890520884</c:v>
                </c:pt>
                <c:pt idx="274">
                  <c:v>-30.856626487773703</c:v>
                </c:pt>
                <c:pt idx="275">
                  <c:v>-31.224353499952343</c:v>
                </c:pt>
                <c:pt idx="276">
                  <c:v>-31.586725002075909</c:v>
                </c:pt>
                <c:pt idx="277">
                  <c:v>-31.943872261348019</c:v>
                </c:pt>
                <c:pt idx="278">
                  <c:v>-32.295922761500783</c:v>
                </c:pt>
                <c:pt idx="279">
                  <c:v>-32.64300024556109</c:v>
                </c:pt>
                <c:pt idx="280">
                  <c:v>-32.985224773265884</c:v>
                </c:pt>
                <c:pt idx="281">
                  <c:v>-33.322712789973622</c:v>
                </c:pt>
                <c:pt idx="282">
                  <c:v>-33.65557720444275</c:v>
                </c:pt>
                <c:pt idx="283">
                  <c:v>-33.983927473288574</c:v>
                </c:pt>
                <c:pt idx="284">
                  <c:v>-34.307869690302283</c:v>
                </c:pt>
                <c:pt idx="285">
                  <c:v>-34.627506679128118</c:v>
                </c:pt>
                <c:pt idx="286">
                  <c:v>-34.942938088058526</c:v>
                </c:pt>
                <c:pt idx="287">
                  <c:v>-35.254260485928356</c:v>
                </c:pt>
                <c:pt idx="288">
                  <c:v>-35.561567458275384</c:v>
                </c:pt>
                <c:pt idx="289">
                  <c:v>-35.864949703090751</c:v>
                </c:pt>
                <c:pt idx="290">
                  <c:v>-36.164495125614096</c:v>
                </c:pt>
                <c:pt idx="291">
                  <c:v>-36.460288931737836</c:v>
                </c:pt>
                <c:pt idx="292">
                  <c:v>-36.752413719677385</c:v>
                </c:pt>
                <c:pt idx="293">
                  <c:v>-37.040949569640532</c:v>
                </c:pt>
                <c:pt idx="294">
                  <c:v>-37.3259741312934</c:v>
                </c:pt>
                <c:pt idx="295">
                  <c:v>-37.607562708873907</c:v>
                </c:pt>
                <c:pt idx="296">
                  <c:v>-37.885788343847494</c:v>
                </c:pt>
                <c:pt idx="297">
                  <c:v>-38.16072189503663</c:v>
                </c:pt>
                <c:pt idx="298">
                  <c:v>-38.432432116185836</c:v>
                </c:pt>
                <c:pt idx="299">
                  <c:v>-38.700985730948368</c:v>
                </c:pt>
                <c:pt idx="300">
                  <c:v>-38.966447505300891</c:v>
                </c:pt>
                <c:pt idx="301">
                  <c:v>-39.228880317408979</c:v>
                </c:pt>
                <c:pt idx="302">
                  <c:v>-39.488345224978779</c:v>
                </c:pt>
                <c:pt idx="303">
                  <c:v>-39.744901530141121</c:v>
                </c:pt>
                <c:pt idx="304">
                  <c:v>-39.998606841921877</c:v>
                </c:pt>
                <c:pt idx="305">
                  <c:v>-40.249517136358847</c:v>
                </c:pt>
                <c:pt idx="306">
                  <c:v>-40.497686814329874</c:v>
                </c:pt>
                <c:pt idx="307">
                  <c:v>-40.743168757160227</c:v>
                </c:pt>
                <c:pt idx="308">
                  <c:v>-40.986014380079496</c:v>
                </c:pt>
                <c:pt idx="309">
                  <c:v>-41.226273683599302</c:v>
                </c:pt>
                <c:pt idx="310">
                  <c:v>-41.463995302884001</c:v>
                </c:pt>
                <c:pt idx="311">
                  <c:v>-41.699226555186193</c:v>
                </c:pt>
                <c:pt idx="312">
                  <c:v>-41.932013485418381</c:v>
                </c:pt>
                <c:pt idx="313">
                  <c:v>-42.162400909931335</c:v>
                </c:pt>
                <c:pt idx="314">
                  <c:v>-42.390432458568164</c:v>
                </c:pt>
                <c:pt idx="315">
                  <c:v>-42.616150615061713</c:v>
                </c:pt>
                <c:pt idx="316">
                  <c:v>-42.839596755841484</c:v>
                </c:pt>
                <c:pt idx="317">
                  <c:v>-43.060811187313739</c:v>
                </c:pt>
                <c:pt idx="318">
                  <c:v>-43.279833181677418</c:v>
                </c:pt>
                <c:pt idx="319">
                  <c:v>-43.496701011335617</c:v>
                </c:pt>
                <c:pt idx="320">
                  <c:v>-43.711451981961005</c:v>
                </c:pt>
                <c:pt idx="321">
                  <c:v>-43.924122464271008</c:v>
                </c:pt>
                <c:pt idx="322">
                  <c:v>-44.134747924566852</c:v>
                </c:pt>
                <c:pt idx="323">
                  <c:v>-44.343362954088292</c:v>
                </c:pt>
                <c:pt idx="324">
                  <c:v>-44.550001297233869</c:v>
                </c:pt>
                <c:pt idx="325">
                  <c:v>-44.75469587869469</c:v>
                </c:pt>
                <c:pt idx="326">
                  <c:v>-44.957478829547455</c:v>
                </c:pt>
                <c:pt idx="327">
                  <c:v>-45.158381512350957</c:v>
                </c:pt>
                <c:pt idx="328">
                  <c:v>-45.357434545288065</c:v>
                </c:pt>
                <c:pt idx="329">
                  <c:v>-45.554667825393686</c:v>
                </c:pt>
                <c:pt idx="330">
                  <c:v>-45.750110550907252</c:v>
                </c:pt>
                <c:pt idx="331">
                  <c:v>-45.943791242786787</c:v>
                </c:pt>
                <c:pt idx="332">
                  <c:v>-46.135737765419918</c:v>
                </c:pt>
                <c:pt idx="333">
                  <c:v>-46.325977346565502</c:v>
                </c:pt>
                <c:pt idx="334">
                  <c:v>-46.514536596558436</c:v>
                </c:pt>
                <c:pt idx="335">
                  <c:v>-46.701441526808281</c:v>
                </c:pt>
                <c:pt idx="336">
                  <c:v>-46.886717567621481</c:v>
                </c:pt>
                <c:pt idx="337">
                  <c:v>-47.070389585375111</c:v>
                </c:pt>
                <c:pt idx="338">
                  <c:v>-47.252481899069359</c:v>
                </c:pt>
                <c:pt idx="339">
                  <c:v>-47.433018296284352</c:v>
                </c:pt>
                <c:pt idx="340">
                  <c:v>-47.612022048565819</c:v>
                </c:pt>
                <c:pt idx="341">
                  <c:v>-47.789515926263498</c:v>
                </c:pt>
                <c:pt idx="342">
                  <c:v>-47.965522212844135</c:v>
                </c:pt>
                <c:pt idx="343">
                  <c:v>-48.140062718701053</c:v>
                </c:pt>
                <c:pt idx="344">
                  <c:v>-48.313158794480501</c:v>
                </c:pt>
                <c:pt idx="345">
                  <c:v>-48.484831343944393</c:v>
                </c:pt>
                <c:pt idx="346">
                  <c:v>-48.655100836388257</c:v>
                </c:pt>
                <c:pt idx="347">
                  <c:v>-48.823987318632078</c:v>
                </c:pt>
                <c:pt idx="348">
                  <c:v>-48.991510426601231</c:v>
                </c:pt>
                <c:pt idx="349">
                  <c:v>-49.157689396513987</c:v>
                </c:pt>
                <c:pt idx="350">
                  <c:v>-49.32254307569071</c:v>
                </c:pt>
                <c:pt idx="351">
                  <c:v>-49.486089933000329</c:v>
                </c:pt>
                <c:pt idx="352">
                  <c:v>-49.648348068957667</c:v>
                </c:pt>
                <c:pt idx="353">
                  <c:v>-49.809335225485867</c:v>
                </c:pt>
                <c:pt idx="354">
                  <c:v>-49.96906879535652</c:v>
                </c:pt>
                <c:pt idx="355">
                  <c:v>-50.127565831320155</c:v>
                </c:pt>
                <c:pt idx="356">
                  <c:v>-50.284843054939032</c:v>
                </c:pt>
                <c:pt idx="357">
                  <c:v>-50.440916865133659</c:v>
                </c:pt>
                <c:pt idx="358">
                  <c:v>-50.595803346453863</c:v>
                </c:pt>
                <c:pt idx="359">
                  <c:v>-50.749518277084931</c:v>
                </c:pt>
                <c:pt idx="360">
                  <c:v>-50.902077136598933</c:v>
                </c:pt>
                <c:pt idx="361">
                  <c:v>-51.053495113460585</c:v>
                </c:pt>
                <c:pt idx="362">
                  <c:v>-51.203787112297064</c:v>
                </c:pt>
                <c:pt idx="363">
                  <c:v>-51.35296776094043</c:v>
                </c:pt>
                <c:pt idx="364">
                  <c:v>-51.501051417251063</c:v>
                </c:pt>
                <c:pt idx="365">
                  <c:v>-51.648052175730285</c:v>
                </c:pt>
                <c:pt idx="366">
                  <c:v>-51.793983873929804</c:v>
                </c:pt>
                <c:pt idx="367">
                  <c:v>-51.938860098665451</c:v>
                </c:pt>
                <c:pt idx="368">
                  <c:v>-52.082694192042176</c:v>
                </c:pt>
                <c:pt idx="369">
                  <c:v>-52.2254992572974</c:v>
                </c:pt>
                <c:pt idx="370">
                  <c:v>-52.367288164468889</c:v>
                </c:pt>
                <c:pt idx="371">
                  <c:v>-52.508073555893695</c:v>
                </c:pt>
                <c:pt idx="372">
                  <c:v>-52.647867851544063</c:v>
                </c:pt>
                <c:pt idx="373">
                  <c:v>-52.786683254206011</c:v>
                </c:pt>
                <c:pt idx="374">
                  <c:v>-52.924531754506248</c:v>
                </c:pt>
                <c:pt idx="375">
                  <c:v>-53.061425135792618</c:v>
                </c:pt>
                <c:pt idx="376">
                  <c:v>-53.197374978873285</c:v>
                </c:pt>
                <c:pt idx="377">
                  <c:v>-53.332392666619377</c:v>
                </c:pt>
                <c:pt idx="378">
                  <c:v>-53.466489388436003</c:v>
                </c:pt>
                <c:pt idx="379">
                  <c:v>-53.599676144605972</c:v>
                </c:pt>
                <c:pt idx="380">
                  <c:v>-53.731963750510701</c:v>
                </c:pt>
                <c:pt idx="381">
                  <c:v>-53.863362840732364</c:v>
                </c:pt>
                <c:pt idx="382">
                  <c:v>-53.99388387304132</c:v>
                </c:pt>
                <c:pt idx="383">
                  <c:v>-54.12353713227273</c:v>
                </c:pt>
                <c:pt idx="384">
                  <c:v>-54.252332734095994</c:v>
                </c:pt>
                <c:pt idx="385">
                  <c:v>-54.380280628680559</c:v>
                </c:pt>
                <c:pt idx="386">
                  <c:v>-54.507390604261595</c:v>
                </c:pt>
                <c:pt idx="387">
                  <c:v>-54.633672290608793</c:v>
                </c:pt>
                <c:pt idx="388">
                  <c:v>-54.759135162401414</c:v>
                </c:pt>
                <c:pt idx="389">
                  <c:v>-54.883788542512676</c:v>
                </c:pt>
                <c:pt idx="390">
                  <c:v>-55.007641605206487</c:v>
                </c:pt>
                <c:pt idx="391">
                  <c:v>-55.130703379249098</c:v>
                </c:pt>
                <c:pt idx="392">
                  <c:v>-55.252982750938841</c:v>
                </c:pt>
                <c:pt idx="393">
                  <c:v>-55.374488467055983</c:v>
                </c:pt>
                <c:pt idx="394">
                  <c:v>-55.495229137735819</c:v>
                </c:pt>
                <c:pt idx="395">
                  <c:v>-55.615213239266922</c:v>
                </c:pt>
                <c:pt idx="396">
                  <c:v>-55.734449116817338</c:v>
                </c:pt>
                <c:pt idx="397">
                  <c:v>-55.852944987090531</c:v>
                </c:pt>
                <c:pt idx="398">
                  <c:v>-55.970708940913703</c:v>
                </c:pt>
                <c:pt idx="399">
                  <c:v>-56.087748945760183</c:v>
                </c:pt>
                <c:pt idx="400">
                  <c:v>-56.20407284820827</c:v>
                </c:pt>
                <c:pt idx="401">
                  <c:v>-56.319688376338071</c:v>
                </c:pt>
                <c:pt idx="402">
                  <c:v>-56.434603142068731</c:v>
                </c:pt>
                <c:pt idx="403">
                  <c:v>-56.548824643437278</c:v>
                </c:pt>
                <c:pt idx="404">
                  <c:v>-56.662360266821366</c:v>
                </c:pt>
                <c:pt idx="405">
                  <c:v>-56.77521728910726</c:v>
                </c:pt>
                <c:pt idx="406">
                  <c:v>-56.887402879804782</c:v>
                </c:pt>
                <c:pt idx="407">
                  <c:v>-56.998924103110895</c:v>
                </c:pt>
                <c:pt idx="408">
                  <c:v>-57.10978791992332</c:v>
                </c:pt>
                <c:pt idx="409">
                  <c:v>-57.2200011898057</c:v>
                </c:pt>
                <c:pt idx="410">
                  <c:v>-57.329570672905625</c:v>
                </c:pt>
                <c:pt idx="411">
                  <c:v>-57.438503031827167</c:v>
                </c:pt>
                <c:pt idx="412">
                  <c:v>-57.546804833458893</c:v>
                </c:pt>
                <c:pt idx="413">
                  <c:v>-57.654482550758857</c:v>
                </c:pt>
                <c:pt idx="414">
                  <c:v>-57.761542564497795</c:v>
                </c:pt>
                <c:pt idx="415">
                  <c:v>-57.867991164961545</c:v>
                </c:pt>
                <c:pt idx="416">
                  <c:v>-57.97383455361409</c:v>
                </c:pt>
                <c:pt idx="417">
                  <c:v>-58.079078844722119</c:v>
                </c:pt>
                <c:pt idx="418">
                  <c:v>-58.183730066942346</c:v>
                </c:pt>
                <c:pt idx="419">
                  <c:v>-58.287794164872523</c:v>
                </c:pt>
                <c:pt idx="420">
                  <c:v>-58.3912770005672</c:v>
                </c:pt>
                <c:pt idx="421">
                  <c:v>-58.494184355019172</c:v>
                </c:pt>
                <c:pt idx="422">
                  <c:v>-58.596521929607661</c:v>
                </c:pt>
                <c:pt idx="423">
                  <c:v>-58.698295347513998</c:v>
                </c:pt>
                <c:pt idx="424">
                  <c:v>-58.799510155105764</c:v>
                </c:pt>
                <c:pt idx="425">
                  <c:v>-58.900171823290265</c:v>
                </c:pt>
                <c:pt idx="426">
                  <c:v>-59.000285748838181</c:v>
                </c:pt>
                <c:pt idx="427">
                  <c:v>-59.099857255678039</c:v>
                </c:pt>
                <c:pt idx="428">
                  <c:v>-59.198891596162547</c:v>
                </c:pt>
                <c:pt idx="429">
                  <c:v>-59.297393952307274</c:v>
                </c:pt>
                <c:pt idx="430">
                  <c:v>-59.395369437002614</c:v>
                </c:pt>
                <c:pt idx="431">
                  <c:v>-59.492823095199583</c:v>
                </c:pt>
                <c:pt idx="432">
                  <c:v>-59.589759905070288</c:v>
                </c:pt>
                <c:pt idx="433">
                  <c:v>-59.686184779143538</c:v>
                </c:pt>
                <c:pt idx="434">
                  <c:v>-59.782102565416452</c:v>
                </c:pt>
                <c:pt idx="435">
                  <c:v>-59.877518048442539</c:v>
                </c:pt>
                <c:pt idx="436">
                  <c:v>-59.972435950396836</c:v>
                </c:pt>
                <c:pt idx="437">
                  <c:v>-60.066860932118892</c:v>
                </c:pt>
                <c:pt idx="438">
                  <c:v>-60.160797594133875</c:v>
                </c:pt>
                <c:pt idx="439">
                  <c:v>-60.25425047765264</c:v>
                </c:pt>
                <c:pt idx="440">
                  <c:v>-60.347224065551003</c:v>
                </c:pt>
                <c:pt idx="441">
                  <c:v>-60.439722783329053</c:v>
                </c:pt>
                <c:pt idx="442">
                  <c:v>-60.531751000050704</c:v>
                </c:pt>
                <c:pt idx="443">
                  <c:v>-60.623313029264246</c:v>
                </c:pt>
                <c:pt idx="444">
                  <c:v>-60.714413129904081</c:v>
                </c:pt>
                <c:pt idx="445">
                  <c:v>-60.80505550717443</c:v>
                </c:pt>
                <c:pt idx="446">
                  <c:v>-60.895244313415155</c:v>
                </c:pt>
                <c:pt idx="447">
                  <c:v>-60.984983648950319</c:v>
                </c:pt>
                <c:pt idx="448">
                  <c:v>-61.074277562919889</c:v>
                </c:pt>
                <c:pt idx="449">
                  <c:v>-61.163130054094815</c:v>
                </c:pt>
                <c:pt idx="450">
                  <c:v>-61.251545071676226</c:v>
                </c:pt>
                <c:pt idx="451">
                  <c:v>-61.339526516078706</c:v>
                </c:pt>
                <c:pt idx="452">
                  <c:v>-61.427078239698361</c:v>
                </c:pt>
                <c:pt idx="453">
                  <c:v>-61.514204047665935</c:v>
                </c:pt>
                <c:pt idx="454">
                  <c:v>-61.600907698585239</c:v>
                </c:pt>
                <c:pt idx="455">
                  <c:v>-61.687192905257355</c:v>
                </c:pt>
                <c:pt idx="456">
                  <c:v>-61.773063335390916</c:v>
                </c:pt>
                <c:pt idx="457">
                  <c:v>-61.858522612298721</c:v>
                </c:pt>
                <c:pt idx="458">
                  <c:v>-61.943574315581188</c:v>
                </c:pt>
                <c:pt idx="459">
                  <c:v>-62.028221981796648</c:v>
                </c:pt>
                <c:pt idx="460">
                  <c:v>-62.112469105119075</c:v>
                </c:pt>
                <c:pt idx="461">
                  <c:v>-62.196319137983416</c:v>
                </c:pt>
                <c:pt idx="462">
                  <c:v>-62.279775491718738</c:v>
                </c:pt>
                <c:pt idx="463">
                  <c:v>-62.362841537169629</c:v>
                </c:pt>
                <c:pt idx="464">
                  <c:v>-62.445520605305958</c:v>
                </c:pt>
                <c:pt idx="465">
                  <c:v>-62.527815987821391</c:v>
                </c:pt>
                <c:pt idx="466">
                  <c:v>-62.609730937720791</c:v>
                </c:pt>
                <c:pt idx="467">
                  <c:v>-62.691268669896864</c:v>
                </c:pt>
                <c:pt idx="468">
                  <c:v>-62.772432361696211</c:v>
                </c:pt>
                <c:pt idx="469">
                  <c:v>-62.853225153475087</c:v>
                </c:pt>
                <c:pt idx="470">
                  <c:v>-62.933650149144938</c:v>
                </c:pt>
                <c:pt idx="471">
                  <c:v>-63.0137104167083</c:v>
                </c:pt>
                <c:pt idx="472">
                  <c:v>-63.093408988784731</c:v>
                </c:pt>
                <c:pt idx="473">
                  <c:v>-63.172748863127509</c:v>
                </c:pt>
                <c:pt idx="474">
                  <c:v>-63.251733003131008</c:v>
                </c:pt>
                <c:pt idx="475">
                  <c:v>-63.330364338329026</c:v>
                </c:pt>
                <c:pt idx="476">
                  <c:v>-63.408645764884241</c:v>
                </c:pt>
                <c:pt idx="477">
                  <c:v>-63.486580146069038</c:v>
                </c:pt>
                <c:pt idx="478">
                  <c:v>-63.564170312737815</c:v>
                </c:pt>
                <c:pt idx="479">
                  <c:v>-63.641419063791062</c:v>
                </c:pt>
                <c:pt idx="480">
                  <c:v>-63.718329166631207</c:v>
                </c:pt>
                <c:pt idx="481">
                  <c:v>-63.794903357610615</c:v>
                </c:pt>
                <c:pt idx="482">
                  <c:v>-63.871144342471744</c:v>
                </c:pt>
                <c:pt idx="483">
                  <c:v>-63.947054796779696</c:v>
                </c:pt>
                <c:pt idx="484">
                  <c:v>-64.022637366347283</c:v>
                </c:pt>
                <c:pt idx="485">
                  <c:v>-64.097894667652838</c:v>
                </c:pt>
                <c:pt idx="486">
                  <c:v>-64.172829288250767</c:v>
                </c:pt>
                <c:pt idx="487">
                  <c:v>-64.247443787175257</c:v>
                </c:pt>
                <c:pt idx="488">
                  <c:v>-64.321740695336899</c:v>
                </c:pt>
                <c:pt idx="489">
                  <c:v>-64.395722515912837</c:v>
                </c:pt>
                <c:pt idx="490">
                  <c:v>-64.469391724730031</c:v>
                </c:pt>
                <c:pt idx="491">
                  <c:v>-64.5427507706424</c:v>
                </c:pt>
                <c:pt idx="492">
                  <c:v>-64.615802075901357</c:v>
                </c:pt>
                <c:pt idx="493">
                  <c:v>-64.68854803652026</c:v>
                </c:pt>
                <c:pt idx="494">
                  <c:v>-64.760991022632837</c:v>
                </c:pt>
                <c:pt idx="495">
                  <c:v>-64.833133378845588</c:v>
                </c:pt>
                <c:pt idx="496">
                  <c:v>-64.904977424584331</c:v>
                </c:pt>
                <c:pt idx="497">
                  <c:v>-64.976525454435176</c:v>
                </c:pt>
                <c:pt idx="498">
                  <c:v>-65.047779738479676</c:v>
                </c:pt>
                <c:pt idx="499">
                  <c:v>-65.118742522624643</c:v>
                </c:pt>
                <c:pt idx="500">
                  <c:v>-65.189416028926559</c:v>
                </c:pt>
                <c:pt idx="501">
                  <c:v>-65.259802455910616</c:v>
                </c:pt>
                <c:pt idx="502">
                  <c:v>-65.329903978884715</c:v>
                </c:pt>
                <c:pt idx="503">
                  <c:v>-65.399722750248245</c:v>
                </c:pt>
                <c:pt idx="504">
                  <c:v>-65.469260899795955</c:v>
                </c:pt>
                <c:pt idx="505">
                  <c:v>-65.538520535016971</c:v>
                </c:pt>
                <c:pt idx="506">
                  <c:v>-65.607503741388939</c:v>
                </c:pt>
                <c:pt idx="507">
                  <c:v>-65.676212582667532</c:v>
                </c:pt>
                <c:pt idx="508">
                  <c:v>-65.744649101171348</c:v>
                </c:pt>
                <c:pt idx="509">
                  <c:v>-65.812815318062206</c:v>
                </c:pt>
                <c:pt idx="510">
                  <c:v>-65.880713233621137</c:v>
                </c:pt>
                <c:pt idx="511">
                  <c:v>-65.948344827519875</c:v>
                </c:pt>
                <c:pt idx="512">
                  <c:v>-66.01571205908823</c:v>
                </c:pt>
                <c:pt idx="513">
                  <c:v>-66.082816867577122</c:v>
                </c:pt>
                <c:pt idx="514">
                  <c:v>-66.149661172417623</c:v>
                </c:pt>
                <c:pt idx="515">
                  <c:v>-66.216246873475853</c:v>
                </c:pt>
                <c:pt idx="516">
                  <c:v>-66.282575851304003</c:v>
                </c:pt>
                <c:pt idx="517">
                  <c:v>-66.348649967387487</c:v>
                </c:pt>
                <c:pt idx="518">
                  <c:v>-66.414471064388124</c:v>
                </c:pt>
                <c:pt idx="519">
                  <c:v>-66.480040966383726</c:v>
                </c:pt>
                <c:pt idx="520">
                  <c:v>-66.545361479103988</c:v>
                </c:pt>
                <c:pt idx="521">
                  <c:v>-66.610434390162695</c:v>
                </c:pt>
                <c:pt idx="522">
                  <c:v>-66.675261469286397</c:v>
                </c:pt>
                <c:pt idx="523">
                  <c:v>-66.739844468539744</c:v>
                </c:pt>
                <c:pt idx="524">
                  <c:v>-66.804185122547096</c:v>
                </c:pt>
                <c:pt idx="525">
                  <c:v>-66.868285148711195</c:v>
                </c:pt>
                <c:pt idx="526">
                  <c:v>-66.932146247428093</c:v>
                </c:pt>
                <c:pt idx="527">
                  <c:v>-66.99577010229919</c:v>
                </c:pt>
                <c:pt idx="528">
                  <c:v>-67.059158380339966</c:v>
                </c:pt>
                <c:pt idx="529">
                  <c:v>-67.122312732185506</c:v>
                </c:pt>
                <c:pt idx="530">
                  <c:v>-67.185234792293059</c:v>
                </c:pt>
                <c:pt idx="531">
                  <c:v>-67.247926179141643</c:v>
                </c:pt>
                <c:pt idx="532">
                  <c:v>-67.310388495428441</c:v>
                </c:pt>
                <c:pt idx="533">
                  <c:v>-67.37262332826262</c:v>
                </c:pt>
                <c:pt idx="534">
                  <c:v>-67.434632249355985</c:v>
                </c:pt>
                <c:pt idx="535">
                  <c:v>-67.496416815211063</c:v>
                </c:pt>
                <c:pt idx="536">
                  <c:v>-67.557978567306222</c:v>
                </c:pt>
                <c:pt idx="537">
                  <c:v>-67.619319032278284</c:v>
                </c:pt>
                <c:pt idx="538">
                  <c:v>-67.680439722102278</c:v>
                </c:pt>
                <c:pt idx="539">
                  <c:v>-67.741342134268706</c:v>
                </c:pt>
                <c:pt idx="540">
                  <c:v>-67.802027751958235</c:v>
                </c:pt>
                <c:pt idx="541">
                  <c:v>-67.86249804421368</c:v>
                </c:pt>
                <c:pt idx="542">
                  <c:v>-67.922754466109822</c:v>
                </c:pt>
                <c:pt idx="543">
                  <c:v>-67.982798458920414</c:v>
                </c:pt>
                <c:pt idx="544">
                  <c:v>-68.042631450283096</c:v>
                </c:pt>
                <c:pt idx="545">
                  <c:v>-68.102254854361746</c:v>
                </c:pt>
                <c:pt idx="546">
                  <c:v>-68.161670072006586</c:v>
                </c:pt>
                <c:pt idx="547">
                  <c:v>-68.220878490912014</c:v>
                </c:pt>
                <c:pt idx="548">
                  <c:v>-68.279881485772179</c:v>
                </c:pt>
                <c:pt idx="549">
                  <c:v>-68.338680418434322</c:v>
                </c:pt>
                <c:pt idx="550">
                  <c:v>-68.397276638049945</c:v>
                </c:pt>
                <c:pt idx="551">
                  <c:v>-68.455671481223931</c:v>
                </c:pt>
                <c:pt idx="552">
                  <c:v>-68.513866272161408</c:v>
                </c:pt>
                <c:pt idx="553">
                  <c:v>-68.571862322812763</c:v>
                </c:pt>
                <c:pt idx="554">
                  <c:v>-68.629660933016353</c:v>
                </c:pt>
                <c:pt idx="555">
                  <c:v>-68.687263390639515</c:v>
                </c:pt>
                <c:pt idx="556">
                  <c:v>-68.744670971717298</c:v>
                </c:pt>
                <c:pt idx="557">
                  <c:v>-68.801884940589645</c:v>
                </c:pt>
                <c:pt idx="558">
                  <c:v>-68.858906550036252</c:v>
                </c:pt>
                <c:pt idx="559">
                  <c:v>-68.915737041409884</c:v>
                </c:pt>
                <c:pt idx="560">
                  <c:v>-68.972377644767661</c:v>
                </c:pt>
                <c:pt idx="561">
                  <c:v>-69.028829579000671</c:v>
                </c:pt>
                <c:pt idx="562">
                  <c:v>-69.08509405196169</c:v>
                </c:pt>
                <c:pt idx="563">
                  <c:v>-69.141172260591219</c:v>
                </c:pt>
                <c:pt idx="564">
                  <c:v>-69.197065391041747</c:v>
                </c:pt>
                <c:pt idx="565">
                  <c:v>-69.252774618800373</c:v>
                </c:pt>
                <c:pt idx="566">
                  <c:v>-69.308301108809701</c:v>
                </c:pt>
                <c:pt idx="567">
                  <c:v>-69.363646015587165</c:v>
                </c:pt>
                <c:pt idx="568">
                  <c:v>-69.418810483342639</c:v>
                </c:pt>
                <c:pt idx="569">
                  <c:v>-69.473795646094572</c:v>
                </c:pt>
                <c:pt idx="570">
                  <c:v>-69.528602627784451</c:v>
                </c:pt>
                <c:pt idx="571">
                  <c:v>-69.583232542389823</c:v>
                </c:pt>
                <c:pt idx="572">
                  <c:v>-69.637686494035648</c:v>
                </c:pt>
                <c:pt idx="573">
                  <c:v>-69.691965577104369</c:v>
                </c:pt>
                <c:pt idx="574">
                  <c:v>-69.746070876344376</c:v>
                </c:pt>
                <c:pt idx="575">
                  <c:v>-69.800003466976975</c:v>
                </c:pt>
                <c:pt idx="576">
                  <c:v>-69.8537644148021</c:v>
                </c:pt>
                <c:pt idx="577">
                  <c:v>-69.907354776302512</c:v>
                </c:pt>
                <c:pt idx="578">
                  <c:v>-69.960775598746551</c:v>
                </c:pt>
                <c:pt idx="579">
                  <c:v>-70.014027920289777</c:v>
                </c:pt>
                <c:pt idx="580">
                  <c:v>-70.067112770074942</c:v>
                </c:pt>
                <c:pt idx="581">
                  <c:v>-70.120031168330939</c:v>
                </c:pt>
                <c:pt idx="582">
                  <c:v>-70.172784126470248</c:v>
                </c:pt>
                <c:pt idx="583">
                  <c:v>-70.225372647185253</c:v>
                </c:pt>
                <c:pt idx="584">
                  <c:v>-70.277797724543177</c:v>
                </c:pt>
                <c:pt idx="585">
                  <c:v>-70.330060344079868</c:v>
                </c:pt>
                <c:pt idx="586">
                  <c:v>-70.382161482892329</c:v>
                </c:pt>
                <c:pt idx="587">
                  <c:v>-70.434102109730048</c:v>
                </c:pt>
                <c:pt idx="588">
                  <c:v>-70.485883185085143</c:v>
                </c:pt>
                <c:pt idx="589">
                  <c:v>-70.537505661281358</c:v>
                </c:pt>
                <c:pt idx="590">
                  <c:v>-70.588970482561905</c:v>
                </c:pt>
                <c:pt idx="591">
                  <c:v>-70.640278585176148</c:v>
                </c:pt>
                <c:pt idx="592">
                  <c:v>-70.69143089746521</c:v>
                </c:pt>
                <c:pt idx="593">
                  <c:v>-70.7424283399465</c:v>
                </c:pt>
                <c:pt idx="594">
                  <c:v>-70.793271825397071</c:v>
                </c:pt>
                <c:pt idx="595">
                  <c:v>-70.843962258936017</c:v>
                </c:pt>
                <c:pt idx="596">
                  <c:v>-70.89450053810576</c:v>
                </c:pt>
                <c:pt idx="597">
                  <c:v>-70.944887552952338</c:v>
                </c:pt>
                <c:pt idx="598">
                  <c:v>-70.995124186104619</c:v>
                </c:pt>
                <c:pt idx="599">
                  <c:v>-71.045211312852643</c:v>
                </c:pt>
                <c:pt idx="600">
                  <c:v>-71.095149801224721</c:v>
                </c:pt>
                <c:pt idx="601">
                  <c:v>-71.14494051206394</c:v>
                </c:pt>
                <c:pt idx="602">
                  <c:v>-71.194584299103298</c:v>
                </c:pt>
                <c:pt idx="603">
                  <c:v>-71.244082009040227</c:v>
                </c:pt>
                <c:pt idx="604">
                  <c:v>-71.293434481609921</c:v>
                </c:pt>
                <c:pt idx="605">
                  <c:v>-71.342642549658024</c:v>
                </c:pt>
                <c:pt idx="606">
                  <c:v>-73.63552421972372</c:v>
                </c:pt>
                <c:pt idx="607">
                  <c:v>-75.652208316316077</c:v>
                </c:pt>
                <c:pt idx="608">
                  <c:v>-77.452114917352048</c:v>
                </c:pt>
                <c:pt idx="609">
                  <c:v>-79.077660390111717</c:v>
                </c:pt>
                <c:pt idx="610">
                  <c:v>-80.560064203198777</c:v>
                </c:pt>
                <c:pt idx="611">
                  <c:v>-81.922914052755331</c:v>
                </c:pt>
                <c:pt idx="612">
                  <c:v>-83.184437800446958</c:v>
                </c:pt>
                <c:pt idx="613">
                  <c:v>-84.358999267518143</c:v>
                </c:pt>
                <c:pt idx="614">
                  <c:v>-85.458111764732053</c:v>
                </c:pt>
                <c:pt idx="615">
                  <c:v>-86.491142605912842</c:v>
                </c:pt>
                <c:pt idx="616">
                  <c:v>-87.465814101543501</c:v>
                </c:pt>
                <c:pt idx="617">
                  <c:v>-88.388567165674658</c:v>
                </c:pt>
                <c:pt idx="618">
                  <c:v>-88.743896144909058</c:v>
                </c:pt>
                <c:pt idx="619">
                  <c:v>-89.092090740045379</c:v>
                </c:pt>
                <c:pt idx="620">
                  <c:v>-89.433442189290901</c:v>
                </c:pt>
                <c:pt idx="621">
                  <c:v>-89.768224217077503</c:v>
                </c:pt>
                <c:pt idx="622">
                  <c:v>-90.09669441517579</c:v>
                </c:pt>
                <c:pt idx="623">
                  <c:v>-90.419095490318824</c:v>
                </c:pt>
                <c:pt idx="624">
                  <c:v>-90.735656393479204</c:v>
                </c:pt>
                <c:pt idx="625">
                  <c:v>-91.046593343985734</c:v>
                </c:pt>
                <c:pt idx="626">
                  <c:v>-91.352110759990012</c:v>
                </c:pt>
                <c:pt idx="627">
                  <c:v>-91.652402105356558</c:v>
                </c:pt>
                <c:pt idx="628">
                  <c:v>-91.94765066181175</c:v>
                </c:pt>
                <c:pt idx="629">
                  <c:v>-92.238030234120586</c:v>
                </c:pt>
                <c:pt idx="630">
                  <c:v>-92.523705795136379</c:v>
                </c:pt>
                <c:pt idx="631">
                  <c:v>-92.804834076768557</c:v>
                </c:pt>
                <c:pt idx="632">
                  <c:v>-93.081564112217933</c:v>
                </c:pt>
                <c:pt idx="633">
                  <c:v>-93.3540377342227</c:v>
                </c:pt>
                <c:pt idx="634">
                  <c:v>-93.622390033529754</c:v>
                </c:pt>
                <c:pt idx="635">
                  <c:v>-93.8867497813429</c:v>
                </c:pt>
                <c:pt idx="636">
                  <c:v>-94.147239819093329</c:v>
                </c:pt>
                <c:pt idx="637">
                  <c:v>-94.403977418521961</c:v>
                </c:pt>
                <c:pt idx="638">
                  <c:v>-94.657074614748566</c:v>
                </c:pt>
                <c:pt idx="639">
                  <c:v>-94.906638514726154</c:v>
                </c:pt>
                <c:pt idx="640">
                  <c:v>-95.152771583234511</c:v>
                </c:pt>
                <c:pt idx="641">
                  <c:v>-95.395571908349922</c:v>
                </c:pt>
                <c:pt idx="642">
                  <c:v>-95.635133448135932</c:v>
                </c:pt>
                <c:pt idx="643">
                  <c:v>-95.871546260130003</c:v>
                </c:pt>
                <c:pt idx="644">
                  <c:v>-96.104896715048085</c:v>
                </c:pt>
                <c:pt idx="645">
                  <c:v>-96.335267695994574</c:v>
                </c:pt>
                <c:pt idx="646">
                  <c:v>-96.562738784343708</c:v>
                </c:pt>
                <c:pt idx="647">
                  <c:v>-96.78738643335069</c:v>
                </c:pt>
                <c:pt idx="648">
                  <c:v>-97.00928413045402</c:v>
                </c:pt>
                <c:pt idx="649">
                  <c:v>-97.228502549143286</c:v>
                </c:pt>
                <c:pt idx="650">
                  <c:v>-97.445109691189643</c:v>
                </c:pt>
                <c:pt idx="651">
                  <c:v>-97.659171019964703</c:v>
                </c:pt>
                <c:pt idx="652">
                  <c:v>-97.870749585511803</c:v>
                </c:pt>
                <c:pt idx="653">
                  <c:v>-98.079906141975925</c:v>
                </c:pt>
                <c:pt idx="654">
                  <c:v>-98.286699257946694</c:v>
                </c:pt>
                <c:pt idx="655">
                  <c:v>-98.491185420223601</c:v>
                </c:pt>
                <c:pt idx="656">
                  <c:v>-98.69341913146927</c:v>
                </c:pt>
                <c:pt idx="657">
                  <c:v>-98.893453002179101</c:v>
                </c:pt>
                <c:pt idx="658">
                  <c:v>-99.091337837360697</c:v>
                </c:pt>
                <c:pt idx="659">
                  <c:v>-99.287122718285303</c:v>
                </c:pt>
                <c:pt idx="660">
                  <c:v>-99.480855079644371</c:v>
                </c:pt>
                <c:pt idx="661">
                  <c:v>-99.672580782418891</c:v>
                </c:pt>
                <c:pt idx="662">
                  <c:v>-99.86234418274492</c:v>
                </c:pt>
                <c:pt idx="663">
                  <c:v>-100.05018819703727</c:v>
                </c:pt>
                <c:pt idx="664">
                  <c:v>-100.23615436361337</c:v>
                </c:pt>
                <c:pt idx="665">
                  <c:v>-100.42028290104125</c:v>
                </c:pt>
                <c:pt idx="666">
                  <c:v>-100.60261276341949</c:v>
                </c:pt>
                <c:pt idx="667">
                  <c:v>-100.7831816927806</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4.4945179419644301</c:v>
                </c:pt>
              </c:numCache>
            </c:numRef>
          </c:xVal>
          <c:yVal>
            <c:numRef>
              <c:f>'Bode Plots Calculations'!$BF$683</c:f>
              <c:numCache>
                <c:formatCode>General</c:formatCode>
                <c:ptCount val="1"/>
                <c:pt idx="0">
                  <c:v>34.58701565209347</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3.7099054376166989</c:v>
                </c:pt>
              </c:numCache>
            </c:numRef>
          </c:xVal>
          <c:yVal>
            <c:numRef>
              <c:f>'Bode Plots Calculations'!$BF$684</c:f>
              <c:numCache>
                <c:formatCode>General</c:formatCode>
                <c:ptCount val="1"/>
                <c:pt idx="0">
                  <c:v>33.139582500881311</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3.9167924219559085</c:v>
                </c:pt>
              </c:numCache>
            </c:numRef>
          </c:xVal>
          <c:yVal>
            <c:numRef>
              <c:f>'Bode Plots Calculations'!$BF$685</c:f>
              <c:numCache>
                <c:formatCode>General</c:formatCode>
                <c:ptCount val="1"/>
                <c:pt idx="0">
                  <c:v>33.883067589614846</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153.92160858196942</c:v>
                </c:pt>
              </c:numCache>
            </c:numRef>
          </c:xVal>
          <c:yVal>
            <c:numRef>
              <c:f>'Bode Plots Calculations'!$BF$686</c:f>
              <c:numCache>
                <c:formatCode>General</c:formatCode>
                <c:ptCount val="1"/>
                <c:pt idx="0">
                  <c:v>-11.597401944029633</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1023.9339007822089</c:v>
                </c:pt>
              </c:numCache>
            </c:numRef>
          </c:xVal>
          <c:yVal>
            <c:numRef>
              <c:f>'Bode Plots Calculations'!$BF$687</c:f>
              <c:numCache>
                <c:formatCode>General</c:formatCode>
                <c:ptCount val="1"/>
                <c:pt idx="0">
                  <c:v>-57.306261950465974</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1178.9255057315286</c:v>
                </c:pt>
              </c:numCache>
            </c:numRef>
          </c:xVal>
          <c:yVal>
            <c:numRef>
              <c:f>'Bode Plots Calculations'!$BF$682</c:f>
              <c:numCache>
                <c:formatCode>General</c:formatCode>
                <c:ptCount val="1"/>
                <c:pt idx="0">
                  <c:v>-60.419884754158097</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-30.513322088614093</c:v>
                </c:pt>
                <c:pt idx="1">
                  <c:v>-49.667833915164522</c:v>
                </c:pt>
                <c:pt idx="2">
                  <c:v>-60.458169193317943</c:v>
                </c:pt>
                <c:pt idx="3">
                  <c:v>-66.935335334336699</c:v>
                </c:pt>
                <c:pt idx="4">
                  <c:v>-71.148956344959487</c:v>
                </c:pt>
                <c:pt idx="5">
                  <c:v>-74.076068011359425</c:v>
                </c:pt>
                <c:pt idx="6">
                  <c:v>-76.214696976048288</c:v>
                </c:pt>
                <c:pt idx="7">
                  <c:v>-77.839219746887494</c:v>
                </c:pt>
                <c:pt idx="8">
                  <c:v>-79.111451804094742</c:v>
                </c:pt>
                <c:pt idx="9">
                  <c:v>-80.132386722677367</c:v>
                </c:pt>
                <c:pt idx="10">
                  <c:v>-84.661687312965455</c:v>
                </c:pt>
                <c:pt idx="11">
                  <c:v>-86.025347156794425</c:v>
                </c:pt>
                <c:pt idx="12">
                  <c:v>-86.585829922143873</c:v>
                </c:pt>
                <c:pt idx="13">
                  <c:v>-86.823874940805283</c:v>
                </c:pt>
                <c:pt idx="14">
                  <c:v>-86.900473480411009</c:v>
                </c:pt>
                <c:pt idx="15">
                  <c:v>-86.884762441340541</c:v>
                </c:pt>
                <c:pt idx="16">
                  <c:v>-86.811349631312879</c:v>
                </c:pt>
                <c:pt idx="17">
                  <c:v>-86.699476269383894</c:v>
                </c:pt>
                <c:pt idx="18">
                  <c:v>-86.560694056723563</c:v>
                </c:pt>
                <c:pt idx="19">
                  <c:v>-84.583574208071269</c:v>
                </c:pt>
                <c:pt idx="20">
                  <c:v>-82.293842659276009</c:v>
                </c:pt>
                <c:pt idx="21">
                  <c:v>-79.939709501545607</c:v>
                </c:pt>
                <c:pt idx="22">
                  <c:v>-77.57514225259078</c:v>
                </c:pt>
                <c:pt idx="23">
                  <c:v>-75.221660688584222</c:v>
                </c:pt>
                <c:pt idx="24">
                  <c:v>-72.891444847175308</c:v>
                </c:pt>
                <c:pt idx="25">
                  <c:v>-70.593107046353154</c:v>
                </c:pt>
                <c:pt idx="26">
                  <c:v>-68.333615187395196</c:v>
                </c:pt>
                <c:pt idx="27">
                  <c:v>-66.119065469928287</c:v>
                </c:pt>
                <c:pt idx="28">
                  <c:v>-55.906757090304282</c:v>
                </c:pt>
                <c:pt idx="29">
                  <c:v>-47.586920040125101</c:v>
                </c:pt>
                <c:pt idx="30">
                  <c:v>-41.868909257105443</c:v>
                </c:pt>
                <c:pt idx="31">
                  <c:v>-39.882558085650132</c:v>
                </c:pt>
                <c:pt idx="32">
                  <c:v>-43.875504481954309</c:v>
                </c:pt>
                <c:pt idx="33">
                  <c:v>-57.926786241512232</c:v>
                </c:pt>
                <c:pt idx="34">
                  <c:v>-82.978753040300717</c:v>
                </c:pt>
                <c:pt idx="35">
                  <c:v>-105.85671215044378</c:v>
                </c:pt>
                <c:pt idx="36">
                  <c:v>-118.39718810550291</c:v>
                </c:pt>
                <c:pt idx="37">
                  <c:v>-124.16366350527254</c:v>
                </c:pt>
                <c:pt idx="38">
                  <c:v>-126.60464240678721</c:v>
                </c:pt>
                <c:pt idx="39">
                  <c:v>-127.41887891626538</c:v>
                </c:pt>
                <c:pt idx="40">
                  <c:v>-127.40851079022039</c:v>
                </c:pt>
                <c:pt idx="41">
                  <c:v>-126.97217370510343</c:v>
                </c:pt>
                <c:pt idx="42">
                  <c:v>-126.31929640467207</c:v>
                </c:pt>
                <c:pt idx="43">
                  <c:v>-125.56480531393046</c:v>
                </c:pt>
                <c:pt idx="44">
                  <c:v>-124.77363941885827</c:v>
                </c:pt>
                <c:pt idx="45">
                  <c:v>-123.98302800681358</c:v>
                </c:pt>
                <c:pt idx="46">
                  <c:v>-123.21426721571956</c:v>
                </c:pt>
                <c:pt idx="47">
                  <c:v>-122.47923680662339</c:v>
                </c:pt>
                <c:pt idx="48">
                  <c:v>-121.7841443589663</c:v>
                </c:pt>
                <c:pt idx="49">
                  <c:v>-121.13174308022424</c:v>
                </c:pt>
                <c:pt idx="50">
                  <c:v>-120.52267791127063</c:v>
                </c:pt>
                <c:pt idx="51">
                  <c:v>-119.9563182079747</c:v>
                </c:pt>
                <c:pt idx="52">
                  <c:v>-119.43128008958882</c:v>
                </c:pt>
                <c:pt idx="53">
                  <c:v>-118.94575711290209</c:v>
                </c:pt>
                <c:pt idx="54">
                  <c:v>-118.49773043121364</c:v>
                </c:pt>
                <c:pt idx="55">
                  <c:v>-118.08510208014015</c:v>
                </c:pt>
                <c:pt idx="56">
                  <c:v>-117.7057786771189</c:v>
                </c:pt>
                <c:pt idx="57">
                  <c:v>-117.35772287918407</c:v>
                </c:pt>
                <c:pt idx="58">
                  <c:v>-117.03898377897771</c:v>
                </c:pt>
                <c:pt idx="59">
                  <c:v>-116.74771352970129</c:v>
                </c:pt>
                <c:pt idx="60">
                  <c:v>-116.48217499836568</c:v>
                </c:pt>
                <c:pt idx="61">
                  <c:v>-116.24074362948532</c:v>
                </c:pt>
                <c:pt idx="62">
                  <c:v>-116.02190563945014</c:v>
                </c:pt>
                <c:pt idx="63">
                  <c:v>-115.82425395765793</c:v>
                </c:pt>
                <c:pt idx="64">
                  <c:v>-115.64648285972348</c:v>
                </c:pt>
                <c:pt idx="65">
                  <c:v>-115.48738192127423</c:v>
                </c:pt>
                <c:pt idx="66">
                  <c:v>-115.34582970659349</c:v>
                </c:pt>
                <c:pt idx="67">
                  <c:v>-115.22078746101896</c:v>
                </c:pt>
                <c:pt idx="68">
                  <c:v>-115.11129297728253</c:v>
                </c:pt>
                <c:pt idx="69">
                  <c:v>-115.01645473900207</c:v>
                </c:pt>
                <c:pt idx="70">
                  <c:v>-114.93544639928137</c:v>
                </c:pt>
                <c:pt idx="71">
                  <c:v>-114.86750162203221</c:v>
                </c:pt>
                <c:pt idx="72">
                  <c:v>-114.81190929355134</c:v>
                </c:pt>
                <c:pt idx="73">
                  <c:v>-114.76800909886741</c:v>
                </c:pt>
                <c:pt idx="74">
                  <c:v>-114.73518744920743</c:v>
                </c:pt>
                <c:pt idx="75">
                  <c:v>-114.71287374209189</c:v>
                </c:pt>
                <c:pt idx="76">
                  <c:v>-114.70053693298894</c:v>
                </c:pt>
                <c:pt idx="77">
                  <c:v>-114.69768239639512</c:v>
                </c:pt>
                <c:pt idx="78">
                  <c:v>-114.70384905415844</c:v>
                </c:pt>
                <c:pt idx="79">
                  <c:v>-114.71860674944799</c:v>
                </c:pt>
                <c:pt idx="80">
                  <c:v>-114.74155384576919</c:v>
                </c:pt>
                <c:pt idx="81">
                  <c:v>-114.77231503164158</c:v>
                </c:pt>
                <c:pt idx="82">
                  <c:v>-114.81053931288983</c:v>
                </c:pt>
                <c:pt idx="83">
                  <c:v>-114.85589817586536</c:v>
                </c:pt>
                <c:pt idx="84">
                  <c:v>-114.90808390626721</c:v>
                </c:pt>
                <c:pt idx="85">
                  <c:v>-114.96680804952982</c:v>
                </c:pt>
                <c:pt idx="86">
                  <c:v>-115.03179999997808</c:v>
                </c:pt>
                <c:pt idx="87">
                  <c:v>-115.10280570709998</c:v>
                </c:pt>
                <c:pt idx="88">
                  <c:v>-115.17958648835445</c:v>
                </c:pt>
                <c:pt idx="89">
                  <c:v>-115.26191793891196</c:v>
                </c:pt>
                <c:pt idx="90">
                  <c:v>-115.34958892962456</c:v>
                </c:pt>
                <c:pt idx="91">
                  <c:v>-115.44240068533949</c:v>
                </c:pt>
                <c:pt idx="92">
                  <c:v>-115.54016593641497</c:v>
                </c:pt>
                <c:pt idx="93">
                  <c:v>-115.64270813697077</c:v>
                </c:pt>
                <c:pt idx="94">
                  <c:v>-115.74986074401721</c:v>
                </c:pt>
                <c:pt idx="95">
                  <c:v>-115.86146655215725</c:v>
                </c:pt>
                <c:pt idx="96">
                  <c:v>-115.977377079056</c:v>
                </c:pt>
                <c:pt idx="97">
                  <c:v>-116.09745199732009</c:v>
                </c:pt>
                <c:pt idx="98">
                  <c:v>-116.22155860883737</c:v>
                </c:pt>
                <c:pt idx="99">
                  <c:v>-116.34957135799162</c:v>
                </c:pt>
                <c:pt idx="100">
                  <c:v>-116.48137138049856</c:v>
                </c:pt>
                <c:pt idx="101">
                  <c:v>-116.61684608490691</c:v>
                </c:pt>
                <c:pt idx="102">
                  <c:v>-116.75588876407748</c:v>
                </c:pt>
                <c:pt idx="103">
                  <c:v>-116.8983982341958</c:v>
                </c:pt>
                <c:pt idx="104">
                  <c:v>-117.04427849909324</c:v>
                </c:pt>
                <c:pt idx="105">
                  <c:v>-117.19343843784972</c:v>
                </c:pt>
                <c:pt idx="106">
                  <c:v>-117.34579151383006</c:v>
                </c:pt>
                <c:pt idx="107">
                  <c:v>-117.50125550346844</c:v>
                </c:pt>
                <c:pt idx="108">
                  <c:v>-117.65975224326112</c:v>
                </c:pt>
                <c:pt idx="109">
                  <c:v>-117.82120739356176</c:v>
                </c:pt>
                <c:pt idx="110">
                  <c:v>-117.98555021789281</c:v>
                </c:pt>
                <c:pt idx="111">
                  <c:v>-118.15271337659644</c:v>
                </c:pt>
                <c:pt idx="112">
                  <c:v>-118.322632733747</c:v>
                </c:pt>
                <c:pt idx="113">
                  <c:v>-118.49524717633722</c:v>
                </c:pt>
                <c:pt idx="114">
                  <c:v>-118.67049844483246</c:v>
                </c:pt>
                <c:pt idx="115">
                  <c:v>-118.84833097426082</c:v>
                </c:pt>
                <c:pt idx="116">
                  <c:v>-119.02869174507565</c:v>
                </c:pt>
                <c:pt idx="117">
                  <c:v>-119.21153014308837</c:v>
                </c:pt>
                <c:pt idx="118">
                  <c:v>-119.39679782782451</c:v>
                </c:pt>
                <c:pt idx="119">
                  <c:v>-119.58444860871042</c:v>
                </c:pt>
                <c:pt idx="120">
                  <c:v>-119.77443832854004</c:v>
                </c:pt>
                <c:pt idx="121">
                  <c:v>-119.96672475371925</c:v>
                </c:pt>
                <c:pt idx="122">
                  <c:v>-120.16126747081998</c:v>
                </c:pt>
                <c:pt idx="123">
                  <c:v>-120.35802778901508</c:v>
                </c:pt>
                <c:pt idx="124">
                  <c:v>-120.55696864799647</c:v>
                </c:pt>
                <c:pt idx="125">
                  <c:v>-120.7580545310082</c:v>
                </c:pt>
                <c:pt idx="126">
                  <c:v>-120.96125138265677</c:v>
                </c:pt>
                <c:pt idx="127">
                  <c:v>-121.16652653118213</c:v>
                </c:pt>
                <c:pt idx="128">
                  <c:v>-121.37384861489946</c:v>
                </c:pt>
                <c:pt idx="129">
                  <c:v>-121.58318751254205</c:v>
                </c:pt>
                <c:pt idx="130">
                  <c:v>-121.79451427725365</c:v>
                </c:pt>
                <c:pt idx="131">
                  <c:v>-122.00780107399972</c:v>
                </c:pt>
                <c:pt idx="132">
                  <c:v>-122.22302112018149</c:v>
                </c:pt>
                <c:pt idx="133">
                  <c:v>-122.44014862925256</c:v>
                </c:pt>
                <c:pt idx="134">
                  <c:v>-122.65915875715203</c:v>
                </c:pt>
                <c:pt idx="135">
                  <c:v>-122.88002755138169</c:v>
                </c:pt>
                <c:pt idx="136">
                  <c:v>-123.10273190256613</c:v>
                </c:pt>
                <c:pt idx="137">
                  <c:v>-123.32724949834584</c:v>
                </c:pt>
                <c:pt idx="138">
                  <c:v>-123.55355877946464</c:v>
                </c:pt>
                <c:pt idx="139">
                  <c:v>-123.7816388979208</c:v>
                </c:pt>
                <c:pt idx="140">
                  <c:v>-124.01146967706138</c:v>
                </c:pt>
                <c:pt idx="141">
                  <c:v>-124.24303157350698</c:v>
                </c:pt>
                <c:pt idx="142">
                  <c:v>-124.47630564080153</c:v>
                </c:pt>
                <c:pt idx="143">
                  <c:v>-124.71127349468897</c:v>
                </c:pt>
                <c:pt idx="144">
                  <c:v>-124.9479172799257</c:v>
                </c:pt>
                <c:pt idx="145">
                  <c:v>-125.18621963854258</c:v>
                </c:pt>
                <c:pt idx="146">
                  <c:v>-125.42616367947737</c:v>
                </c:pt>
                <c:pt idx="147">
                  <c:v>-125.66773294950252</c:v>
                </c:pt>
                <c:pt idx="148">
                  <c:v>-125.91091140537861</c:v>
                </c:pt>
                <c:pt idx="149">
                  <c:v>-126.15568338716936</c:v>
                </c:pt>
                <c:pt idx="150">
                  <c:v>-126.40203359265547</c:v>
                </c:pt>
                <c:pt idx="151">
                  <c:v>-126.64994705279256</c:v>
                </c:pt>
                <c:pt idx="152">
                  <c:v>-126.89940910815807</c:v>
                </c:pt>
                <c:pt idx="153">
                  <c:v>-127.15040538633903</c:v>
                </c:pt>
                <c:pt idx="154">
                  <c:v>-127.40292178021313</c:v>
                </c:pt>
                <c:pt idx="155">
                  <c:v>-127.65694442707974</c:v>
                </c:pt>
                <c:pt idx="156">
                  <c:v>-127.91245968860129</c:v>
                </c:pt>
                <c:pt idx="157">
                  <c:v>-128.16945413151518</c:v>
                </c:pt>
                <c:pt idx="158">
                  <c:v>-128.42791450908243</c:v>
                </c:pt>
                <c:pt idx="159">
                  <c:v>-128.68782774323861</c:v>
                </c:pt>
                <c:pt idx="160">
                  <c:v>-128.94918090741695</c:v>
                </c:pt>
                <c:pt idx="161">
                  <c:v>-129.21196121001373</c:v>
                </c:pt>
                <c:pt idx="162">
                  <c:v>-129.47615597846939</c:v>
                </c:pt>
                <c:pt idx="163">
                  <c:v>-129.74175264394006</c:v>
                </c:pt>
                <c:pt idx="164">
                  <c:v>-130.00873872653557</c:v>
                </c:pt>
                <c:pt idx="165">
                  <c:v>-130.27710182110181</c:v>
                </c:pt>
                <c:pt idx="166">
                  <c:v>-130.54682958352751</c:v>
                </c:pt>
                <c:pt idx="167">
                  <c:v>-130.8179097175553</c:v>
                </c:pt>
                <c:pt idx="168">
                  <c:v>-131.09032996207966</c:v>
                </c:pt>
                <c:pt idx="169">
                  <c:v>-131.36407807891541</c:v>
                </c:pt>
                <c:pt idx="170">
                  <c:v>-131.63914184102035</c:v>
                </c:pt>
                <c:pt idx="171">
                  <c:v>-131.91550902115813</c:v>
                </c:pt>
                <c:pt idx="172">
                  <c:v>-132.19316738098817</c:v>
                </c:pt>
                <c:pt idx="173">
                  <c:v>-132.47210466056936</c:v>
                </c:pt>
                <c:pt idx="174">
                  <c:v>-132.75230856826673</c:v>
                </c:pt>
                <c:pt idx="175">
                  <c:v>-133.03376677104956</c:v>
                </c:pt>
                <c:pt idx="176">
                  <c:v>-133.31646688517196</c:v>
                </c:pt>
                <c:pt idx="177">
                  <c:v>-133.60039646722541</c:v>
                </c:pt>
                <c:pt idx="178">
                  <c:v>-133.885543005556</c:v>
                </c:pt>
                <c:pt idx="179">
                  <c:v>-134.17189391203706</c:v>
                </c:pt>
                <c:pt idx="180">
                  <c:v>-134.45943651419128</c:v>
                </c:pt>
                <c:pt idx="181">
                  <c:v>-134.7481580476547</c:v>
                </c:pt>
                <c:pt idx="182">
                  <c:v>-135.03804564897612</c:v>
                </c:pt>
                <c:pt idx="183">
                  <c:v>-135.32908634874715</c:v>
                </c:pt>
                <c:pt idx="184">
                  <c:v>-135.62126706505663</c:v>
                </c:pt>
                <c:pt idx="185">
                  <c:v>-135.91457459726502</c:v>
                </c:pt>
                <c:pt idx="186">
                  <c:v>-136.20899562009393</c:v>
                </c:pt>
                <c:pt idx="187">
                  <c:v>-136.50451667802724</c:v>
                </c:pt>
                <c:pt idx="188">
                  <c:v>-136.80112418001912</c:v>
                </c:pt>
                <c:pt idx="189">
                  <c:v>-137.09880439450623</c:v>
                </c:pt>
                <c:pt idx="190">
                  <c:v>-137.39754344472001</c:v>
                </c:pt>
                <c:pt idx="191">
                  <c:v>-137.69732730429675</c:v>
                </c:pt>
                <c:pt idx="192">
                  <c:v>-137.99814179318238</c:v>
                </c:pt>
                <c:pt idx="193">
                  <c:v>-138.29997257382897</c:v>
                </c:pt>
                <c:pt idx="194">
                  <c:v>-138.60280514768101</c:v>
                </c:pt>
                <c:pt idx="195">
                  <c:v>-138.90662485194903</c:v>
                </c:pt>
                <c:pt idx="196">
                  <c:v>-139.21141685666797</c:v>
                </c:pt>
                <c:pt idx="197">
                  <c:v>-139.51716616203865</c:v>
                </c:pt>
                <c:pt idx="198">
                  <c:v>-139.8238575960504</c:v>
                </c:pt>
                <c:pt idx="199">
                  <c:v>-140.13147581238238</c:v>
                </c:pt>
                <c:pt idx="200">
                  <c:v>-140.44000528858203</c:v>
                </c:pt>
                <c:pt idx="201">
                  <c:v>-140.74943032451887</c:v>
                </c:pt>
                <c:pt idx="202">
                  <c:v>-141.05973504111157</c:v>
                </c:pt>
                <c:pt idx="203">
                  <c:v>-141.37090337932651</c:v>
                </c:pt>
                <c:pt idx="204">
                  <c:v>-141.68291909944588</c:v>
                </c:pt>
                <c:pt idx="205">
                  <c:v>-141.99576578060336</c:v>
                </c:pt>
                <c:pt idx="206">
                  <c:v>-142.30942682058546</c:v>
                </c:pt>
                <c:pt idx="207">
                  <c:v>-142.62388543589651</c:v>
                </c:pt>
                <c:pt idx="208">
                  <c:v>-142.93912466208494</c:v>
                </c:pt>
                <c:pt idx="209">
                  <c:v>-143.25512735432875</c:v>
                </c:pt>
                <c:pt idx="210">
                  <c:v>-143.57187618827797</c:v>
                </c:pt>
                <c:pt idx="211">
                  <c:v>-143.88935366115138</c:v>
                </c:pt>
                <c:pt idx="212">
                  <c:v>-144.20754209308492</c:v>
                </c:pt>
                <c:pt idx="213">
                  <c:v>-144.52642362872948</c:v>
                </c:pt>
                <c:pt idx="214">
                  <c:v>-144.84598023909462</c:v>
                </c:pt>
                <c:pt idx="215">
                  <c:v>-145.16619372363564</c:v>
                </c:pt>
                <c:pt idx="216">
                  <c:v>-145.4870457125806</c:v>
                </c:pt>
                <c:pt idx="217">
                  <c:v>-145.80851766949385</c:v>
                </c:pt>
                <c:pt idx="218">
                  <c:v>-146.13059089407315</c:v>
                </c:pt>
                <c:pt idx="219">
                  <c:v>-146.45324652517556</c:v>
                </c:pt>
                <c:pt idx="220">
                  <c:v>-146.77646554406948</c:v>
                </c:pt>
                <c:pt idx="221">
                  <c:v>-147.10022877790774</c:v>
                </c:pt>
                <c:pt idx="222">
                  <c:v>-147.42451690341798</c:v>
                </c:pt>
                <c:pt idx="223">
                  <c:v>-147.74931045080598</c:v>
                </c:pt>
                <c:pt idx="224">
                  <c:v>-148.07458980786654</c:v>
                </c:pt>
                <c:pt idx="225">
                  <c:v>-148.40033522429815</c:v>
                </c:pt>
                <c:pt idx="226">
                  <c:v>-151.67898844289337</c:v>
                </c:pt>
                <c:pt idx="227">
                  <c:v>-154.98169345581027</c:v>
                </c:pt>
                <c:pt idx="228">
                  <c:v>-158.28728542978794</c:v>
                </c:pt>
                <c:pt idx="229">
                  <c:v>-161.57456764395315</c:v>
                </c:pt>
                <c:pt idx="230">
                  <c:v>-164.82302943477487</c:v>
                </c:pt>
                <c:pt idx="231">
                  <c:v>-168.01353203583693</c:v>
                </c:pt>
                <c:pt idx="232">
                  <c:v>-171.1288945788294</c:v>
                </c:pt>
                <c:pt idx="233">
                  <c:v>-174.15433143412031</c:v>
                </c:pt>
                <c:pt idx="234">
                  <c:v>-177.07771627102528</c:v>
                </c:pt>
                <c:pt idx="235">
                  <c:v>-179.88967246555197</c:v>
                </c:pt>
                <c:pt idx="236">
                  <c:v>-182.58350931369642</c:v>
                </c:pt>
                <c:pt idx="237">
                  <c:v>-185.15503633968686</c:v>
                </c:pt>
                <c:pt idx="238">
                  <c:v>-187.60229335680017</c:v>
                </c:pt>
                <c:pt idx="239">
                  <c:v>-189.92523302456715</c:v>
                </c:pt>
                <c:pt idx="240">
                  <c:v>-192.12538748148918</c:v>
                </c:pt>
                <c:pt idx="241">
                  <c:v>-194.2055433498131</c:v>
                </c:pt>
                <c:pt idx="242">
                  <c:v>-196.16944175138059</c:v>
                </c:pt>
                <c:pt idx="243">
                  <c:v>-198.02151309420285</c:v>
                </c:pt>
                <c:pt idx="244">
                  <c:v>-199.76665087129354</c:v>
                </c:pt>
                <c:pt idx="245">
                  <c:v>-201.41002470414637</c:v>
                </c:pt>
                <c:pt idx="246">
                  <c:v>-202.9569302384561</c:v>
                </c:pt>
                <c:pt idx="247">
                  <c:v>-204.41267200264559</c:v>
                </c:pt>
                <c:pt idx="248">
                  <c:v>-205.78247468027308</c:v>
                </c:pt>
                <c:pt idx="249">
                  <c:v>-207.07141815893419</c:v>
                </c:pt>
                <c:pt idx="250">
                  <c:v>-208.28439198375901</c:v>
                </c:pt>
                <c:pt idx="251">
                  <c:v>-209.42606530101239</c:v>
                </c:pt>
                <c:pt idx="252">
                  <c:v>-210.50086891441296</c:v>
                </c:pt>
                <c:pt idx="253">
                  <c:v>-211.51298662150904</c:v>
                </c:pt>
                <c:pt idx="254">
                  <c:v>-212.46635350755375</c:v>
                </c:pt>
                <c:pt idx="255">
                  <c:v>-213.36465932830498</c:v>
                </c:pt>
                <c:pt idx="256">
                  <c:v>-214.21135550311323</c:v>
                </c:pt>
                <c:pt idx="257">
                  <c:v>-215.00966456584439</c:v>
                </c:pt>
                <c:pt idx="258">
                  <c:v>-215.76259118849811</c:v>
                </c:pt>
                <c:pt idx="259">
                  <c:v>-216.47293410782689</c:v>
                </c:pt>
                <c:pt idx="260">
                  <c:v>-217.14329845649638</c:v>
                </c:pt>
                <c:pt idx="261">
                  <c:v>-217.77610813476363</c:v>
                </c:pt>
                <c:pt idx="262">
                  <c:v>-218.37361796302349</c:v>
                </c:pt>
                <c:pt idx="263">
                  <c:v>-218.93792543574563</c:v>
                </c:pt>
                <c:pt idx="264">
                  <c:v>-219.47098195823659</c:v>
                </c:pt>
                <c:pt idx="265">
                  <c:v>-219.97460349341742</c:v>
                </c:pt>
                <c:pt idx="266">
                  <c:v>-220.45048057973062</c:v>
                </c:pt>
                <c:pt idx="267">
                  <c:v>-220.90018770605752</c:v>
                </c:pt>
                <c:pt idx="268">
                  <c:v>-221.32519204726663</c:v>
                </c:pt>
                <c:pt idx="269">
                  <c:v>-221.72686157639603</c:v>
                </c:pt>
                <c:pt idx="270">
                  <c:v>-222.10647257781366</c:v>
                </c:pt>
                <c:pt idx="271">
                  <c:v>-222.46521659101091</c:v>
                </c:pt>
                <c:pt idx="272">
                  <c:v>-222.80420681775789</c:v>
                </c:pt>
                <c:pt idx="273">
                  <c:v>-223.1244840267824</c:v>
                </c:pt>
                <c:pt idx="274">
                  <c:v>-223.42702199039269</c:v>
                </c:pt>
                <c:pt idx="275">
                  <c:v>-223.71273248689138</c:v>
                </c:pt>
                <c:pt idx="276">
                  <c:v>-223.98246990149482</c:v>
                </c:pt>
                <c:pt idx="277">
                  <c:v>-224.23703545696262</c:v>
                </c:pt>
                <c:pt idx="278">
                  <c:v>-224.47718110341697</c:v>
                </c:pt>
                <c:pt idx="279">
                  <c:v>-224.70361309498443</c:v>
                </c:pt>
                <c:pt idx="280">
                  <c:v>-224.91699527900701</c:v>
                </c:pt>
                <c:pt idx="281">
                  <c:v>-225.11795212169739</c:v>
                </c:pt>
                <c:pt idx="282">
                  <c:v>-225.30707149229522</c:v>
                </c:pt>
                <c:pt idx="283">
                  <c:v>-225.48490722603663</c:v>
                </c:pt>
                <c:pt idx="284">
                  <c:v>-225.65198148459933</c:v>
                </c:pt>
                <c:pt idx="285">
                  <c:v>-225.80878693113604</c:v>
                </c:pt>
                <c:pt idx="286">
                  <c:v>-225.95578873556326</c:v>
                </c:pt>
                <c:pt idx="287">
                  <c:v>-226.09342642443434</c:v>
                </c:pt>
                <c:pt idx="288">
                  <c:v>-226.22211558848531</c:v>
                </c:pt>
                <c:pt idx="289">
                  <c:v>-226.34224945980759</c:v>
                </c:pt>
                <c:pt idx="290">
                  <c:v>-226.45420036955332</c:v>
                </c:pt>
                <c:pt idx="291">
                  <c:v>-226.55832109612527</c:v>
                </c:pt>
                <c:pt idx="292">
                  <c:v>-226.65494611292817</c:v>
                </c:pt>
                <c:pt idx="293">
                  <c:v>-226.74439274396113</c:v>
                </c:pt>
                <c:pt idx="294">
                  <c:v>-226.82696223480349</c:v>
                </c:pt>
                <c:pt idx="295">
                  <c:v>-226.90294074588536</c:v>
                </c:pt>
                <c:pt idx="296">
                  <c:v>-226.97260027432989</c:v>
                </c:pt>
                <c:pt idx="297">
                  <c:v>-227.03619951010805</c:v>
                </c:pt>
                <c:pt idx="298">
                  <c:v>-227.09398463174614</c:v>
                </c:pt>
                <c:pt idx="299">
                  <c:v>-227.14619004637464</c:v>
                </c:pt>
                <c:pt idx="300">
                  <c:v>-227.19303907849419</c:v>
                </c:pt>
                <c:pt idx="301">
                  <c:v>-227.23474461145889</c:v>
                </c:pt>
                <c:pt idx="302">
                  <c:v>-227.27150968533789</c:v>
                </c:pt>
                <c:pt idx="303">
                  <c:v>-227.30352805450451</c:v>
                </c:pt>
                <c:pt idx="304">
                  <c:v>-227.33098470802227</c:v>
                </c:pt>
                <c:pt idx="305">
                  <c:v>-227.35405635563734</c:v>
                </c:pt>
                <c:pt idx="306">
                  <c:v>-227.37291188195695</c:v>
                </c:pt>
                <c:pt idx="307">
                  <c:v>-227.38771277117738</c:v>
                </c:pt>
                <c:pt idx="308">
                  <c:v>-227.3986135045327</c:v>
                </c:pt>
                <c:pt idx="309">
                  <c:v>-227.40576193245914</c:v>
                </c:pt>
                <c:pt idx="310">
                  <c:v>-227.40929962330637</c:v>
                </c:pt>
                <c:pt idx="311">
                  <c:v>-227.40936219028299</c:v>
                </c:pt>
                <c:pt idx="312">
                  <c:v>-227.40607959818669</c:v>
                </c:pt>
                <c:pt idx="313">
                  <c:v>-227.39957645134771</c:v>
                </c:pt>
                <c:pt idx="314">
                  <c:v>-227.38997226410251</c:v>
                </c:pt>
                <c:pt idx="315">
                  <c:v>-227.37738171501076</c:v>
                </c:pt>
                <c:pt idx="316">
                  <c:v>-227.3619148859363</c:v>
                </c:pt>
                <c:pt idx="317">
                  <c:v>-227.34367748702542</c:v>
                </c:pt>
                <c:pt idx="318">
                  <c:v>-227.32277106853815</c:v>
                </c:pt>
                <c:pt idx="319">
                  <c:v>-227.29929322041505</c:v>
                </c:pt>
                <c:pt idx="320">
                  <c:v>-227.27333776039637</c:v>
                </c:pt>
                <c:pt idx="321">
                  <c:v>-227.24499491144988</c:v>
                </c:pt>
                <c:pt idx="322">
                  <c:v>-227.21435146920683</c:v>
                </c:pt>
                <c:pt idx="323">
                  <c:v>-227.1814909600551</c:v>
                </c:pt>
                <c:pt idx="324">
                  <c:v>-227.14649379049115</c:v>
                </c:pt>
                <c:pt idx="325">
                  <c:v>-227.10943738828888</c:v>
                </c:pt>
                <c:pt idx="326">
                  <c:v>-227.07039633600343</c:v>
                </c:pt>
                <c:pt idx="327">
                  <c:v>-227.02944249729109</c:v>
                </c:pt>
                <c:pt idx="328">
                  <c:v>-226.98664513649337</c:v>
                </c:pt>
                <c:pt idx="329">
                  <c:v>-226.9420710319005</c:v>
                </c:pt>
                <c:pt idx="330">
                  <c:v>-226.89578458308222</c:v>
                </c:pt>
                <c:pt idx="331">
                  <c:v>-226.84784791264522</c:v>
                </c:pt>
                <c:pt idx="332">
                  <c:v>-226.79832096275493</c:v>
                </c:pt>
                <c:pt idx="333">
                  <c:v>-226.74726158673258</c:v>
                </c:pt>
                <c:pt idx="334">
                  <c:v>-226.69472563602102</c:v>
                </c:pt>
                <c:pt idx="335">
                  <c:v>-226.64076704279105</c:v>
                </c:pt>
                <c:pt idx="336">
                  <c:v>-226.58543789844228</c:v>
                </c:pt>
                <c:pt idx="337">
                  <c:v>-226.52878852823733</c:v>
                </c:pt>
                <c:pt idx="338">
                  <c:v>-226.47086756228964</c:v>
                </c:pt>
                <c:pt idx="339">
                  <c:v>-226.41172200311445</c:v>
                </c:pt>
                <c:pt idx="340">
                  <c:v>-226.35139728993536</c:v>
                </c:pt>
                <c:pt idx="341">
                  <c:v>-226.28993735993021</c:v>
                </c:pt>
                <c:pt idx="342">
                  <c:v>-226.2273847065847</c:v>
                </c:pt>
                <c:pt idx="343">
                  <c:v>-226.16378043531495</c:v>
                </c:pt>
                <c:pt idx="344">
                  <c:v>-226.09916431650745</c:v>
                </c:pt>
                <c:pt idx="345">
                  <c:v>-226.03357483611762</c:v>
                </c:pt>
                <c:pt idx="346">
                  <c:v>-225.96704924395777</c:v>
                </c:pt>
                <c:pt idx="347">
                  <c:v>-225.89962359979879</c:v>
                </c:pt>
                <c:pt idx="348">
                  <c:v>-225.83133281740152</c:v>
                </c:pt>
                <c:pt idx="349">
                  <c:v>-225.76221070658613</c:v>
                </c:pt>
                <c:pt idx="350">
                  <c:v>-225.69229001344385</c:v>
                </c:pt>
                <c:pt idx="351">
                  <c:v>-225.62160245878516</c:v>
                </c:pt>
                <c:pt idx="352">
                  <c:v>-225.55017877491758</c:v>
                </c:pt>
                <c:pt idx="353">
                  <c:v>-225.47804874083639</c:v>
                </c:pt>
                <c:pt idx="354">
                  <c:v>-225.40524121591048</c:v>
                </c:pt>
                <c:pt idx="355">
                  <c:v>-225.3317841721383</c:v>
                </c:pt>
                <c:pt idx="356">
                  <c:v>-225.25770472504504</c:v>
                </c:pt>
                <c:pt idx="357">
                  <c:v>-225.18302916328966</c:v>
                </c:pt>
                <c:pt idx="358">
                  <c:v>-225.10778297704385</c:v>
                </c:pt>
                <c:pt idx="359">
                  <c:v>-225.03199088520429</c:v>
                </c:pt>
                <c:pt idx="360">
                  <c:v>-224.95567686149386</c:v>
                </c:pt>
                <c:pt idx="361">
                  <c:v>-224.87886415950584</c:v>
                </c:pt>
                <c:pt idx="362">
                  <c:v>-224.80157533674162</c:v>
                </c:pt>
                <c:pt idx="363">
                  <c:v>-224.72383227768941</c:v>
                </c:pt>
                <c:pt idx="364">
                  <c:v>-224.64565621598936</c:v>
                </c:pt>
                <c:pt idx="365">
                  <c:v>-224.56706775572826</c:v>
                </c:pt>
                <c:pt idx="366">
                  <c:v>-224.48808689190341</c:v>
                </c:pt>
                <c:pt idx="367">
                  <c:v>-224.40873303009434</c:v>
                </c:pt>
                <c:pt idx="368">
                  <c:v>-224.32902500537935</c:v>
                </c:pt>
                <c:pt idx="369">
                  <c:v>-224.24898110052996</c:v>
                </c:pt>
                <c:pt idx="370">
                  <c:v>-224.16861906351727</c:v>
                </c:pt>
                <c:pt idx="371">
                  <c:v>-224.08795612435927</c:v>
                </c:pt>
                <c:pt idx="372">
                  <c:v>-224.00700901134078</c:v>
                </c:pt>
                <c:pt idx="373">
                  <c:v>-223.92579396663166</c:v>
                </c:pt>
                <c:pt idx="374">
                  <c:v>-223.84432676133073</c:v>
                </c:pt>
                <c:pt idx="375">
                  <c:v>-223.76262270996051</c:v>
                </c:pt>
                <c:pt idx="376">
                  <c:v>-223.68069668443596</c:v>
                </c:pt>
                <c:pt idx="377">
                  <c:v>-223.59856312753038</c:v>
                </c:pt>
                <c:pt idx="378">
                  <c:v>-223.51623606585977</c:v>
                </c:pt>
                <c:pt idx="379">
                  <c:v>-223.43372912240582</c:v>
                </c:pt>
                <c:pt idx="380">
                  <c:v>-223.35105552859747</c:v>
                </c:pt>
                <c:pt idx="381">
                  <c:v>-223.26822813596897</c:v>
                </c:pt>
                <c:pt idx="382">
                  <c:v>-223.18525942741246</c:v>
                </c:pt>
                <c:pt idx="383">
                  <c:v>-223.10216152804114</c:v>
                </c:pt>
                <c:pt idx="384">
                  <c:v>-223.01894621568047</c:v>
                </c:pt>
                <c:pt idx="385">
                  <c:v>-222.93562493100029</c:v>
                </c:pt>
                <c:pt idx="386">
                  <c:v>-222.85220878730468</c:v>
                </c:pt>
                <c:pt idx="387">
                  <c:v>-222.76870857999128</c:v>
                </c:pt>
                <c:pt idx="388">
                  <c:v>-222.68513479569506</c:v>
                </c:pt>
                <c:pt idx="389">
                  <c:v>-222.60149762112792</c:v>
                </c:pt>
                <c:pt idx="390">
                  <c:v>-222.51780695162583</c:v>
                </c:pt>
                <c:pt idx="391">
                  <c:v>-222.43407239941641</c:v>
                </c:pt>
                <c:pt idx="392">
                  <c:v>-222.35030330161621</c:v>
                </c:pt>
                <c:pt idx="393">
                  <c:v>-222.26650872796895</c:v>
                </c:pt>
                <c:pt idx="394">
                  <c:v>-222.18269748833472</c:v>
                </c:pt>
                <c:pt idx="395">
                  <c:v>-222.09887813993899</c:v>
                </c:pt>
                <c:pt idx="396">
                  <c:v>-222.01505899439138</c:v>
                </c:pt>
                <c:pt idx="397">
                  <c:v>-221.93124812448207</c:v>
                </c:pt>
                <c:pt idx="398">
                  <c:v>-221.84745337076441</c:v>
                </c:pt>
                <c:pt idx="399">
                  <c:v>-221.76368234793236</c:v>
                </c:pt>
                <c:pt idx="400">
                  <c:v>-221.67994245099871</c:v>
                </c:pt>
                <c:pt idx="401">
                  <c:v>-221.59624086128321</c:v>
                </c:pt>
                <c:pt idx="402">
                  <c:v>-221.5125845522162</c:v>
                </c:pt>
                <c:pt idx="403">
                  <c:v>-221.42898029496544</c:v>
                </c:pt>
                <c:pt idx="404">
                  <c:v>-221.34543466389101</c:v>
                </c:pt>
                <c:pt idx="405">
                  <c:v>-221.26195404183645</c:v>
                </c:pt>
                <c:pt idx="406">
                  <c:v>-221.17854462526012</c:v>
                </c:pt>
                <c:pt idx="407">
                  <c:v>-221.09521242921355</c:v>
                </c:pt>
                <c:pt idx="408">
                  <c:v>-221.0119632921716</c:v>
                </c:pt>
                <c:pt idx="409">
                  <c:v>-220.92880288071996</c:v>
                </c:pt>
                <c:pt idx="410">
                  <c:v>-220.84573669410429</c:v>
                </c:pt>
                <c:pt idx="411">
                  <c:v>-220.7627700686468</c:v>
                </c:pt>
                <c:pt idx="412">
                  <c:v>-220.67990818203387</c:v>
                </c:pt>
                <c:pt idx="413">
                  <c:v>-220.59715605747937</c:v>
                </c:pt>
                <c:pt idx="414">
                  <c:v>-220.51451856776819</c:v>
                </c:pt>
                <c:pt idx="415">
                  <c:v>-220.43200043918378</c:v>
                </c:pt>
                <c:pt idx="416">
                  <c:v>-220.34960625532312</c:v>
                </c:pt>
                <c:pt idx="417">
                  <c:v>-220.26734046080401</c:v>
                </c:pt>
                <c:pt idx="418">
                  <c:v>-220.1852073648669</c:v>
                </c:pt>
                <c:pt idx="419">
                  <c:v>-220.10321114487579</c:v>
                </c:pt>
                <c:pt idx="420">
                  <c:v>-220.02135584972081</c:v>
                </c:pt>
                <c:pt idx="421">
                  <c:v>-219.93964540312581</c:v>
                </c:pt>
                <c:pt idx="422">
                  <c:v>-219.85808360686465</c:v>
                </c:pt>
                <c:pt idx="423">
                  <c:v>-219.77667414388819</c:v>
                </c:pt>
                <c:pt idx="424">
                  <c:v>-219.695420581365</c:v>
                </c:pt>
                <c:pt idx="425">
                  <c:v>-219.61432637363953</c:v>
                </c:pt>
                <c:pt idx="426">
                  <c:v>-219.53339486510893</c:v>
                </c:pt>
                <c:pt idx="427">
                  <c:v>-219.45262929302194</c:v>
                </c:pt>
                <c:pt idx="428">
                  <c:v>-219.37203279020207</c:v>
                </c:pt>
                <c:pt idx="429">
                  <c:v>-219.29160838769747</c:v>
                </c:pt>
                <c:pt idx="430">
                  <c:v>-219.21135901735971</c:v>
                </c:pt>
                <c:pt idx="431">
                  <c:v>-219.13128751435357</c:v>
                </c:pt>
                <c:pt idx="432">
                  <c:v>-219.05139661959984</c:v>
                </c:pt>
                <c:pt idx="433">
                  <c:v>-218.97168898215375</c:v>
                </c:pt>
                <c:pt idx="434">
                  <c:v>-218.89216716152049</c:v>
                </c:pt>
                <c:pt idx="435">
                  <c:v>-218.81283362990933</c:v>
                </c:pt>
                <c:pt idx="436">
                  <c:v>-218.73369077442928</c:v>
                </c:pt>
                <c:pt idx="437">
                  <c:v>-218.65474089922691</c:v>
                </c:pt>
                <c:pt idx="438">
                  <c:v>-218.57598622756893</c:v>
                </c:pt>
                <c:pt idx="439">
                  <c:v>-218.49742890387026</c:v>
                </c:pt>
                <c:pt idx="440">
                  <c:v>-218.41907099567004</c:v>
                </c:pt>
                <c:pt idx="441">
                  <c:v>-218.3409144955568</c:v>
                </c:pt>
                <c:pt idx="442">
                  <c:v>-218.26296132304392</c:v>
                </c:pt>
                <c:pt idx="443">
                  <c:v>-218.1852133263971</c:v>
                </c:pt>
                <c:pt idx="444">
                  <c:v>-218.10767228441554</c:v>
                </c:pt>
                <c:pt idx="445">
                  <c:v>-218.03033990816749</c:v>
                </c:pt>
                <c:pt idx="446">
                  <c:v>-217.95321784268222</c:v>
                </c:pt>
                <c:pt idx="447">
                  <c:v>-217.87630766859846</c:v>
                </c:pt>
                <c:pt idx="448">
                  <c:v>-217.79961090377233</c:v>
                </c:pt>
                <c:pt idx="449">
                  <c:v>-217.72312900484405</c:v>
                </c:pt>
                <c:pt idx="450">
                  <c:v>-217.64686336876593</c:v>
                </c:pt>
                <c:pt idx="451">
                  <c:v>-217.57081533429201</c:v>
                </c:pt>
                <c:pt idx="452">
                  <c:v>-217.49498618343029</c:v>
                </c:pt>
                <c:pt idx="453">
                  <c:v>-217.41937714285967</c:v>
                </c:pt>
                <c:pt idx="454">
                  <c:v>-217.34398938531109</c:v>
                </c:pt>
                <c:pt idx="455">
                  <c:v>-217.26882403091466</c:v>
                </c:pt>
                <c:pt idx="456">
                  <c:v>-217.19388214851421</c:v>
                </c:pt>
                <c:pt idx="457">
                  <c:v>-217.11916475694849</c:v>
                </c:pt>
                <c:pt idx="458">
                  <c:v>-217.04467282630199</c:v>
                </c:pt>
                <c:pt idx="459">
                  <c:v>-216.97040727912454</c:v>
                </c:pt>
                <c:pt idx="460">
                  <c:v>-216.89636899162133</c:v>
                </c:pt>
                <c:pt idx="461">
                  <c:v>-216.82255879481411</c:v>
                </c:pt>
                <c:pt idx="462">
                  <c:v>-216.74897747567391</c:v>
                </c:pt>
                <c:pt idx="463">
                  <c:v>-216.67562577822656</c:v>
                </c:pt>
                <c:pt idx="464">
                  <c:v>-216.60250440463142</c:v>
                </c:pt>
                <c:pt idx="465">
                  <c:v>-216.52961401623401</c:v>
                </c:pt>
                <c:pt idx="466">
                  <c:v>-216.45695523459341</c:v>
                </c:pt>
                <c:pt idx="467">
                  <c:v>-216.38452864248487</c:v>
                </c:pt>
                <c:pt idx="468">
                  <c:v>-216.31233478487852</c:v>
                </c:pt>
                <c:pt idx="469">
                  <c:v>-216.24037416989455</c:v>
                </c:pt>
                <c:pt idx="470">
                  <c:v>-216.16864726973552</c:v>
                </c:pt>
                <c:pt idx="471">
                  <c:v>-216.09715452159671</c:v>
                </c:pt>
                <c:pt idx="472">
                  <c:v>-216.02589632855455</c:v>
                </c:pt>
                <c:pt idx="473">
                  <c:v>-215.95487306043393</c:v>
                </c:pt>
                <c:pt idx="474">
                  <c:v>-215.88408505465532</c:v>
                </c:pt>
                <c:pt idx="475">
                  <c:v>-215.81353261706116</c:v>
                </c:pt>
                <c:pt idx="476">
                  <c:v>-215.7432160227236</c:v>
                </c:pt>
                <c:pt idx="477">
                  <c:v>-215.67313551673226</c:v>
                </c:pt>
                <c:pt idx="478">
                  <c:v>-215.60329131496414</c:v>
                </c:pt>
                <c:pt idx="479">
                  <c:v>-215.53368360483501</c:v>
                </c:pt>
                <c:pt idx="480">
                  <c:v>-215.46431254603343</c:v>
                </c:pt>
                <c:pt idx="481">
                  <c:v>-215.39517827123731</c:v>
                </c:pt>
                <c:pt idx="482">
                  <c:v>-215.32628088681369</c:v>
                </c:pt>
                <c:pt idx="483">
                  <c:v>-215.25762047350247</c:v>
                </c:pt>
                <c:pt idx="484">
                  <c:v>-215.1891970870837</c:v>
                </c:pt>
                <c:pt idx="485">
                  <c:v>-215.12101075902973</c:v>
                </c:pt>
                <c:pt idx="486">
                  <c:v>-215.0530614971417</c:v>
                </c:pt>
                <c:pt idx="487">
                  <c:v>-214.98534928617164</c:v>
                </c:pt>
                <c:pt idx="488">
                  <c:v>-214.91787408842993</c:v>
                </c:pt>
                <c:pt idx="489">
                  <c:v>-214.8506358443787</c:v>
                </c:pt>
                <c:pt idx="490">
                  <c:v>-214.78363447321104</c:v>
                </c:pt>
                <c:pt idx="491">
                  <c:v>-214.71686987341752</c:v>
                </c:pt>
                <c:pt idx="492">
                  <c:v>-214.65034192333906</c:v>
                </c:pt>
                <c:pt idx="493">
                  <c:v>-214.58405048170707</c:v>
                </c:pt>
                <c:pt idx="494">
                  <c:v>-214.51799538817133</c:v>
                </c:pt>
                <c:pt idx="495">
                  <c:v>-214.45217646381528</c:v>
                </c:pt>
                <c:pt idx="496">
                  <c:v>-214.38659351165978</c:v>
                </c:pt>
                <c:pt idx="497">
                  <c:v>-214.3212463171551</c:v>
                </c:pt>
                <c:pt idx="498">
                  <c:v>-214.25613464866152</c:v>
                </c:pt>
                <c:pt idx="499">
                  <c:v>-214.19125825791892</c:v>
                </c:pt>
                <c:pt idx="500">
                  <c:v>-214.12661688050545</c:v>
                </c:pt>
                <c:pt idx="501">
                  <c:v>-214.06221023628598</c:v>
                </c:pt>
                <c:pt idx="502">
                  <c:v>-213.99803802984954</c:v>
                </c:pt>
                <c:pt idx="503">
                  <c:v>-213.93409995093754</c:v>
                </c:pt>
                <c:pt idx="504">
                  <c:v>-213.87039567486141</c:v>
                </c:pt>
                <c:pt idx="505">
                  <c:v>-213.80692486291133</c:v>
                </c:pt>
                <c:pt idx="506">
                  <c:v>-213.74368716275478</c:v>
                </c:pt>
                <c:pt idx="507">
                  <c:v>-213.68068220882674</c:v>
                </c:pt>
                <c:pt idx="508">
                  <c:v>-213.61790962271036</c:v>
                </c:pt>
                <c:pt idx="509">
                  <c:v>-213.55536901350899</c:v>
                </c:pt>
                <c:pt idx="510">
                  <c:v>-213.49305997821011</c:v>
                </c:pt>
                <c:pt idx="511">
                  <c:v>-213.43098210204008</c:v>
                </c:pt>
                <c:pt idx="512">
                  <c:v>-213.36913495881177</c:v>
                </c:pt>
                <c:pt idx="513">
                  <c:v>-213.30751811126311</c:v>
                </c:pt>
                <c:pt idx="514">
                  <c:v>-213.24613111138899</c:v>
                </c:pt>
                <c:pt idx="515">
                  <c:v>-213.18497350076456</c:v>
                </c:pt>
                <c:pt idx="516">
                  <c:v>-213.12404481086165</c:v>
                </c:pt>
                <c:pt idx="517">
                  <c:v>-213.06334456335796</c:v>
                </c:pt>
                <c:pt idx="518">
                  <c:v>-213.00287227043896</c:v>
                </c:pt>
                <c:pt idx="519">
                  <c:v>-212.94262743509262</c:v>
                </c:pt>
                <c:pt idx="520">
                  <c:v>-212.88260955139808</c:v>
                </c:pt>
                <c:pt idx="521">
                  <c:v>-212.82281810480706</c:v>
                </c:pt>
                <c:pt idx="522">
                  <c:v>-212.76325257241879</c:v>
                </c:pt>
                <c:pt idx="523">
                  <c:v>-212.70391242324925</c:v>
                </c:pt>
                <c:pt idx="524">
                  <c:v>-212.64479711849356</c:v>
                </c:pt>
                <c:pt idx="525">
                  <c:v>-212.58590611178252</c:v>
                </c:pt>
                <c:pt idx="526">
                  <c:v>-212.52723884943345</c:v>
                </c:pt>
                <c:pt idx="527">
                  <c:v>-212.46879477069493</c:v>
                </c:pt>
                <c:pt idx="528">
                  <c:v>-212.41057330798623</c:v>
                </c:pt>
                <c:pt idx="529">
                  <c:v>-212.35257388713097</c:v>
                </c:pt>
                <c:pt idx="530">
                  <c:v>-212.2947959275854</c:v>
                </c:pt>
                <c:pt idx="531">
                  <c:v>-212.2372388426615</c:v>
                </c:pt>
                <c:pt idx="532">
                  <c:v>-212.17990203974517</c:v>
                </c:pt>
                <c:pt idx="533">
                  <c:v>-212.12278492050848</c:v>
                </c:pt>
                <c:pt idx="534">
                  <c:v>-212.06588688111827</c:v>
                </c:pt>
                <c:pt idx="535">
                  <c:v>-212.0092073124388</c:v>
                </c:pt>
                <c:pt idx="536">
                  <c:v>-211.95274560023057</c:v>
                </c:pt>
                <c:pt idx="537">
                  <c:v>-211.89650112534366</c:v>
                </c:pt>
                <c:pt idx="538">
                  <c:v>-211.8404732639074</c:v>
                </c:pt>
                <c:pt idx="539">
                  <c:v>-211.78466138751494</c:v>
                </c:pt>
                <c:pt idx="540">
                  <c:v>-211.72906486340423</c:v>
                </c:pt>
                <c:pt idx="541">
                  <c:v>-211.67368305463401</c:v>
                </c:pt>
                <c:pt idx="542">
                  <c:v>-211.61851532025614</c:v>
                </c:pt>
                <c:pt idx="543">
                  <c:v>-211.563561015484</c:v>
                </c:pt>
                <c:pt idx="544">
                  <c:v>-211.50881949185646</c:v>
                </c:pt>
                <c:pt idx="545">
                  <c:v>-211.45429009739863</c:v>
                </c:pt>
                <c:pt idx="546">
                  <c:v>-211.39997217677825</c:v>
                </c:pt>
                <c:pt idx="547">
                  <c:v>-211.34586507145883</c:v>
                </c:pt>
                <c:pt idx="548">
                  <c:v>-211.29196811984872</c:v>
                </c:pt>
                <c:pt idx="549">
                  <c:v>-211.23828065744735</c:v>
                </c:pt>
                <c:pt idx="550">
                  <c:v>-211.18480201698731</c:v>
                </c:pt>
                <c:pt idx="551">
                  <c:v>-211.13153152857342</c:v>
                </c:pt>
                <c:pt idx="552">
                  <c:v>-211.07846851981856</c:v>
                </c:pt>
                <c:pt idx="553">
                  <c:v>-211.02561231597596</c:v>
                </c:pt>
                <c:pt idx="554">
                  <c:v>-210.97296224006874</c:v>
                </c:pt>
                <c:pt idx="555">
                  <c:v>-210.92051761301585</c:v>
                </c:pt>
                <c:pt idx="556">
                  <c:v>-210.86827775375565</c:v>
                </c:pt>
                <c:pt idx="557">
                  <c:v>-210.816241979366</c:v>
                </c:pt>
                <c:pt idx="558">
                  <c:v>-210.76440960518136</c:v>
                </c:pt>
                <c:pt idx="559">
                  <c:v>-210.71277994490796</c:v>
                </c:pt>
                <c:pt idx="560">
                  <c:v>-210.66135231073508</c:v>
                </c:pt>
                <c:pt idx="561">
                  <c:v>-210.61012601344413</c:v>
                </c:pt>
                <c:pt idx="562">
                  <c:v>-210.55910036251549</c:v>
                </c:pt>
                <c:pt idx="563">
                  <c:v>-210.50827466623184</c:v>
                </c:pt>
                <c:pt idx="564">
                  <c:v>-210.45764823177996</c:v>
                </c:pt>
                <c:pt idx="565">
                  <c:v>-210.4072203653491</c:v>
                </c:pt>
                <c:pt idx="566">
                  <c:v>-210.35699037222784</c:v>
                </c:pt>
                <c:pt idx="567">
                  <c:v>-210.30695755689769</c:v>
                </c:pt>
                <c:pt idx="568">
                  <c:v>-210.25712122312527</c:v>
                </c:pt>
                <c:pt idx="569">
                  <c:v>-210.20748067405137</c:v>
                </c:pt>
                <c:pt idx="570">
                  <c:v>-210.15803521227846</c:v>
                </c:pt>
                <c:pt idx="571">
                  <c:v>-210.10878413995553</c:v>
                </c:pt>
                <c:pt idx="572">
                  <c:v>-210.05972675886127</c:v>
                </c:pt>
                <c:pt idx="573">
                  <c:v>-210.01086237048474</c:v>
                </c:pt>
                <c:pt idx="574">
                  <c:v>-209.96219027610437</c:v>
                </c:pt>
                <c:pt idx="575">
                  <c:v>-209.91370977686475</c:v>
                </c:pt>
                <c:pt idx="576">
                  <c:v>-209.86542017385125</c:v>
                </c:pt>
                <c:pt idx="577">
                  <c:v>-209.81732076816357</c:v>
                </c:pt>
                <c:pt idx="578">
                  <c:v>-209.76941086098643</c:v>
                </c:pt>
                <c:pt idx="579">
                  <c:v>-209.72168975365909</c:v>
                </c:pt>
                <c:pt idx="580">
                  <c:v>-209.67415674774276</c:v>
                </c:pt>
                <c:pt idx="581">
                  <c:v>-209.62681114508658</c:v>
                </c:pt>
                <c:pt idx="582">
                  <c:v>-209.57965224789146</c:v>
                </c:pt>
                <c:pt idx="583">
                  <c:v>-209.53267935877278</c:v>
                </c:pt>
                <c:pt idx="584">
                  <c:v>-209.48589178082088</c:v>
                </c:pt>
                <c:pt idx="585">
                  <c:v>-209.43928881766047</c:v>
                </c:pt>
                <c:pt idx="586">
                  <c:v>-209.39286977350829</c:v>
                </c:pt>
                <c:pt idx="587">
                  <c:v>-209.34663395322897</c:v>
                </c:pt>
                <c:pt idx="588">
                  <c:v>-209.30058066238988</c:v>
                </c:pt>
                <c:pt idx="589">
                  <c:v>-209.25470920731422</c:v>
                </c:pt>
                <c:pt idx="590">
                  <c:v>-209.20901889513254</c:v>
                </c:pt>
                <c:pt idx="591">
                  <c:v>-209.16350903383346</c:v>
                </c:pt>
                <c:pt idx="592">
                  <c:v>-209.11817893231222</c:v>
                </c:pt>
                <c:pt idx="593">
                  <c:v>-209.07302790041848</c:v>
                </c:pt>
                <c:pt idx="594">
                  <c:v>-209.02805524900276</c:v>
                </c:pt>
                <c:pt idx="595">
                  <c:v>-208.98326028996107</c:v>
                </c:pt>
                <c:pt idx="596">
                  <c:v>-208.93864233627917</c:v>
                </c:pt>
                <c:pt idx="597">
                  <c:v>-208.89420070207473</c:v>
                </c:pt>
                <c:pt idx="598">
                  <c:v>-208.84993470263876</c:v>
                </c:pt>
                <c:pt idx="599">
                  <c:v>-208.80584365447598</c:v>
                </c:pt>
                <c:pt idx="600">
                  <c:v>-208.76192687534362</c:v>
                </c:pt>
                <c:pt idx="601">
                  <c:v>-208.71818368428941</c:v>
                </c:pt>
                <c:pt idx="602">
                  <c:v>-208.67461340168845</c:v>
                </c:pt>
                <c:pt idx="603">
                  <c:v>-208.63121534927885</c:v>
                </c:pt>
                <c:pt idx="604">
                  <c:v>-208.58798885019633</c:v>
                </c:pt>
                <c:pt idx="605">
                  <c:v>-208.54493322900825</c:v>
                </c:pt>
                <c:pt idx="606">
                  <c:v>-206.59559487676711</c:v>
                </c:pt>
                <c:pt idx="607">
                  <c:v>-204.99453791817348</c:v>
                </c:pt>
                <c:pt idx="608">
                  <c:v>-203.67670002798863</c:v>
                </c:pt>
                <c:pt idx="609">
                  <c:v>-202.58974042156134</c:v>
                </c:pt>
                <c:pt idx="610">
                  <c:v>-201.69208496746739</c:v>
                </c:pt>
                <c:pt idx="611">
                  <c:v>-200.95077501153517</c:v>
                </c:pt>
                <c:pt idx="612">
                  <c:v>-200.33959467937194</c:v>
                </c:pt>
                <c:pt idx="613">
                  <c:v>-199.83756704858646</c:v>
                </c:pt>
                <c:pt idx="614">
                  <c:v>-199.42778611260655</c:v>
                </c:pt>
                <c:pt idx="615">
                  <c:v>-199.09652157550553</c:v>
                </c:pt>
                <c:pt idx="616">
                  <c:v>-198.83253520069411</c:v>
                </c:pt>
                <c:pt idx="617">
                  <c:v>-198.62655790247823</c:v>
                </c:pt>
                <c:pt idx="618">
                  <c:v>-198.57032346356456</c:v>
                </c:pt>
                <c:pt idx="619">
                  <c:v>-198.52127957008727</c:v>
                </c:pt>
                <c:pt idx="620">
                  <c:v>-198.47904683840673</c:v>
                </c:pt>
                <c:pt idx="621">
                  <c:v>-198.44327100234676</c:v>
                </c:pt>
                <c:pt idx="622">
                  <c:v>-198.41362091403246</c:v>
                </c:pt>
                <c:pt idx="623">
                  <c:v>-198.38978672693349</c:v>
                </c:pt>
                <c:pt idx="624">
                  <c:v>-198.37147824275999</c:v>
                </c:pt>
                <c:pt idx="625">
                  <c:v>-198.35842340583412</c:v>
                </c:pt>
                <c:pt idx="626">
                  <c:v>-198.35036693032069</c:v>
                </c:pt>
                <c:pt idx="627">
                  <c:v>-198.34706904725951</c:v>
                </c:pt>
                <c:pt idx="628">
                  <c:v>-198.34830435973353</c:v>
                </c:pt>
                <c:pt idx="629">
                  <c:v>-198.35386079573766</c:v>
                </c:pt>
                <c:pt idx="630">
                  <c:v>-198.36353864941054</c:v>
                </c:pt>
                <c:pt idx="631">
                  <c:v>-198.3771497022644</c:v>
                </c:pt>
                <c:pt idx="632">
                  <c:v>-198.39451641691488</c:v>
                </c:pt>
                <c:pt idx="633">
                  <c:v>-198.41547119658171</c:v>
                </c:pt>
                <c:pt idx="634">
                  <c:v>-198.43985570431741</c:v>
                </c:pt>
                <c:pt idx="635">
                  <c:v>-198.46752023653181</c:v>
                </c:pt>
                <c:pt idx="636">
                  <c:v>-198.49832314592317</c:v>
                </c:pt>
                <c:pt idx="637">
                  <c:v>-198.53213030941333</c:v>
                </c:pt>
                <c:pt idx="638">
                  <c:v>-198.56881463711724</c:v>
                </c:pt>
                <c:pt idx="639">
                  <c:v>-198.60825561876308</c:v>
                </c:pt>
                <c:pt idx="640">
                  <c:v>-198.65033890432824</c:v>
                </c:pt>
                <c:pt idx="641">
                  <c:v>-198.69495591596231</c:v>
                </c:pt>
                <c:pt idx="642">
                  <c:v>-198.7420034885501</c:v>
                </c:pt>
                <c:pt idx="643">
                  <c:v>-198.79138353651345</c:v>
                </c:pt>
                <c:pt idx="644">
                  <c:v>-198.84300274467489</c:v>
                </c:pt>
                <c:pt idx="645">
                  <c:v>-198.89677228120848</c:v>
                </c:pt>
                <c:pt idx="646">
                  <c:v>-198.95260753088138</c:v>
                </c:pt>
                <c:pt idx="647">
                  <c:v>-199.01042784695341</c:v>
                </c:pt>
                <c:pt idx="648">
                  <c:v>-199.07015632024857</c:v>
                </c:pt>
                <c:pt idx="649">
                  <c:v>-199.13171956404381</c:v>
                </c:pt>
                <c:pt idx="650">
                  <c:v>-199.19504751353938</c:v>
                </c:pt>
                <c:pt idx="651">
                  <c:v>-199.26007323878386</c:v>
                </c:pt>
                <c:pt idx="652">
                  <c:v>-199.32673277002297</c:v>
                </c:pt>
                <c:pt idx="653">
                  <c:v>-199.39496493453066</c:v>
                </c:pt>
                <c:pt idx="654">
                  <c:v>-199.46471120405974</c:v>
                </c:pt>
                <c:pt idx="655">
                  <c:v>-199.53591555212242</c:v>
                </c:pt>
                <c:pt idx="656">
                  <c:v>-199.60852432037669</c:v>
                </c:pt>
                <c:pt idx="657">
                  <c:v>-199.68248609345437</c:v>
                </c:pt>
                <c:pt idx="658">
                  <c:v>-199.75775158161983</c:v>
                </c:pt>
                <c:pt idx="659">
                  <c:v>-199.8342735107002</c:v>
                </c:pt>
                <c:pt idx="660">
                  <c:v>-199.9120065187694</c:v>
                </c:pt>
                <c:pt idx="661">
                  <c:v>-199.99090705911325</c:v>
                </c:pt>
                <c:pt idx="662">
                  <c:v>-200.07093330903658</c:v>
                </c:pt>
                <c:pt idx="663">
                  <c:v>-200.15204508411074</c:v>
                </c:pt>
                <c:pt idx="664">
                  <c:v>-200.2342037574883</c:v>
                </c:pt>
                <c:pt idx="665">
                  <c:v>-200.31737218394241</c:v>
                </c:pt>
                <c:pt idx="666">
                  <c:v>-200.40151462831292</c:v>
                </c:pt>
                <c:pt idx="667">
                  <c:v>-200.48659669806662</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56</c:v>
                </c:pt>
                <c:pt idx="1">
                  <c:v>56</c:v>
                </c:pt>
              </c:numCache>
            </c:numRef>
          </c:xVal>
          <c:yVal>
            <c:numRef>
              <c:f>'Bode Plots Calculations'!$BG$690:$BG$691</c:f>
              <c:numCache>
                <c:formatCode>General</c:formatCode>
                <c:ptCount val="2"/>
                <c:pt idx="0">
                  <c:v>-123.32724949834589</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56</c:v>
                </c:pt>
                <c:pt idx="1">
                  <c:v>1000</c:v>
                </c:pt>
              </c:numCache>
            </c:numRef>
          </c:xVal>
          <c:yVal>
            <c:numRef>
              <c:f>'Bode Plots Calculations'!$BG$688:$BG$689</c:f>
              <c:numCache>
                <c:formatCode>General</c:formatCode>
                <c:ptCount val="2"/>
                <c:pt idx="0">
                  <c:v>-123.32724949834589</c:v>
                </c:pt>
                <c:pt idx="1">
                  <c:v>-123.32724949834589</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Calculations'!$AU$9:$AU$209</c:f>
              <c:numCache>
                <c:formatCode>General</c:formatCode>
                <c:ptCount val="201"/>
                <c:pt idx="0">
                  <c:v>0</c:v>
                </c:pt>
                <c:pt idx="1">
                  <c:v>16.137031524664749</c:v>
                </c:pt>
                <c:pt idx="2">
                  <c:v>27.627237829716051</c:v>
                </c:pt>
                <c:pt idx="3">
                  <c:v>36.223801975003298</c:v>
                </c:pt>
                <c:pt idx="4">
                  <c:v>42.89649513169455</c:v>
                </c:pt>
                <c:pt idx="5">
                  <c:v>48.225290491878511</c:v>
                </c:pt>
                <c:pt idx="6">
                  <c:v>52.578328396004395</c:v>
                </c:pt>
                <c:pt idx="7">
                  <c:v>56.200538001047441</c:v>
                </c:pt>
                <c:pt idx="8">
                  <c:v>59.261203557326994</c:v>
                </c:pt>
                <c:pt idx="9">
                  <c:v>61.881074310822761</c:v>
                </c:pt>
                <c:pt idx="10">
                  <c:v>64.148595288324344</c:v>
                </c:pt>
                <c:pt idx="11">
                  <c:v>66.130033042543502</c:v>
                </c:pt>
                <c:pt idx="12">
                  <c:v>67.876017385547812</c:v>
                </c:pt>
                <c:pt idx="13">
                  <c:v>69.425896656349693</c:v>
                </c:pt>
                <c:pt idx="14">
                  <c:v>70.810714123057735</c:v>
                </c:pt>
                <c:pt idx="15">
                  <c:v>72.055289294996399</c:v>
                </c:pt>
                <c:pt idx="16">
                  <c:v>73.179703198424846</c:v>
                </c:pt>
                <c:pt idx="17">
                  <c:v>74.200377682578448</c:v>
                </c:pt>
                <c:pt idx="18">
                  <c:v>75.130872572968528</c:v>
                </c:pt>
                <c:pt idx="19">
                  <c:v>75.982483133037434</c:v>
                </c:pt>
                <c:pt idx="20">
                  <c:v>76.764693856452325</c:v>
                </c:pt>
                <c:pt idx="21">
                  <c:v>77.485527342498202</c:v>
                </c:pt>
                <c:pt idx="22">
                  <c:v>78.151815504169377</c:v>
                </c:pt>
                <c:pt idx="23">
                  <c:v>78.769412559456924</c:v>
                </c:pt>
                <c:pt idx="24">
                  <c:v>79.370726146605918</c:v>
                </c:pt>
                <c:pt idx="25">
                  <c:v>79.966865598725661</c:v>
                </c:pt>
                <c:pt idx="26">
                  <c:v>80.52437572677583</c:v>
                </c:pt>
                <c:pt idx="27">
                  <c:v>81.046807584617511</c:v>
                </c:pt>
                <c:pt idx="28">
                  <c:v>81.537289905376227</c:v>
                </c:pt>
                <c:pt idx="29">
                  <c:v>81.998590069225685</c:v>
                </c:pt>
                <c:pt idx="30">
                  <c:v>82.433164805721788</c:v>
                </c:pt>
                <c:pt idx="31">
                  <c:v>82.843202592162157</c:v>
                </c:pt>
                <c:pt idx="32">
                  <c:v>83.230659292496313</c:v>
                </c:pt>
                <c:pt idx="33">
                  <c:v>83.597288261491087</c:v>
                </c:pt>
                <c:pt idx="34">
                  <c:v>83.944665891657323</c:v>
                </c:pt>
                <c:pt idx="35">
                  <c:v>84.274213387996681</c:v>
                </c:pt>
                <c:pt idx="36">
                  <c:v>84.58721540478092</c:v>
                </c:pt>
                <c:pt idx="37">
                  <c:v>84.884836059571512</c:v>
                </c:pt>
                <c:pt idx="38">
                  <c:v>85.168132745229684</c:v>
                </c:pt>
                <c:pt idx="39">
                  <c:v>85.438068085254727</c:v>
                </c:pt>
                <c:pt idx="40">
                  <c:v>85.695520317248906</c:v>
                </c:pt>
                <c:pt idx="41">
                  <c:v>85.941292340451398</c:v>
                </c:pt>
                <c:pt idx="42">
                  <c:v>86.176119623658209</c:v>
                </c:pt>
                <c:pt idx="43">
                  <c:v>86.400677137553089</c:v>
                </c:pt>
                <c:pt idx="44">
                  <c:v>86.615585449036473</c:v>
                </c:pt>
                <c:pt idx="45">
                  <c:v>86.821416093402618</c:v>
                </c:pt>
                <c:pt idx="46">
                  <c:v>87.018696322264731</c:v>
                </c:pt>
                <c:pt idx="47">
                  <c:v>87.207913310249111</c:v>
                </c:pt>
                <c:pt idx="48">
                  <c:v>87.389517891095366</c:v>
                </c:pt>
                <c:pt idx="49">
                  <c:v>87.563927883456955</c:v>
                </c:pt>
                <c:pt idx="50">
                  <c:v>87.731531058026192</c:v>
                </c:pt>
                <c:pt idx="51">
                  <c:v>87.892687790315904</c:v>
                </c:pt>
                <c:pt idx="52">
                  <c:v>88.04773343727571</c:v>
                </c:pt>
                <c:pt idx="53">
                  <c:v>88.19698047071283</c:v>
                </c:pt>
                <c:pt idx="54">
                  <c:v>88.340720396063773</c:v>
                </c:pt>
                <c:pt idx="55">
                  <c:v>88.479225481297206</c:v>
                </c:pt>
                <c:pt idx="56">
                  <c:v>88.61275031751191</c:v>
                </c:pt>
                <c:pt idx="57">
                  <c:v>88.741533230039266</c:v>
                </c:pt>
                <c:pt idx="58">
                  <c:v>88.865797556495309</c:v>
                </c:pt>
                <c:pt idx="59">
                  <c:v>88.985752806191869</c:v>
                </c:pt>
                <c:pt idx="60">
                  <c:v>89.101595713559774</c:v>
                </c:pt>
                <c:pt idx="61">
                  <c:v>89.2135111967184</c:v>
                </c:pt>
                <c:pt idx="62">
                  <c:v>89.321673231008376</c:v>
                </c:pt>
                <c:pt idx="63">
                  <c:v>89.426245646160567</c:v>
                </c:pt>
                <c:pt idx="64">
                  <c:v>89.527382854777642</c:v>
                </c:pt>
                <c:pt idx="65">
                  <c:v>89.625230518935069</c:v>
                </c:pt>
                <c:pt idx="66">
                  <c:v>89.719926160948731</c:v>
                </c:pt>
                <c:pt idx="67">
                  <c:v>89.811599723689625</c:v>
                </c:pt>
                <c:pt idx="68">
                  <c:v>89.900374085242134</c:v>
                </c:pt>
                <c:pt idx="69">
                  <c:v>89.986365532187847</c:v>
                </c:pt>
                <c:pt idx="70">
                  <c:v>90.069684195344294</c:v>
                </c:pt>
                <c:pt idx="71">
                  <c:v>90.15043445138781</c:v>
                </c:pt>
                <c:pt idx="72">
                  <c:v>90.22871529343675</c:v>
                </c:pt>
                <c:pt idx="73">
                  <c:v>90.304620673358428</c:v>
                </c:pt>
                <c:pt idx="74">
                  <c:v>90.378239818284655</c:v>
                </c:pt>
                <c:pt idx="75">
                  <c:v>90.449657523575581</c:v>
                </c:pt>
                <c:pt idx="76">
                  <c:v>90.518954424250907</c:v>
                </c:pt>
                <c:pt idx="77">
                  <c:v>90.586207246712519</c:v>
                </c:pt>
                <c:pt idx="78">
                  <c:v>90.651489042408429</c:v>
                </c:pt>
                <c:pt idx="79">
                  <c:v>90.714869404931065</c:v>
                </c:pt>
                <c:pt idx="80">
                  <c:v>90.776414671904675</c:v>
                </c:pt>
                <c:pt idx="81">
                  <c:v>90.836188112890298</c:v>
                </c:pt>
                <c:pt idx="82">
                  <c:v>90.894250104425623</c:v>
                </c:pt>
                <c:pt idx="83">
                  <c:v>90.950658293215298</c:v>
                </c:pt>
                <c:pt idx="84">
                  <c:v>91.00546774839772</c:v>
                </c:pt>
                <c:pt idx="85">
                  <c:v>91.058731103731191</c:v>
                </c:pt>
                <c:pt idx="86">
                  <c:v>91.110498690470251</c:v>
                </c:pt>
                <c:pt idx="87">
                  <c:v>91.160818661635005</c:v>
                </c:pt>
                <c:pt idx="88">
                  <c:v>91.209737108317555</c:v>
                </c:pt>
                <c:pt idx="89">
                  <c:v>91.257298168613914</c:v>
                </c:pt>
                <c:pt idx="90">
                  <c:v>91.303544129721672</c:v>
                </c:pt>
                <c:pt idx="91">
                  <c:v>91.348515523698154</c:v>
                </c:pt>
                <c:pt idx="92">
                  <c:v>91.392251217333779</c:v>
                </c:pt>
                <c:pt idx="93">
                  <c:v>91.434788496558213</c:v>
                </c:pt>
                <c:pt idx="94">
                  <c:v>91.476163145763195</c:v>
                </c:pt>
                <c:pt idx="95">
                  <c:v>91.516409522396046</c:v>
                </c:pt>
                <c:pt idx="96">
                  <c:v>91.555560627149305</c:v>
                </c:pt>
                <c:pt idx="97">
                  <c:v>91.593648170046833</c:v>
                </c:pt>
                <c:pt idx="98">
                  <c:v>91.630702632703574</c:v>
                </c:pt>
                <c:pt idx="99">
                  <c:v>91.666753327015343</c:v>
                </c:pt>
                <c:pt idx="100">
                  <c:v>91.701828450514384</c:v>
                </c:pt>
                <c:pt idx="101">
                  <c:v>91.735955138610464</c:v>
                </c:pt>
                <c:pt idx="102">
                  <c:v>91.769159513919433</c:v>
                </c:pt>
                <c:pt idx="103">
                  <c:v>91.801466732867212</c:v>
                </c:pt>
                <c:pt idx="104">
                  <c:v>91.83290102974307</c:v>
                </c:pt>
                <c:pt idx="105">
                  <c:v>91.863485758363623</c:v>
                </c:pt>
                <c:pt idx="106">
                  <c:v>91.893243431497297</c:v>
                </c:pt>
                <c:pt idx="107">
                  <c:v>91.922195758188522</c:v>
                </c:pt>
                <c:pt idx="108">
                  <c:v>91.950363679110993</c:v>
                </c:pt>
                <c:pt idx="109">
                  <c:v>91.977767400070377</c:v>
                </c:pt>
                <c:pt idx="110">
                  <c:v>92.00442642376845</c:v>
                </c:pt>
                <c:pt idx="111">
                  <c:v>92.030359579932906</c:v>
                </c:pt>
                <c:pt idx="112">
                  <c:v>92.055585053910491</c:v>
                </c:pt>
                <c:pt idx="113">
                  <c:v>92.080120413813532</c:v>
                </c:pt>
                <c:pt idx="114">
                  <c:v>92.103982636305048</c:v>
                </c:pt>
                <c:pt idx="115">
                  <c:v>92.127188131101079</c:v>
                </c:pt>
                <c:pt idx="116">
                  <c:v>92.149752764264264</c:v>
                </c:pt>
                <c:pt idx="117">
                  <c:v>92.171691880357486</c:v>
                </c:pt>
                <c:pt idx="118">
                  <c:v>92.193020323522404</c:v>
                </c:pt>
                <c:pt idx="119">
                  <c:v>92.213752457542839</c:v>
                </c:pt>
                <c:pt idx="120">
                  <c:v>92.233902184950111</c:v>
                </c:pt>
                <c:pt idx="121">
                  <c:v>92.25348296522256</c:v>
                </c:pt>
                <c:pt idx="122">
                  <c:v>92.272507832129804</c:v>
                </c:pt>
                <c:pt idx="123">
                  <c:v>92.2909894102675</c:v>
                </c:pt>
                <c:pt idx="124">
                  <c:v>92.308939930826824</c:v>
                </c:pt>
                <c:pt idx="125">
                  <c:v>92.326371246639368</c:v>
                </c:pt>
                <c:pt idx="126">
                  <c:v>92.343294846536182</c:v>
                </c:pt>
                <c:pt idx="127">
                  <c:v>92.359721869057068</c:v>
                </c:pt>
                <c:pt idx="128">
                  <c:v>92.375663115544143</c:v>
                </c:pt>
                <c:pt idx="129">
                  <c:v>92.391129062651757</c:v>
                </c:pt>
                <c:pt idx="130">
                  <c:v>92.406129874302849</c:v>
                </c:pt>
                <c:pt idx="131">
                  <c:v>92.420675413120094</c:v>
                </c:pt>
                <c:pt idx="132">
                  <c:v>92.434775251358388</c:v>
                </c:pt>
                <c:pt idx="133">
                  <c:v>92.448438681364394</c:v>
                </c:pt>
                <c:pt idx="134">
                  <c:v>92.461674725586064</c:v>
                </c:pt>
                <c:pt idx="135">
                  <c:v>92.474492146155214</c:v>
                </c:pt>
                <c:pt idx="136">
                  <c:v>92.486899454063831</c:v>
                </c:pt>
                <c:pt idx="137">
                  <c:v>92.498904917954377</c:v>
                </c:pt>
                <c:pt idx="138">
                  <c:v>92.510516572542528</c:v>
                </c:pt>
                <c:pt idx="139">
                  <c:v>92.521742226690478</c:v>
                </c:pt>
                <c:pt idx="140">
                  <c:v>92.532589471147446</c:v>
                </c:pt>
                <c:pt idx="141">
                  <c:v>92.543065685973119</c:v>
                </c:pt>
                <c:pt idx="142">
                  <c:v>92.553178047659586</c:v>
                </c:pt>
                <c:pt idx="143">
                  <c:v>92.562933535965172</c:v>
                </c:pt>
                <c:pt idx="144">
                  <c:v>92.572338940474481</c:v>
                </c:pt>
                <c:pt idx="145">
                  <c:v>92.58140086689663</c:v>
                </c:pt>
                <c:pt idx="146">
                  <c:v>92.59012574311437</c:v>
                </c:pt>
                <c:pt idx="147">
                  <c:v>92.598519824995094</c:v>
                </c:pt>
                <c:pt idx="148">
                  <c:v>92.606589201974785</c:v>
                </c:pt>
                <c:pt idx="149">
                  <c:v>92.61433980242515</c:v>
                </c:pt>
                <c:pt idx="150">
                  <c:v>92.621777398813563</c:v>
                </c:pt>
                <c:pt idx="151">
                  <c:v>92.628907612665373</c:v>
                </c:pt>
                <c:pt idx="152">
                  <c:v>92.635735919336909</c:v>
                </c:pt>
                <c:pt idx="153">
                  <c:v>92.64226765260814</c:v>
                </c:pt>
                <c:pt idx="154">
                  <c:v>92.648508009102116</c:v>
                </c:pt>
                <c:pt idx="155">
                  <c:v>92.654462052539472</c:v>
                </c:pt>
                <c:pt idx="156">
                  <c:v>92.660134717834822</c:v>
                </c:pt>
                <c:pt idx="157">
                  <c:v>92.665530815041592</c:v>
                </c:pt>
                <c:pt idx="158">
                  <c:v>92.670655033152428</c:v>
                </c:pt>
                <c:pt idx="159">
                  <c:v>92.675511943760512</c:v>
                </c:pt>
                <c:pt idx="160">
                  <c:v>92.68010600458841</c:v>
                </c:pt>
                <c:pt idx="161">
                  <c:v>92.68444156288956</c:v>
                </c:pt>
                <c:pt idx="162">
                  <c:v>92.688522858727751</c:v>
                </c:pt>
                <c:pt idx="163">
                  <c:v>92.692354028139931</c:v>
                </c:pt>
                <c:pt idx="164">
                  <c:v>92.695939106186799</c:v>
                </c:pt>
                <c:pt idx="165">
                  <c:v>92.699282029896054</c:v>
                </c:pt>
                <c:pt idx="166">
                  <c:v>92.702386641102592</c:v>
                </c:pt>
                <c:pt idx="167">
                  <c:v>92.70525668918971</c:v>
                </c:pt>
                <c:pt idx="168">
                  <c:v>92.707895833735563</c:v>
                </c:pt>
                <c:pt idx="169">
                  <c:v>92.710307647068362</c:v>
                </c:pt>
                <c:pt idx="170">
                  <c:v>92.71249561673423</c:v>
                </c:pt>
                <c:pt idx="171">
                  <c:v>92.71446314788102</c:v>
                </c:pt>
                <c:pt idx="172">
                  <c:v>92.716213565561361</c:v>
                </c:pt>
                <c:pt idx="173">
                  <c:v>92.717750116958314</c:v>
                </c:pt>
                <c:pt idx="174">
                  <c:v>92.719075973536363</c:v>
                </c:pt>
                <c:pt idx="175">
                  <c:v>92.720194233120921</c:v>
                </c:pt>
                <c:pt idx="176">
                  <c:v>92.721107921908796</c:v>
                </c:pt>
                <c:pt idx="177">
                  <c:v>92.721819996412634</c:v>
                </c:pt>
                <c:pt idx="178">
                  <c:v>92.722333345341497</c:v>
                </c:pt>
                <c:pt idx="179">
                  <c:v>92.722650791420179</c:v>
                </c:pt>
                <c:pt idx="180">
                  <c:v>92.722775093149565</c:v>
                </c:pt>
                <c:pt idx="181">
                  <c:v>92.722708946510252</c:v>
                </c:pt>
                <c:pt idx="182">
                  <c:v>92.722454986611382</c:v>
                </c:pt>
                <c:pt idx="183">
                  <c:v>92.722015789287028</c:v>
                </c:pt>
                <c:pt idx="184">
                  <c:v>92.721393872641698</c:v>
                </c:pt>
                <c:pt idx="185">
                  <c:v>92.720591698547224</c:v>
                </c:pt>
                <c:pt idx="186">
                  <c:v>92.719611674092349</c:v>
                </c:pt>
                <c:pt idx="187">
                  <c:v>92.718456152987216</c:v>
                </c:pt>
                <c:pt idx="188">
                  <c:v>92.717127436924045</c:v>
                </c:pt>
                <c:pt idx="189">
                  <c:v>92.715627776895602</c:v>
                </c:pt>
                <c:pt idx="190">
                  <c:v>92.713959374473205</c:v>
                </c:pt>
                <c:pt idx="191">
                  <c:v>92.712124383045477</c:v>
                </c:pt>
                <c:pt idx="192">
                  <c:v>92.710124909019243</c:v>
                </c:pt>
                <c:pt idx="193">
                  <c:v>92.707963012984024</c:v>
                </c:pt>
                <c:pt idx="194">
                  <c:v>92.705640710841394</c:v>
                </c:pt>
                <c:pt idx="195">
                  <c:v>92.703159974900245</c:v>
                </c:pt>
                <c:pt idx="196">
                  <c:v>92.700522734939412</c:v>
                </c:pt>
                <c:pt idx="197">
                  <c:v>92.697730879238463</c:v>
                </c:pt>
                <c:pt idx="198">
                  <c:v>92.69478625557818</c:v>
                </c:pt>
                <c:pt idx="199">
                  <c:v>92.691690672211251</c:v>
                </c:pt>
                <c:pt idx="200">
                  <c:v>92.688445898804574</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Calculations'!$Q$9:$Q$209</c:f>
              <c:numCache>
                <c:formatCode>0.0000</c:formatCode>
                <c:ptCount val="201"/>
                <c:pt idx="0">
                  <c:v>0.2033106671216357</c:v>
                </c:pt>
                <c:pt idx="1">
                  <c:v>0.20332968970688026</c:v>
                </c:pt>
                <c:pt idx="2">
                  <c:v>0.20338473189985995</c:v>
                </c:pt>
                <c:pt idx="3">
                  <c:v>0.20347579465197391</c:v>
                </c:pt>
                <c:pt idx="4">
                  <c:v>0.20360287953726086</c:v>
                </c:pt>
                <c:pt idx="5">
                  <c:v>0.20376598875246715</c:v>
                </c:pt>
                <c:pt idx="6">
                  <c:v>0.20396512511714163</c:v>
                </c:pt>
                <c:pt idx="7">
                  <c:v>0.20420029207375756</c:v>
                </c:pt>
                <c:pt idx="8">
                  <c:v>0.20447149368786136</c:v>
                </c:pt>
                <c:pt idx="9">
                  <c:v>0.20477873464824833</c:v>
                </c:pt>
                <c:pt idx="10">
                  <c:v>0.20512202026716542</c:v>
                </c:pt>
                <c:pt idx="11">
                  <c:v>0.20550135648054071</c:v>
                </c:pt>
                <c:pt idx="12">
                  <c:v>0.20591674984824032</c:v>
                </c:pt>
                <c:pt idx="13">
                  <c:v>0.20636820755435178</c:v>
                </c:pt>
                <c:pt idx="14">
                  <c:v>0.20685573740749497</c:v>
                </c:pt>
                <c:pt idx="15">
                  <c:v>0.20737934784115969</c:v>
                </c:pt>
                <c:pt idx="16">
                  <c:v>0.20793904791407072</c:v>
                </c:pt>
                <c:pt idx="17">
                  <c:v>0.20853484731057953</c:v>
                </c:pt>
                <c:pt idx="18">
                  <c:v>0.20916675634108362</c:v>
                </c:pt>
                <c:pt idx="19">
                  <c:v>0.2098347859424726</c:v>
                </c:pt>
                <c:pt idx="20">
                  <c:v>0.2105389476786019</c:v>
                </c:pt>
                <c:pt idx="21">
                  <c:v>0.21127925374079345</c:v>
                </c:pt>
                <c:pt idx="22">
                  <c:v>0.21205571694836373</c:v>
                </c:pt>
                <c:pt idx="23">
                  <c:v>0.2128683507491792</c:v>
                </c:pt>
                <c:pt idx="24">
                  <c:v>0.21371716922023912</c:v>
                </c:pt>
                <c:pt idx="25">
                  <c:v>0.21460218706828571</c:v>
                </c:pt>
                <c:pt idx="26">
                  <c:v>0.21552341963044194</c:v>
                </c:pt>
                <c:pt idx="27">
                  <c:v>0.21648088287487671</c:v>
                </c:pt>
                <c:pt idx="28">
                  <c:v>0.21747459340149769</c:v>
                </c:pt>
                <c:pt idx="29">
                  <c:v>0.21850456844267185</c:v>
                </c:pt>
                <c:pt idx="30">
                  <c:v>0.21957082586397353</c:v>
                </c:pt>
                <c:pt idx="31">
                  <c:v>0.22067338416496046</c:v>
                </c:pt>
                <c:pt idx="32">
                  <c:v>0.22181226247997751</c:v>
                </c:pt>
                <c:pt idx="33">
                  <c:v>0.22298748057898832</c:v>
                </c:pt>
                <c:pt idx="34">
                  <c:v>0.22419905886843491</c:v>
                </c:pt>
                <c:pt idx="35">
                  <c:v>0.22544701839212533</c:v>
                </c:pt>
                <c:pt idx="36">
                  <c:v>0.22673138083214955</c:v>
                </c:pt>
                <c:pt idx="37">
                  <c:v>0.22805216850982302</c:v>
                </c:pt>
                <c:pt idx="38">
                  <c:v>0.22940940438665922</c:v>
                </c:pt>
                <c:pt idx="39">
                  <c:v>0.23080311206536994</c:v>
                </c:pt>
                <c:pt idx="40">
                  <c:v>0.23223331579089435</c:v>
                </c:pt>
                <c:pt idx="41">
                  <c:v>0.23370004045145615</c:v>
                </c:pt>
                <c:pt idx="42">
                  <c:v>0.23520331157964991</c:v>
                </c:pt>
                <c:pt idx="43">
                  <c:v>0.2367431553535555</c:v>
                </c:pt>
                <c:pt idx="44">
                  <c:v>0.2383195985978816</c:v>
                </c:pt>
                <c:pt idx="45">
                  <c:v>0.23993266878513794</c:v>
                </c:pt>
                <c:pt idx="46">
                  <c:v>0.24158239403683665</c:v>
                </c:pt>
                <c:pt idx="47">
                  <c:v>0.24326880312472238</c:v>
                </c:pt>
                <c:pt idx="48">
                  <c:v>0.24499192547203197</c:v>
                </c:pt>
                <c:pt idx="49">
                  <c:v>0.24675179115478296</c:v>
                </c:pt>
                <c:pt idx="50">
                  <c:v>0.2485484309030917</c:v>
                </c:pt>
                <c:pt idx="51">
                  <c:v>0.25038187610252088</c:v>
                </c:pt>
                <c:pt idx="52">
                  <c:v>0.25225215879545682</c:v>
                </c:pt>
                <c:pt idx="53">
                  <c:v>0.25415931168251582</c:v>
                </c:pt>
                <c:pt idx="54">
                  <c:v>0.25610336812398138</c:v>
                </c:pt>
                <c:pt idx="55">
                  <c:v>0.25808436214127012</c:v>
                </c:pt>
                <c:pt idx="56">
                  <c:v>0.26010232841842895</c:v>
                </c:pt>
                <c:pt idx="57">
                  <c:v>0.26215730230366135</c:v>
                </c:pt>
                <c:pt idx="58">
                  <c:v>0.26424931981088479</c:v>
                </c:pt>
                <c:pt idx="59">
                  <c:v>0.26637841762131798</c:v>
                </c:pt>
                <c:pt idx="60">
                  <c:v>0.26854463308509896</c:v>
                </c:pt>
                <c:pt idx="61">
                  <c:v>0.27074800422293405</c:v>
                </c:pt>
                <c:pt idx="62">
                  <c:v>0.27298856972777691</c:v>
                </c:pt>
                <c:pt idx="63">
                  <c:v>0.27526636896653983</c:v>
                </c:pt>
                <c:pt idx="64">
                  <c:v>0.27758144198183471</c:v>
                </c:pt>
                <c:pt idx="65">
                  <c:v>0.27993382949374623</c:v>
                </c:pt>
                <c:pt idx="66">
                  <c:v>0.28232357290163623</c:v>
                </c:pt>
                <c:pt idx="67">
                  <c:v>0.28475071428597931</c:v>
                </c:pt>
                <c:pt idx="68">
                  <c:v>0.28721529641023086</c:v>
                </c:pt>
                <c:pt idx="69">
                  <c:v>0.28971736272272591</c:v>
                </c:pt>
                <c:pt idx="70">
                  <c:v>0.29225695735861096</c:v>
                </c:pt>
                <c:pt idx="71">
                  <c:v>0.29483412514180773</c:v>
                </c:pt>
                <c:pt idx="72">
                  <c:v>0.29744891158700859</c:v>
                </c:pt>
                <c:pt idx="73">
                  <c:v>0.30010136290170564</c:v>
                </c:pt>
                <c:pt idx="74">
                  <c:v>0.3027915259882516</c:v>
                </c:pt>
                <c:pt idx="75">
                  <c:v>0.30551944844595391</c:v>
                </c:pt>
                <c:pt idx="76">
                  <c:v>0.30828517857320176</c:v>
                </c:pt>
                <c:pt idx="77">
                  <c:v>0.31108876536962649</c:v>
                </c:pt>
                <c:pt idx="78">
                  <c:v>0.3139302585382952</c:v>
                </c:pt>
                <c:pt idx="79">
                  <c:v>0.3168097084879381</c:v>
                </c:pt>
                <c:pt idx="80">
                  <c:v>0.31972716633520937</c:v>
                </c:pt>
                <c:pt idx="81">
                  <c:v>0.32268268390698218</c:v>
                </c:pt>
                <c:pt idx="82">
                  <c:v>0.32567631374267825</c:v>
                </c:pt>
                <c:pt idx="83">
                  <c:v>0.32870810909663084</c:v>
                </c:pt>
                <c:pt idx="84">
                  <c:v>0.33177812394048284</c:v>
                </c:pt>
                <c:pt idx="85">
                  <c:v>0.33488641296562011</c:v>
                </c:pt>
                <c:pt idx="86">
                  <c:v>0.3380330315856388</c:v>
                </c:pt>
                <c:pt idx="87">
                  <c:v>0.3412180359388482</c:v>
                </c:pt>
                <c:pt idx="88">
                  <c:v>0.34444148289080978</c:v>
                </c:pt>
                <c:pt idx="89">
                  <c:v>0.34770343003691018</c:v>
                </c:pt>
                <c:pt idx="90">
                  <c:v>0.35100393570497201</c:v>
                </c:pt>
                <c:pt idx="91">
                  <c:v>0.35434305895789875</c:v>
                </c:pt>
                <c:pt idx="92">
                  <c:v>0.35772085959635747</c:v>
                </c:pt>
                <c:pt idx="93">
                  <c:v>0.36113739816149726</c:v>
                </c:pt>
                <c:pt idx="94">
                  <c:v>0.3645927359377048</c:v>
                </c:pt>
                <c:pt idx="95">
                  <c:v>0.36808693495539624</c:v>
                </c:pt>
                <c:pt idx="96">
                  <c:v>0.37162005799384712</c:v>
                </c:pt>
                <c:pt idx="97">
                  <c:v>0.3751921685840594</c:v>
                </c:pt>
                <c:pt idx="98">
                  <c:v>0.37880333101166608</c:v>
                </c:pt>
                <c:pt idx="99">
                  <c:v>0.38245361031987402</c:v>
                </c:pt>
                <c:pt idx="100">
                  <c:v>0.38614307231244493</c:v>
                </c:pt>
                <c:pt idx="101">
                  <c:v>0.38987178355671431</c:v>
                </c:pt>
                <c:pt idx="102">
                  <c:v>0.39363981138665038</c:v>
                </c:pt>
                <c:pt idx="103">
                  <c:v>0.39744722390595072</c:v>
                </c:pt>
                <c:pt idx="104">
                  <c:v>0.40129408999117888</c:v>
                </c:pt>
                <c:pt idx="105">
                  <c:v>0.40518047929494028</c:v>
                </c:pt>
                <c:pt idx="106">
                  <c:v>0.4091064622490983</c:v>
                </c:pt>
                <c:pt idx="107">
                  <c:v>0.41307211006803013</c:v>
                </c:pt>
                <c:pt idx="108">
                  <c:v>0.41707749475192291</c:v>
                </c:pt>
                <c:pt idx="109">
                  <c:v>0.42112268909011108</c:v>
                </c:pt>
                <c:pt idx="110">
                  <c:v>0.42520776666445448</c:v>
                </c:pt>
                <c:pt idx="111">
                  <c:v>0.42933280185275735</c:v>
                </c:pt>
                <c:pt idx="112">
                  <c:v>0.43349786983222965</c:v>
                </c:pt>
                <c:pt idx="113">
                  <c:v>0.43770304658298936</c:v>
                </c:pt>
                <c:pt idx="114">
                  <c:v>0.44194840889160847</c:v>
                </c:pt>
                <c:pt idx="115">
                  <c:v>0.44623403435469911</c:v>
                </c:pt>
                <c:pt idx="116">
                  <c:v>0.45056000138254532</c:v>
                </c:pt>
                <c:pt idx="117">
                  <c:v>0.45492638920277589</c:v>
                </c:pt>
                <c:pt idx="118">
                  <c:v>0.45933327786408151</c:v>
                </c:pt>
                <c:pt idx="119">
                  <c:v>0.46378074823997562</c:v>
                </c:pt>
                <c:pt idx="120">
                  <c:v>0.46826888203259981</c:v>
                </c:pt>
                <c:pt idx="121">
                  <c:v>0.47279776177657296</c:v>
                </c:pt>
                <c:pt idx="122">
                  <c:v>0.47736747084288589</c:v>
                </c:pt>
                <c:pt idx="123">
                  <c:v>0.48197809344284087</c:v>
                </c:pt>
                <c:pt idx="124">
                  <c:v>0.48662971463203675</c:v>
                </c:pt>
                <c:pt idx="125">
                  <c:v>0.49132242031440065</c:v>
                </c:pt>
                <c:pt idx="126">
                  <c:v>0.49605629724626432</c:v>
                </c:pt>
                <c:pt idx="127">
                  <c:v>0.50083143304048883</c:v>
                </c:pt>
                <c:pt idx="128">
                  <c:v>0.50564791617063598</c:v>
                </c:pt>
                <c:pt idx="129">
                  <c:v>0.51050583597518617</c:v>
                </c:pt>
                <c:pt idx="130">
                  <c:v>0.51540528266180485</c:v>
                </c:pt>
                <c:pt idx="131">
                  <c:v>0.52034634731165708</c:v>
                </c:pt>
                <c:pt idx="132">
                  <c:v>0.52532912188377101</c:v>
                </c:pt>
                <c:pt idx="133">
                  <c:v>0.5303536992194493</c:v>
                </c:pt>
                <c:pt idx="134">
                  <c:v>0.53542017304673117</c:v>
                </c:pt>
                <c:pt idx="135">
                  <c:v>0.5405286379849028</c:v>
                </c:pt>
                <c:pt idx="136">
                  <c:v>0.54567918954906014</c:v>
                </c:pt>
                <c:pt idx="137">
                  <c:v>0.55087192415471975</c:v>
                </c:pt>
                <c:pt idx="138">
                  <c:v>0.55610693912248321</c:v>
                </c:pt>
                <c:pt idx="139">
                  <c:v>0.56138433268275079</c:v>
                </c:pt>
                <c:pt idx="140">
                  <c:v>0.56670420398048882</c:v>
                </c:pt>
                <c:pt idx="141">
                  <c:v>0.57206665308004867</c:v>
                </c:pt>
                <c:pt idx="142">
                  <c:v>0.57747178097003782</c:v>
                </c:pt>
                <c:pt idx="143">
                  <c:v>0.58291968956824669</c:v>
                </c:pt>
                <c:pt idx="144">
                  <c:v>0.58841048172662624</c:v>
                </c:pt>
                <c:pt idx="145">
                  <c:v>0.59394426123632127</c:v>
                </c:pt>
                <c:pt idx="146">
                  <c:v>0.59952113283275998</c:v>
                </c:pt>
                <c:pt idx="147">
                  <c:v>0.60514120220079448</c:v>
                </c:pt>
                <c:pt idx="148">
                  <c:v>0.61080457597990168</c:v>
                </c:pt>
                <c:pt idx="149">
                  <c:v>0.61651136176943711</c:v>
                </c:pt>
                <c:pt idx="150">
                  <c:v>0.62226166813394745</c:v>
                </c:pt>
                <c:pt idx="151">
                  <c:v>0.62805560460853793</c:v>
                </c:pt>
                <c:pt idx="152">
                  <c:v>0.63389328170430048</c:v>
                </c:pt>
                <c:pt idx="153">
                  <c:v>0.63977481091379729</c:v>
                </c:pt>
                <c:pt idx="154">
                  <c:v>0.64570030471660456</c:v>
                </c:pt>
                <c:pt idx="155">
                  <c:v>0.65166987658491515</c:v>
                </c:pt>
                <c:pt idx="156">
                  <c:v>0.6576836409892014</c:v>
                </c:pt>
                <c:pt idx="157">
                  <c:v>0.66374171340393795</c:v>
                </c:pt>
                <c:pt idx="158">
                  <c:v>0.66984421031338481</c:v>
                </c:pt>
                <c:pt idx="159">
                  <c:v>0.67599124921743359</c:v>
                </c:pt>
                <c:pt idx="160">
                  <c:v>0.68218294863751416</c:v>
                </c:pt>
                <c:pt idx="161">
                  <c:v>0.6884194281225644</c:v>
                </c:pt>
                <c:pt idx="162">
                  <c:v>0.69470080825506431</c:v>
                </c:pt>
                <c:pt idx="163">
                  <c:v>0.70102721065713181</c:v>
                </c:pt>
                <c:pt idx="164">
                  <c:v>0.70739875799668495</c:v>
                </c:pt>
                <c:pt idx="165">
                  <c:v>0.71381557399366691</c:v>
                </c:pt>
                <c:pt idx="166">
                  <c:v>0.72027778342633941</c:v>
                </c:pt>
                <c:pt idx="167">
                  <c:v>0.72678551213764009</c:v>
                </c:pt>
                <c:pt idx="168">
                  <c:v>0.73333888704160688</c:v>
                </c:pt>
                <c:pt idx="169">
                  <c:v>0.73993803612987175</c:v>
                </c:pt>
                <c:pt idx="170">
                  <c:v>0.74658308847822052</c:v>
                </c:pt>
                <c:pt idx="171">
                  <c:v>0.75327417425322296</c:v>
                </c:pt>
                <c:pt idx="172">
                  <c:v>0.76001142471893046</c:v>
                </c:pt>
                <c:pt idx="173">
                  <c:v>0.76679497224364601</c:v>
                </c:pt>
                <c:pt idx="174">
                  <c:v>0.77362495030676448</c:v>
                </c:pt>
                <c:pt idx="175">
                  <c:v>0.78050149350568288</c:v>
                </c:pt>
                <c:pt idx="176">
                  <c:v>0.78742473756278453</c:v>
                </c:pt>
                <c:pt idx="177">
                  <c:v>0.79439481933249545</c:v>
                </c:pt>
                <c:pt idx="178">
                  <c:v>0.80141187680841419</c:v>
                </c:pt>
                <c:pt idx="179">
                  <c:v>0.80847604913051696</c:v>
                </c:pt>
                <c:pt idx="180">
                  <c:v>0.81558747659243669</c:v>
                </c:pt>
                <c:pt idx="181">
                  <c:v>0.82274630064881737</c:v>
                </c:pt>
                <c:pt idx="182">
                  <c:v>0.82995266392274902</c:v>
                </c:pt>
                <c:pt idx="183">
                  <c:v>0.83720671021327298</c:v>
                </c:pt>
                <c:pt idx="184">
                  <c:v>0.8445085845029725</c:v>
                </c:pt>
                <c:pt idx="185">
                  <c:v>0.85185843296563801</c:v>
                </c:pt>
                <c:pt idx="186">
                  <c:v>0.85925640297401218</c:v>
                </c:pt>
                <c:pt idx="187">
                  <c:v>0.86670264310761835</c:v>
                </c:pt>
                <c:pt idx="188">
                  <c:v>0.87419730316066713</c:v>
                </c:pt>
                <c:pt idx="189">
                  <c:v>0.88174053415004616</c:v>
                </c:pt>
                <c:pt idx="190">
                  <c:v>0.8893324883233944</c:v>
                </c:pt>
                <c:pt idx="191">
                  <c:v>0.89697331916725709</c:v>
                </c:pt>
                <c:pt idx="192">
                  <c:v>0.90466318141532898</c:v>
                </c:pt>
                <c:pt idx="193">
                  <c:v>0.91240223105678053</c:v>
                </c:pt>
                <c:pt idx="194">
                  <c:v>0.92019062534467122</c:v>
                </c:pt>
                <c:pt idx="195">
                  <c:v>0.92802852280445047</c:v>
                </c:pt>
                <c:pt idx="196">
                  <c:v>0.93591608324254727</c:v>
                </c:pt>
                <c:pt idx="197">
                  <c:v>0.94385346775504764</c:v>
                </c:pt>
                <c:pt idx="198">
                  <c:v>0.95184083873646252</c:v>
                </c:pt>
                <c:pt idx="199">
                  <c:v>0.95987835988858894</c:v>
                </c:pt>
                <c:pt idx="200">
                  <c:v>0.96796619622945879</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Calculations'!$AC$9:$AC$209</c:f>
              <c:numCache>
                <c:formatCode>0.0000</c:formatCode>
                <c:ptCount val="201"/>
                <c:pt idx="0">
                  <c:v>4.9837050185288466E-2</c:v>
                </c:pt>
                <c:pt idx="1">
                  <c:v>5.6024771264716007E-2</c:v>
                </c:pt>
                <c:pt idx="2">
                  <c:v>6.2214820176479051E-2</c:v>
                </c:pt>
                <c:pt idx="3">
                  <c:v>6.8407206521077624E-2</c:v>
                </c:pt>
                <c:pt idx="4">
                  <c:v>7.4601939910707099E-2</c:v>
                </c:pt>
                <c:pt idx="5">
                  <c:v>8.079902996930742E-2</c:v>
                </c:pt>
                <c:pt idx="6">
                  <c:v>8.6998486332612188E-2</c:v>
                </c:pt>
                <c:pt idx="7">
                  <c:v>9.3200318648198388E-2</c:v>
                </c:pt>
                <c:pt idx="8">
                  <c:v>9.9404536575535773E-2</c:v>
                </c:pt>
                <c:pt idx="9">
                  <c:v>0.10561114978603646</c:v>
                </c:pt>
                <c:pt idx="10">
                  <c:v>0.11182016796310477</c:v>
                </c:pt>
                <c:pt idx="11">
                  <c:v>0.1180316008021873</c:v>
                </c:pt>
                <c:pt idx="12">
                  <c:v>0.12424545801082273</c:v>
                </c:pt>
                <c:pt idx="13">
                  <c:v>0.13046174930869206</c:v>
                </c:pt>
                <c:pt idx="14">
                  <c:v>0.13668048442766906</c:v>
                </c:pt>
                <c:pt idx="15">
                  <c:v>0.14290167311187038</c:v>
                </c:pt>
                <c:pt idx="16">
                  <c:v>0.14912532511770649</c:v>
                </c:pt>
                <c:pt idx="17">
                  <c:v>0.15535145021393193</c:v>
                </c:pt>
                <c:pt idx="18">
                  <c:v>0.16158005818169646</c:v>
                </c:pt>
                <c:pt idx="19">
                  <c:v>0.1678111588145958</c:v>
                </c:pt>
                <c:pt idx="20">
                  <c:v>0.17404476191872281</c:v>
                </c:pt>
                <c:pt idx="21">
                  <c:v>0.18028087731271847</c:v>
                </c:pt>
                <c:pt idx="22">
                  <c:v>0.18651951482782358</c:v>
                </c:pt>
                <c:pt idx="23">
                  <c:v>0.19276068430792995</c:v>
                </c:pt>
                <c:pt idx="24">
                  <c:v>0.19731667519770274</c:v>
                </c:pt>
                <c:pt idx="25">
                  <c:v>0.19962407994933695</c:v>
                </c:pt>
                <c:pt idx="26">
                  <c:v>0.20193395257399288</c:v>
                </c:pt>
                <c:pt idx="27">
                  <c:v>0.20424629747314446</c:v>
                </c:pt>
                <c:pt idx="28">
                  <c:v>0.20656111905731603</c:v>
                </c:pt>
                <c:pt idx="29">
                  <c:v>0.20887842174610879</c:v>
                </c:pt>
                <c:pt idx="30">
                  <c:v>0.21119820996822733</c:v>
                </c:pt>
                <c:pt idx="31">
                  <c:v>0.21352048816150554</c:v>
                </c:pt>
                <c:pt idx="32">
                  <c:v>0.21584526077293364</c:v>
                </c:pt>
                <c:pt idx="33">
                  <c:v>0.21817253225868455</c:v>
                </c:pt>
                <c:pt idx="34">
                  <c:v>0.22050230708414056</c:v>
                </c:pt>
                <c:pt idx="35">
                  <c:v>0.22283458972392012</c:v>
                </c:pt>
                <c:pt idx="36">
                  <c:v>0.22516938466190481</c:v>
                </c:pt>
                <c:pt idx="37">
                  <c:v>0.22750669639126617</c:v>
                </c:pt>
                <c:pt idx="38">
                  <c:v>0.22984652941449271</c:v>
                </c:pt>
                <c:pt idx="39">
                  <c:v>0.23218888824341707</c:v>
                </c:pt>
                <c:pt idx="40">
                  <c:v>0.23453377739924333</c:v>
                </c:pt>
                <c:pt idx="41">
                  <c:v>0.23688120141257402</c:v>
                </c:pt>
                <c:pt idx="42">
                  <c:v>0.23923116482343787</c:v>
                </c:pt>
                <c:pt idx="43">
                  <c:v>0.24158367218131685</c:v>
                </c:pt>
                <c:pt idx="44">
                  <c:v>0.24393872804517425</c:v>
                </c:pt>
                <c:pt idx="45">
                  <c:v>0.2462963369834818</c:v>
                </c:pt>
                <c:pt idx="46">
                  <c:v>0.24865650357424771</c:v>
                </c:pt>
                <c:pt idx="47">
                  <c:v>0.25101923240504437</c:v>
                </c:pt>
                <c:pt idx="48">
                  <c:v>0.25338452807303657</c:v>
                </c:pt>
                <c:pt idx="49">
                  <c:v>0.25575239518500886</c:v>
                </c:pt>
                <c:pt idx="50">
                  <c:v>0.25812283835739436</c:v>
                </c:pt>
                <c:pt idx="51">
                  <c:v>0.26049586221630244</c:v>
                </c:pt>
                <c:pt idx="52">
                  <c:v>0.2628714713975473</c:v>
                </c:pt>
                <c:pt idx="53">
                  <c:v>0.26524967054667603</c:v>
                </c:pt>
                <c:pt idx="54">
                  <c:v>0.26763046431899756</c:v>
                </c:pt>
                <c:pt idx="55">
                  <c:v>0.27001385737961076</c:v>
                </c:pt>
                <c:pt idx="56">
                  <c:v>0.27239985440343312</c:v>
                </c:pt>
                <c:pt idx="57">
                  <c:v>0.27478846007522978</c:v>
                </c:pt>
                <c:pt idx="58">
                  <c:v>0.27717967908964208</c:v>
                </c:pt>
                <c:pt idx="59">
                  <c:v>0.27957351615121689</c:v>
                </c:pt>
                <c:pt idx="60">
                  <c:v>0.28196997597443513</c:v>
                </c:pt>
                <c:pt idx="61">
                  <c:v>0.28436906328374101</c:v>
                </c:pt>
                <c:pt idx="62">
                  <c:v>0.28677078281357155</c:v>
                </c:pt>
                <c:pt idx="63">
                  <c:v>0.28917513930838573</c:v>
                </c:pt>
                <c:pt idx="64">
                  <c:v>0.29158213752269346</c:v>
                </c:pt>
                <c:pt idx="65">
                  <c:v>0.29399178222108602</c:v>
                </c:pt>
                <c:pt idx="66">
                  <c:v>0.29640407817826464</c:v>
                </c:pt>
                <c:pt idx="67">
                  <c:v>0.29881903017907108</c:v>
                </c:pt>
                <c:pt idx="68">
                  <c:v>0.30123664301851649</c:v>
                </c:pt>
                <c:pt idx="69">
                  <c:v>0.30365692150181239</c:v>
                </c:pt>
                <c:pt idx="70">
                  <c:v>0.30607987044439955</c:v>
                </c:pt>
                <c:pt idx="71">
                  <c:v>0.30850549467197919</c:v>
                </c:pt>
                <c:pt idx="72">
                  <c:v>0.31093379902054219</c:v>
                </c:pt>
                <c:pt idx="73">
                  <c:v>0.31336478833639969</c:v>
                </c:pt>
                <c:pt idx="74">
                  <c:v>0.31579846747621387</c:v>
                </c:pt>
                <c:pt idx="75">
                  <c:v>0.31823484130702806</c:v>
                </c:pt>
                <c:pt idx="76">
                  <c:v>0.32067391470629736</c:v>
                </c:pt>
                <c:pt idx="77">
                  <c:v>0.32311569256191913</c:v>
                </c:pt>
                <c:pt idx="78">
                  <c:v>0.32556017977226442</c:v>
                </c:pt>
                <c:pt idx="79">
                  <c:v>0.32800738124620837</c:v>
                </c:pt>
                <c:pt idx="80">
                  <c:v>0.33045730190316097</c:v>
                </c:pt>
                <c:pt idx="81">
                  <c:v>0.33290994667309892</c:v>
                </c:pt>
                <c:pt idx="82">
                  <c:v>0.33536532049659606</c:v>
                </c:pt>
                <c:pt idx="83">
                  <c:v>0.33782342832485523</c:v>
                </c:pt>
                <c:pt idx="84">
                  <c:v>0.3402842751197393</c:v>
                </c:pt>
                <c:pt idx="85">
                  <c:v>0.3427478658538029</c:v>
                </c:pt>
                <c:pt idx="86">
                  <c:v>0.345214205510324</c:v>
                </c:pt>
                <c:pt idx="87">
                  <c:v>0.34768329908333545</c:v>
                </c:pt>
                <c:pt idx="88">
                  <c:v>0.3501551515776572</c:v>
                </c:pt>
                <c:pt idx="89">
                  <c:v>0.35262976800892781</c:v>
                </c:pt>
                <c:pt idx="90">
                  <c:v>0.35510715340363685</c:v>
                </c:pt>
                <c:pt idx="91">
                  <c:v>0.35758731279915668</c:v>
                </c:pt>
                <c:pt idx="92">
                  <c:v>0.36007025124377501</c:v>
                </c:pt>
                <c:pt idx="93">
                  <c:v>0.3625559737967271</c:v>
                </c:pt>
                <c:pt idx="94">
                  <c:v>0.36504448552822849</c:v>
                </c:pt>
                <c:pt idx="95">
                  <c:v>0.36753579151950699</c:v>
                </c:pt>
                <c:pt idx="96">
                  <c:v>0.37002989686283622</c:v>
                </c:pt>
                <c:pt idx="97">
                  <c:v>0.37252680666156768</c:v>
                </c:pt>
                <c:pt idx="98">
                  <c:v>0.37502652603016368</c:v>
                </c:pt>
                <c:pt idx="99">
                  <c:v>0.37752906009423115</c:v>
                </c:pt>
                <c:pt idx="100">
                  <c:v>0.38003441399055399</c:v>
                </c:pt>
                <c:pt idx="101">
                  <c:v>0.38254259286712633</c:v>
                </c:pt>
                <c:pt idx="102">
                  <c:v>0.38505360188318644</c:v>
                </c:pt>
                <c:pt idx="103">
                  <c:v>0.38756744620924954</c:v>
                </c:pt>
                <c:pt idx="104">
                  <c:v>0.39008413102714207</c:v>
                </c:pt>
                <c:pt idx="105">
                  <c:v>0.39260366153003468</c:v>
                </c:pt>
                <c:pt idx="106">
                  <c:v>0.39512604292247649</c:v>
                </c:pt>
                <c:pt idx="107">
                  <c:v>0.39765128042042908</c:v>
                </c:pt>
                <c:pt idx="108">
                  <c:v>0.40017937925129998</c:v>
                </c:pt>
                <c:pt idx="109">
                  <c:v>0.40271034465397737</c:v>
                </c:pt>
                <c:pt idx="110">
                  <c:v>0.40524418187886407</c:v>
                </c:pt>
                <c:pt idx="111">
                  <c:v>0.40778089618791225</c:v>
                </c:pt>
                <c:pt idx="112">
                  <c:v>0.41032049285465733</c:v>
                </c:pt>
                <c:pt idx="113">
                  <c:v>0.41286297716425308</c:v>
                </c:pt>
                <c:pt idx="114">
                  <c:v>0.41540835441350638</c:v>
                </c:pt>
                <c:pt idx="115">
                  <c:v>0.4179566299109117</c:v>
                </c:pt>
                <c:pt idx="116">
                  <c:v>0.42050780897668633</c:v>
                </c:pt>
                <c:pt idx="117">
                  <c:v>0.42306189694280555</c:v>
                </c:pt>
                <c:pt idx="118">
                  <c:v>0.42561889915303758</c:v>
                </c:pt>
                <c:pt idx="119">
                  <c:v>0.42817882096297899</c:v>
                </c:pt>
                <c:pt idx="120">
                  <c:v>0.43074166774009032</c:v>
                </c:pt>
                <c:pt idx="121">
                  <c:v>0.43330744486373152</c:v>
                </c:pt>
                <c:pt idx="122">
                  <c:v>0.4358761577251975</c:v>
                </c:pt>
                <c:pt idx="123">
                  <c:v>0.43844781172775427</c:v>
                </c:pt>
                <c:pt idx="124">
                  <c:v>0.44102241228667455</c:v>
                </c:pt>
                <c:pt idx="125">
                  <c:v>0.44359996482927411</c:v>
                </c:pt>
                <c:pt idx="126">
                  <c:v>0.4461804747949476</c:v>
                </c:pt>
                <c:pt idx="127">
                  <c:v>0.44876394763520538</c:v>
                </c:pt>
                <c:pt idx="128">
                  <c:v>0.4513503888137092</c:v>
                </c:pt>
                <c:pt idx="129">
                  <c:v>0.45393980380630983</c:v>
                </c:pt>
                <c:pt idx="130">
                  <c:v>0.45653219810108253</c:v>
                </c:pt>
                <c:pt idx="131">
                  <c:v>0.45912757719836461</c:v>
                </c:pt>
                <c:pt idx="132">
                  <c:v>0.46172594661079208</c:v>
                </c:pt>
                <c:pt idx="133">
                  <c:v>0.46432731186333737</c:v>
                </c:pt>
                <c:pt idx="134">
                  <c:v>0.46693167849334516</c:v>
                </c:pt>
                <c:pt idx="135">
                  <c:v>0.46953905205057112</c:v>
                </c:pt>
                <c:pt idx="136">
                  <c:v>0.47214943809721821</c:v>
                </c:pt>
                <c:pt idx="137">
                  <c:v>0.47476284220797538</c:v>
                </c:pt>
                <c:pt idx="138">
                  <c:v>0.4773792699700542</c:v>
                </c:pt>
                <c:pt idx="139">
                  <c:v>0.47999872698322732</c:v>
                </c:pt>
                <c:pt idx="140">
                  <c:v>0.48262121885986631</c:v>
                </c:pt>
                <c:pt idx="141">
                  <c:v>0.48524675122497979</c:v>
                </c:pt>
                <c:pt idx="142">
                  <c:v>0.48787532971625147</c:v>
                </c:pt>
                <c:pt idx="143">
                  <c:v>0.49050695998407851</c:v>
                </c:pt>
                <c:pt idx="144">
                  <c:v>0.49314164769161051</c:v>
                </c:pt>
                <c:pt idx="145">
                  <c:v>0.49577939851478742</c:v>
                </c:pt>
                <c:pt idx="146">
                  <c:v>0.49842021814237897</c:v>
                </c:pt>
                <c:pt idx="147">
                  <c:v>0.50106411227602288</c:v>
                </c:pt>
                <c:pt idx="148">
                  <c:v>0.50371108663026432</c:v>
                </c:pt>
                <c:pt idx="149">
                  <c:v>0.50636114693259571</c:v>
                </c:pt>
                <c:pt idx="150">
                  <c:v>0.50901429892349415</c:v>
                </c:pt>
                <c:pt idx="151">
                  <c:v>0.51167054835646275</c:v>
                </c:pt>
                <c:pt idx="152">
                  <c:v>0.51432990099806941</c:v>
                </c:pt>
                <c:pt idx="153">
                  <c:v>0.51699236262798665</c:v>
                </c:pt>
                <c:pt idx="154">
                  <c:v>0.51965793903903146</c:v>
                </c:pt>
                <c:pt idx="155">
                  <c:v>0.52232663603720497</c:v>
                </c:pt>
                <c:pt idx="156">
                  <c:v>0.52499845944173307</c:v>
                </c:pt>
                <c:pt idx="157">
                  <c:v>0.52767341508510657</c:v>
                </c:pt>
                <c:pt idx="158">
                  <c:v>0.53035150881312165</c:v>
                </c:pt>
                <c:pt idx="159">
                  <c:v>0.53303274648491983</c:v>
                </c:pt>
                <c:pt idx="160">
                  <c:v>0.53571713397302956</c:v>
                </c:pt>
                <c:pt idx="161">
                  <c:v>0.53840467716340656</c:v>
                </c:pt>
                <c:pt idx="162">
                  <c:v>0.54109538195547502</c:v>
                </c:pt>
                <c:pt idx="163">
                  <c:v>0.54378925426216795</c:v>
                </c:pt>
                <c:pt idx="164">
                  <c:v>0.54648630000997023</c:v>
                </c:pt>
                <c:pt idx="165">
                  <c:v>0.54918652513895772</c:v>
                </c:pt>
                <c:pt idx="166">
                  <c:v>0.55188993560284094</c:v>
                </c:pt>
                <c:pt idx="167">
                  <c:v>0.55459653736900538</c:v>
                </c:pt>
                <c:pt idx="168">
                  <c:v>0.55730633641855365</c:v>
                </c:pt>
                <c:pt idx="169">
                  <c:v>0.56001933874634835</c:v>
                </c:pt>
                <c:pt idx="170">
                  <c:v>0.56273555036105261</c:v>
                </c:pt>
                <c:pt idx="171">
                  <c:v>0.56545497728517424</c:v>
                </c:pt>
                <c:pt idx="172">
                  <c:v>0.56817762555510687</c:v>
                </c:pt>
                <c:pt idx="173">
                  <c:v>0.57090350122117228</c:v>
                </c:pt>
                <c:pt idx="174">
                  <c:v>0.57363261034766511</c:v>
                </c:pt>
                <c:pt idx="175">
                  <c:v>0.57636495901289364</c:v>
                </c:pt>
                <c:pt idx="176">
                  <c:v>0.5791005533092235</c:v>
                </c:pt>
                <c:pt idx="177">
                  <c:v>0.58183939934312201</c:v>
                </c:pt>
                <c:pt idx="178">
                  <c:v>0.58458150323519942</c:v>
                </c:pt>
                <c:pt idx="179">
                  <c:v>0.5873268711202545</c:v>
                </c:pt>
                <c:pt idx="180">
                  <c:v>0.59007550914731699</c:v>
                </c:pt>
                <c:pt idx="181">
                  <c:v>0.59282742347969153</c:v>
                </c:pt>
                <c:pt idx="182">
                  <c:v>0.59558262029500231</c:v>
                </c:pt>
                <c:pt idx="183">
                  <c:v>0.59834110578523614</c:v>
                </c:pt>
                <c:pt idx="184">
                  <c:v>0.60110288615678831</c:v>
                </c:pt>
                <c:pt idx="185">
                  <c:v>0.60386796763050521</c:v>
                </c:pt>
                <c:pt idx="186">
                  <c:v>0.60663635644172997</c:v>
                </c:pt>
                <c:pt idx="187">
                  <c:v>0.60940805884034766</c:v>
                </c:pt>
                <c:pt idx="188">
                  <c:v>0.6121830810908292</c:v>
                </c:pt>
                <c:pt idx="189">
                  <c:v>0.61496142947227717</c:v>
                </c:pt>
                <c:pt idx="190">
                  <c:v>0.61774311027847018</c:v>
                </c:pt>
                <c:pt idx="191">
                  <c:v>0.62052812981791006</c:v>
                </c:pt>
                <c:pt idx="192">
                  <c:v>0.62331649441386527</c:v>
                </c:pt>
                <c:pt idx="193">
                  <c:v>0.62610821040441822</c:v>
                </c:pt>
                <c:pt idx="194">
                  <c:v>0.6289032841425104</c:v>
                </c:pt>
                <c:pt idx="195">
                  <c:v>0.63170172199598873</c:v>
                </c:pt>
                <c:pt idx="196">
                  <c:v>0.63450353034765183</c:v>
                </c:pt>
                <c:pt idx="197">
                  <c:v>0.63730871559529645</c:v>
                </c:pt>
                <c:pt idx="198">
                  <c:v>0.64011728415176339</c:v>
                </c:pt>
                <c:pt idx="199">
                  <c:v>0.64292924244498584</c:v>
                </c:pt>
                <c:pt idx="200">
                  <c:v>0.64574459691803421</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Calculations'!$AG$9:$AG$209</c:f>
              <c:numCache>
                <c:formatCode>0.0000</c:formatCode>
                <c:ptCount val="201"/>
                <c:pt idx="0">
                  <c:v>5.8558285264902303E-3</c:v>
                </c:pt>
                <c:pt idx="1">
                  <c:v>6.0770956833579972E-3</c:v>
                </c:pt>
                <c:pt idx="2">
                  <c:v>6.3068767784797194E-3</c:v>
                </c:pt>
                <c:pt idx="3">
                  <c:v>6.5451717486605127E-3</c:v>
                </c:pt>
                <c:pt idx="4">
                  <c:v>6.7919806000535168E-3</c:v>
                </c:pt>
                <c:pt idx="5">
                  <c:v>7.0473034081468336E-3</c:v>
                </c:pt>
                <c:pt idx="6">
                  <c:v>7.3111403177518654E-3</c:v>
                </c:pt>
                <c:pt idx="7">
                  <c:v>7.5834915429930858E-3</c:v>
                </c:pt>
                <c:pt idx="8">
                  <c:v>7.8643573672991796E-3</c:v>
                </c:pt>
                <c:pt idx="9">
                  <c:v>8.1537381433956606E-3</c:v>
                </c:pt>
                <c:pt idx="10">
                  <c:v>8.4516342932988431E-3</c:v>
                </c:pt>
                <c:pt idx="11">
                  <c:v>8.7580463083112535E-3</c:v>
                </c:pt>
                <c:pt idx="12">
                  <c:v>9.0729747490184524E-3</c:v>
                </c:pt>
                <c:pt idx="13">
                  <c:v>9.3964202452872566E-3</c:v>
                </c:pt>
                <c:pt idx="14">
                  <c:v>9.7283834962653744E-3</c:v>
                </c:pt>
                <c:pt idx="15">
                  <c:v>1.0068865270382464E-2</c:v>
                </c:pt>
                <c:pt idx="16">
                  <c:v>1.0417866405352597E-2</c:v>
                </c:pt>
                <c:pt idx="17">
                  <c:v>1.07753878081781E-2</c:v>
                </c:pt>
                <c:pt idx="18">
                  <c:v>1.1141430455154859E-2</c:v>
                </c:pt>
                <c:pt idx="19">
                  <c:v>1.1515995391879003E-2</c:v>
                </c:pt>
                <c:pt idx="20">
                  <c:v>1.1899083733254977E-2</c:v>
                </c:pt>
                <c:pt idx="21">
                  <c:v>1.2290696663505093E-2</c:v>
                </c:pt>
                <c:pt idx="22">
                  <c:v>1.2690835436180411E-2</c:v>
                </c:pt>
                <c:pt idx="23">
                  <c:v>1.3099501374173076E-2</c:v>
                </c:pt>
                <c:pt idx="24">
                  <c:v>1.360896424351353E-2</c:v>
                </c:pt>
                <c:pt idx="25">
                  <c:v>1.4250034539749136E-2</c:v>
                </c:pt>
                <c:pt idx="26">
                  <c:v>1.4899651456024511E-2</c:v>
                </c:pt>
                <c:pt idx="27">
                  <c:v>1.5557817471206553E-2</c:v>
                </c:pt>
                <c:pt idx="28">
                  <c:v>1.6224535133694987E-2</c:v>
                </c:pt>
                <c:pt idx="29">
                  <c:v>1.6899807061455101E-2</c:v>
                </c:pt>
                <c:pt idx="30">
                  <c:v>1.7583635942051867E-2</c:v>
                </c:pt>
                <c:pt idx="31">
                  <c:v>1.8276024532685467E-2</c:v>
                </c:pt>
                <c:pt idx="32">
                  <c:v>1.8976975660228271E-2</c:v>
                </c:pt>
                <c:pt idx="33">
                  <c:v>1.9686492221263195E-2</c:v>
                </c:pt>
                <c:pt idx="34">
                  <c:v>2.04045771821235E-2</c:v>
                </c:pt>
                <c:pt idx="35">
                  <c:v>2.1131233578934011E-2</c:v>
                </c:pt>
                <c:pt idx="36">
                  <c:v>2.1866464517653769E-2</c:v>
                </c:pt>
                <c:pt idx="37">
                  <c:v>2.2610273174120021E-2</c:v>
                </c:pt>
                <c:pt idx="38">
                  <c:v>2.336266279409379E-2</c:v>
                </c:pt>
                <c:pt idx="39">
                  <c:v>2.4123636693306711E-2</c:v>
                </c:pt>
                <c:pt idx="40">
                  <c:v>2.4893198257509429E-2</c:v>
                </c:pt>
                <c:pt idx="41">
                  <c:v>2.5671350942521265E-2</c:v>
                </c:pt>
                <c:pt idx="42">
                  <c:v>2.6458098274281538E-2</c:v>
                </c:pt>
                <c:pt idx="43">
                  <c:v>2.7253443848902041E-2</c:v>
                </c:pt>
                <c:pt idx="44">
                  <c:v>2.8057391332721206E-2</c:v>
                </c:pt>
                <c:pt idx="45">
                  <c:v>2.8869944462359555E-2</c:v>
                </c:pt>
                <c:pt idx="46">
                  <c:v>2.9691107044776607E-2</c:v>
                </c:pt>
                <c:pt idx="47">
                  <c:v>3.0520882957329246E-2</c:v>
                </c:pt>
                <c:pt idx="48">
                  <c:v>3.1359276147831579E-2</c:v>
                </c:pt>
                <c:pt idx="49">
                  <c:v>3.2206290634616094E-2</c:v>
                </c:pt>
                <c:pt idx="50">
                  <c:v>3.3061930506596414E-2</c:v>
                </c:pt>
                <c:pt idx="51">
                  <c:v>3.3926199923331381E-2</c:v>
                </c:pt>
                <c:pt idx="52">
                  <c:v>3.4799103115090685E-2</c:v>
                </c:pt>
                <c:pt idx="53">
                  <c:v>3.5680644382921872E-2</c:v>
                </c:pt>
                <c:pt idx="54">
                  <c:v>3.6570828098718811E-2</c:v>
                </c:pt>
                <c:pt idx="55">
                  <c:v>3.7469658705291654E-2</c:v>
                </c:pt>
                <c:pt idx="56">
                  <c:v>3.837714071643826E-2</c:v>
                </c:pt>
                <c:pt idx="57">
                  <c:v>3.9293278717016968E-2</c:v>
                </c:pt>
                <c:pt idx="58">
                  <c:v>4.0218077363020986E-2</c:v>
                </c:pt>
                <c:pt idx="59">
                  <c:v>4.1151541381654153E-2</c:v>
                </c:pt>
                <c:pt idx="60">
                  <c:v>4.2093675571408126E-2</c:v>
                </c:pt>
                <c:pt idx="61">
                  <c:v>4.3044484802141215E-2</c:v>
                </c:pt>
                <c:pt idx="62">
                  <c:v>4.4003974015158417E-2</c:v>
                </c:pt>
                <c:pt idx="63">
                  <c:v>4.4972148223293228E-2</c:v>
                </c:pt>
                <c:pt idx="64">
                  <c:v>4.5949012510990664E-2</c:v>
                </c:pt>
                <c:pt idx="65">
                  <c:v>4.6934572034391948E-2</c:v>
                </c:pt>
                <c:pt idx="66">
                  <c:v>4.7928832021420537E-2</c:v>
                </c:pt>
                <c:pt idx="67">
                  <c:v>4.8931797771869831E-2</c:v>
                </c:pt>
                <c:pt idx="68">
                  <c:v>4.9943474657492111E-2</c:v>
                </c:pt>
                <c:pt idx="69">
                  <c:v>5.0963868122089195E-2</c:v>
                </c:pt>
                <c:pt idx="70">
                  <c:v>5.1992983681604439E-2</c:v>
                </c:pt>
                <c:pt idx="71">
                  <c:v>5.3030826924216408E-2</c:v>
                </c:pt>
                <c:pt idx="72">
                  <c:v>5.4077403510433733E-2</c:v>
                </c:pt>
                <c:pt idx="73">
                  <c:v>5.5132719173191867E-2</c:v>
                </c:pt>
                <c:pt idx="74">
                  <c:v>5.6196779717951083E-2</c:v>
                </c:pt>
                <c:pt idx="75">
                  <c:v>5.7269591022796065E-2</c:v>
                </c:pt>
                <c:pt idx="76">
                  <c:v>5.8351159038536972E-2</c:v>
                </c:pt>
                <c:pt idx="77">
                  <c:v>5.9441489788812099E-2</c:v>
                </c:pt>
                <c:pt idx="78">
                  <c:v>6.0540589370192008E-2</c:v>
                </c:pt>
                <c:pt idx="79">
                  <c:v>6.1648463952285182E-2</c:v>
                </c:pt>
                <c:pt idx="80">
                  <c:v>6.2765119777845185E-2</c:v>
                </c:pt>
                <c:pt idx="81">
                  <c:v>6.3890563162879416E-2</c:v>
                </c:pt>
                <c:pt idx="82">
                  <c:v>6.5024800496759405E-2</c:v>
                </c:pt>
                <c:pt idx="83">
                  <c:v>6.6167838242332577E-2</c:v>
                </c:pt>
                <c:pt idx="84">
                  <c:v>6.7319682936035588E-2</c:v>
                </c:pt>
                <c:pt idx="85">
                  <c:v>6.8480341188009164E-2</c:v>
                </c:pt>
                <c:pt idx="86">
                  <c:v>6.9649819682214731E-2</c:v>
                </c:pt>
                <c:pt idx="87">
                  <c:v>7.0828125176552223E-2</c:v>
                </c:pt>
                <c:pt idx="88">
                  <c:v>7.2015264502979751E-2</c:v>
                </c:pt>
                <c:pt idx="89">
                  <c:v>7.3211244567634656E-2</c:v>
                </c:pt>
                <c:pt idx="90">
                  <c:v>7.4416072350956333E-2</c:v>
                </c:pt>
                <c:pt idx="91">
                  <c:v>7.5629754907810307E-2</c:v>
                </c:pt>
                <c:pt idx="92">
                  <c:v>7.6852299367614299E-2</c:v>
                </c:pt>
                <c:pt idx="93">
                  <c:v>7.8083712934465463E-2</c:v>
                </c:pt>
                <c:pt idx="94">
                  <c:v>7.9324002887269582E-2</c:v>
                </c:pt>
                <c:pt idx="95">
                  <c:v>8.0573176579871481E-2</c:v>
                </c:pt>
                <c:pt idx="96">
                  <c:v>8.1831241441187433E-2</c:v>
                </c:pt>
                <c:pt idx="97">
                  <c:v>8.3098204975338819E-2</c:v>
                </c:pt>
                <c:pt idx="98">
                  <c:v>8.4374074761787543E-2</c:v>
                </c:pt>
                <c:pt idx="99">
                  <c:v>8.5658858455473219E-2</c:v>
                </c:pt>
                <c:pt idx="100">
                  <c:v>8.6952563786951639E-2</c:v>
                </c:pt>
                <c:pt idx="101">
                  <c:v>8.8255198562535012E-2</c:v>
                </c:pt>
                <c:pt idx="102">
                  <c:v>8.9566770664433984E-2</c:v>
                </c:pt>
                <c:pt idx="103">
                  <c:v>9.0887288050901141E-2</c:v>
                </c:pt>
                <c:pt idx="104">
                  <c:v>9.2216758756376013E-2</c:v>
                </c:pt>
                <c:pt idx="105">
                  <c:v>9.3555190891631987E-2</c:v>
                </c:pt>
                <c:pt idx="106">
                  <c:v>9.4902592643924741E-2</c:v>
                </c:pt>
                <c:pt idx="107">
                  <c:v>9.6258972277142293E-2</c:v>
                </c:pt>
                <c:pt idx="108">
                  <c:v>9.7624338131956798E-2</c:v>
                </c:pt>
                <c:pt idx="109">
                  <c:v>9.8998698625977863E-2</c:v>
                </c:pt>
                <c:pt idx="110">
                  <c:v>0.10038206225390775</c:v>
                </c:pt>
                <c:pt idx="111">
                  <c:v>0.10177443758769808</c:v>
                </c:pt>
                <c:pt idx="112">
                  <c:v>0.10317583327670818</c:v>
                </c:pt>
                <c:pt idx="113">
                  <c:v>0.10458625804786531</c:v>
                </c:pt>
                <c:pt idx="114">
                  <c:v>0.10600572070582659</c:v>
                </c:pt>
                <c:pt idx="115">
                  <c:v>0.10743423013314207</c:v>
                </c:pt>
                <c:pt idx="116">
                  <c:v>0.10887179529042042</c:v>
                </c:pt>
                <c:pt idx="117">
                  <c:v>0.11031842521649568</c:v>
                </c:pt>
                <c:pt idx="118">
                  <c:v>0.11177412902859581</c:v>
                </c:pt>
                <c:pt idx="119">
                  <c:v>0.11323891592251303</c:v>
                </c:pt>
                <c:pt idx="120">
                  <c:v>0.11471279517277617</c:v>
                </c:pt>
                <c:pt idx="121">
                  <c:v>0.11619577613282425</c:v>
                </c:pt>
                <c:pt idx="122">
                  <c:v>0.11768786823518203</c:v>
                </c:pt>
                <c:pt idx="123">
                  <c:v>0.11918908099163746</c:v>
                </c:pt>
                <c:pt idx="124">
                  <c:v>0.12069942399342064</c:v>
                </c:pt>
                <c:pt idx="125">
                  <c:v>0.12221890691138478</c:v>
                </c:pt>
                <c:pt idx="126">
                  <c:v>0.12374753949618862</c:v>
                </c:pt>
                <c:pt idx="127">
                  <c:v>0.12528533157848076</c:v>
                </c:pt>
                <c:pt idx="128">
                  <c:v>0.12683229306908619</c:v>
                </c:pt>
                <c:pt idx="129">
                  <c:v>0.12838843395919372</c:v>
                </c:pt>
                <c:pt idx="130">
                  <c:v>0.12995376432054612</c:v>
                </c:pt>
                <c:pt idx="131">
                  <c:v>0.13152829430563126</c:v>
                </c:pt>
                <c:pt idx="132">
                  <c:v>0.13311203414787587</c:v>
                </c:pt>
                <c:pt idx="133">
                  <c:v>0.13470499416184054</c:v>
                </c:pt>
                <c:pt idx="134">
                  <c:v>0.13630718474341647</c:v>
                </c:pt>
                <c:pt idx="135">
                  <c:v>0.13791861637002459</c:v>
                </c:pt>
                <c:pt idx="136">
                  <c:v>0.1395392996008161</c:v>
                </c:pt>
                <c:pt idx="137">
                  <c:v>0.14116924507687498</c:v>
                </c:pt>
                <c:pt idx="138">
                  <c:v>0.1428084635214224</c:v>
                </c:pt>
                <c:pt idx="139">
                  <c:v>0.14445696574002281</c:v>
                </c:pt>
                <c:pt idx="140">
                  <c:v>0.14611476262079212</c:v>
                </c:pt>
                <c:pt idx="141">
                  <c:v>0.14778186513460767</c:v>
                </c:pt>
                <c:pt idx="142">
                  <c:v>0.14945828433532005</c:v>
                </c:pt>
                <c:pt idx="143">
                  <c:v>0.15114403135996668</c:v>
                </c:pt>
                <c:pt idx="144">
                  <c:v>0.15283911742898795</c:v>
                </c:pt>
                <c:pt idx="145">
                  <c:v>0.15454355384644416</c:v>
                </c:pt>
                <c:pt idx="146">
                  <c:v>0.15625735200023555</c:v>
                </c:pt>
                <c:pt idx="147">
                  <c:v>0.15798052336232313</c:v>
                </c:pt>
                <c:pt idx="148">
                  <c:v>0.15971307948895258</c:v>
                </c:pt>
                <c:pt idx="149">
                  <c:v>0.16145503202087916</c:v>
                </c:pt>
                <c:pt idx="150">
                  <c:v>0.16320639268359513</c:v>
                </c:pt>
                <c:pt idx="151">
                  <c:v>0.16496717328755872</c:v>
                </c:pt>
                <c:pt idx="152">
                  <c:v>0.16673738572842561</c:v>
                </c:pt>
                <c:pt idx="153">
                  <c:v>0.16851704198728187</c:v>
                </c:pt>
                <c:pt idx="154">
                  <c:v>0.1703061541308791</c:v>
                </c:pt>
                <c:pt idx="155">
                  <c:v>0.17210473431187165</c:v>
                </c:pt>
                <c:pt idx="156">
                  <c:v>0.17391279476905541</c:v>
                </c:pt>
                <c:pt idx="157">
                  <c:v>0.17573034782760985</c:v>
                </c:pt>
                <c:pt idx="158">
                  <c:v>0.17755740589933997</c:v>
                </c:pt>
                <c:pt idx="159">
                  <c:v>0.1793939814829224</c:v>
                </c:pt>
                <c:pt idx="160">
                  <c:v>0.18124008716415246</c:v>
                </c:pt>
                <c:pt idx="161">
                  <c:v>0.18309573561619319</c:v>
                </c:pt>
                <c:pt idx="162">
                  <c:v>0.18496093959982693</c:v>
                </c:pt>
                <c:pt idx="163">
                  <c:v>0.18683571196370888</c:v>
                </c:pt>
                <c:pt idx="164">
                  <c:v>0.18872006564462249</c:v>
                </c:pt>
                <c:pt idx="165">
                  <c:v>0.19061401366773692</c:v>
                </c:pt>
                <c:pt idx="166">
                  <c:v>0.1925175691468671</c:v>
                </c:pt>
                <c:pt idx="167">
                  <c:v>0.19443074528473511</c:v>
                </c:pt>
                <c:pt idx="168">
                  <c:v>0.19635355537323479</c:v>
                </c:pt>
                <c:pt idx="169">
                  <c:v>0.19828601279369709</c:v>
                </c:pt>
                <c:pt idx="170">
                  <c:v>0.20022813101715878</c:v>
                </c:pt>
                <c:pt idx="171">
                  <c:v>0.20217992360463294</c:v>
                </c:pt>
                <c:pt idx="172">
                  <c:v>0.20414140420738089</c:v>
                </c:pt>
                <c:pt idx="173">
                  <c:v>0.20611258656718762</c:v>
                </c:pt>
                <c:pt idx="174">
                  <c:v>0.20809348451663839</c:v>
                </c:pt>
                <c:pt idx="175">
                  <c:v>0.21008411197939769</c:v>
                </c:pt>
                <c:pt idx="176">
                  <c:v>0.21208448297049098</c:v>
                </c:pt>
                <c:pt idx="177">
                  <c:v>0.2140946115965878</c:v>
                </c:pt>
                <c:pt idx="178">
                  <c:v>0.21611451205628771</c:v>
                </c:pt>
                <c:pt idx="179">
                  <c:v>0.21814419864040871</c:v>
                </c:pt>
                <c:pt idx="180">
                  <c:v>0.22018368573227678</c:v>
                </c:pt>
                <c:pt idx="181">
                  <c:v>0.22223298780801878</c:v>
                </c:pt>
                <c:pt idx="182">
                  <c:v>0.22429211943685765</c:v>
                </c:pt>
                <c:pt idx="183">
                  <c:v>0.22636109528140885</c:v>
                </c:pt>
                <c:pt idx="184">
                  <c:v>0.22843993009797992</c:v>
                </c:pt>
                <c:pt idx="185">
                  <c:v>0.23052863873687274</c:v>
                </c:pt>
                <c:pt idx="186">
                  <c:v>0.23262723614268696</c:v>
                </c:pt>
                <c:pt idx="187">
                  <c:v>0.23473573735462666</c:v>
                </c:pt>
                <c:pt idx="188">
                  <c:v>0.23685415750680888</c:v>
                </c:pt>
                <c:pt idx="189">
                  <c:v>0.23898251182857522</c:v>
                </c:pt>
                <c:pt idx="190">
                  <c:v>0.2411208156448047</c:v>
                </c:pt>
                <c:pt idx="191">
                  <c:v>0.24326908437622999</c:v>
                </c:pt>
                <c:pt idx="192">
                  <c:v>0.24542733353975549</c:v>
                </c:pt>
                <c:pt idx="193">
                  <c:v>0.24759557874877836</c:v>
                </c:pt>
                <c:pt idx="194">
                  <c:v>0.24977383571351103</c:v>
                </c:pt>
                <c:pt idx="195">
                  <c:v>0.25196212024130715</c:v>
                </c:pt>
                <c:pt idx="196">
                  <c:v>0.25416044823698986</c:v>
                </c:pt>
                <c:pt idx="197">
                  <c:v>0.25636883570318131</c:v>
                </c:pt>
                <c:pt idx="198">
                  <c:v>0.25858729874063674</c:v>
                </c:pt>
                <c:pt idx="199">
                  <c:v>0.260815853548579</c:v>
                </c:pt>
                <c:pt idx="200">
                  <c:v>0.26305451642503724</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91.848957667895078</c:v>
                </c:pt>
                <c:pt idx="1">
                  <c:v>85.828360744032807</c:v>
                </c:pt>
                <c:pt idx="2">
                  <c:v>82.306540545280939</c:v>
                </c:pt>
                <c:pt idx="3">
                  <c:v>79.807772788420294</c:v>
                </c:pt>
                <c:pt idx="4">
                  <c:v>77.86958149650701</c:v>
                </c:pt>
                <c:pt idx="5">
                  <c:v>76.285967536743456</c:v>
                </c:pt>
                <c:pt idx="6">
                  <c:v>74.947044698259475</c:v>
                </c:pt>
                <c:pt idx="7">
                  <c:v>73.787220705771347</c:v>
                </c:pt>
                <c:pt idx="8">
                  <c:v>72.764187196824267</c:v>
                </c:pt>
                <c:pt idx="9">
                  <c:v>71.849056318543603</c:v>
                </c:pt>
                <c:pt idx="10">
                  <c:v>65.828755345054844</c:v>
                </c:pt>
                <c:pt idx="11">
                  <c:v>62.307428391685626</c:v>
                </c:pt>
                <c:pt idx="12">
                  <c:v>59.809351167358358</c:v>
                </c:pt>
                <c:pt idx="13">
                  <c:v>57.872047684130159</c:v>
                </c:pt>
                <c:pt idx="14">
                  <c:v>56.289518795066499</c:v>
                </c:pt>
                <c:pt idx="15">
                  <c:v>54.951878272026065</c:v>
                </c:pt>
                <c:pt idx="16">
                  <c:v>53.793533819323933</c:v>
                </c:pt>
                <c:pt idx="17">
                  <c:v>52.772177050979295</c:v>
                </c:pt>
                <c:pt idx="18">
                  <c:v>51.858920087472463</c:v>
                </c:pt>
                <c:pt idx="19">
                  <c:v>45.868194764878886</c:v>
                </c:pt>
                <c:pt idx="20">
                  <c:v>42.396108768164787</c:v>
                </c:pt>
                <c:pt idx="21">
                  <c:v>39.966861474276818</c:v>
                </c:pt>
                <c:pt idx="22">
                  <c:v>38.117872716027648</c:v>
                </c:pt>
                <c:pt idx="23">
                  <c:v>36.643013925357948</c:v>
                </c:pt>
                <c:pt idx="24">
                  <c:v>35.432247450449012</c:v>
                </c:pt>
                <c:pt idx="25">
                  <c:v>34.419811366452478</c:v>
                </c:pt>
                <c:pt idx="26">
                  <c:v>33.563213721041095</c:v>
                </c:pt>
                <c:pt idx="27">
                  <c:v>32.833373776902228</c:v>
                </c:pt>
                <c:pt idx="28">
                  <c:v>30.514184155033796</c:v>
                </c:pt>
                <c:pt idx="29">
                  <c:v>29.663970140621036</c:v>
                </c:pt>
                <c:pt idx="30">
                  <c:v>29.814048868201418</c:v>
                </c:pt>
                <c:pt idx="31">
                  <c:v>30.767995401307331</c:v>
                </c:pt>
                <c:pt idx="32">
                  <c:v>32.380914812696034</c:v>
                </c:pt>
                <c:pt idx="33">
                  <c:v>34.174449116703485</c:v>
                </c:pt>
                <c:pt idx="34">
                  <c:v>34.607047855160616</c:v>
                </c:pt>
                <c:pt idx="35">
                  <c:v>32.726997333218129</c:v>
                </c:pt>
                <c:pt idx="36">
                  <c:v>30.075005478668078</c:v>
                </c:pt>
                <c:pt idx="37">
                  <c:v>27.665227838228994</c:v>
                </c:pt>
                <c:pt idx="38">
                  <c:v>25.64479106786322</c:v>
                </c:pt>
                <c:pt idx="39">
                  <c:v>23.95505957902445</c:v>
                </c:pt>
                <c:pt idx="40">
                  <c:v>22.522340258072354</c:v>
                </c:pt>
                <c:pt idx="41">
                  <c:v>21.288136909180633</c:v>
                </c:pt>
                <c:pt idx="42">
                  <c:v>20.209274258285568</c:v>
                </c:pt>
                <c:pt idx="43">
                  <c:v>19.25405255382924</c:v>
                </c:pt>
                <c:pt idx="44">
                  <c:v>18.398906800827426</c:v>
                </c:pt>
                <c:pt idx="45">
                  <c:v>17.626020581699152</c:v>
                </c:pt>
                <c:pt idx="46">
                  <c:v>16.921689416773628</c:v>
                </c:pt>
                <c:pt idx="47">
                  <c:v>16.275199174432306</c:v>
                </c:pt>
                <c:pt idx="48">
                  <c:v>15.678048154619056</c:v>
                </c:pt>
                <c:pt idx="49">
                  <c:v>15.12339876543648</c:v>
                </c:pt>
                <c:pt idx="50">
                  <c:v>14.605684425024599</c:v>
                </c:pt>
                <c:pt idx="51">
                  <c:v>14.120323068180127</c:v>
                </c:pt>
                <c:pt idx="52">
                  <c:v>13.663505089738576</c:v>
                </c:pt>
                <c:pt idx="53">
                  <c:v>13.232034115287401</c:v>
                </c:pt>
                <c:pt idx="54">
                  <c:v>12.82320584654026</c:v>
                </c:pt>
                <c:pt idx="55">
                  <c:v>12.434714747883993</c:v>
                </c:pt>
                <c:pt idx="56">
                  <c:v>12.06458136618917</c:v>
                </c:pt>
                <c:pt idx="57">
                  <c:v>11.711095133393254</c:v>
                </c:pt>
                <c:pt idx="58">
                  <c:v>11.372768921598164</c:v>
                </c:pt>
                <c:pt idx="59">
                  <c:v>11.048302614884367</c:v>
                </c:pt>
                <c:pt idx="60">
                  <c:v>10.7365536677833</c:v>
                </c:pt>
                <c:pt idx="61">
                  <c:v>10.436513127534859</c:v>
                </c:pt>
                <c:pt idx="62">
                  <c:v>10.147285966067008</c:v>
                </c:pt>
                <c:pt idx="63">
                  <c:v>9.8680748387939552</c:v>
                </c:pt>
                <c:pt idx="64">
                  <c:v>9.5981665887601846</c:v>
                </c:pt>
                <c:pt idx="65">
                  <c:v>9.3369209657437242</c:v>
                </c:pt>
                <c:pt idx="66">
                  <c:v>9.0837611442881894</c:v>
                </c:pt>
                <c:pt idx="67">
                  <c:v>8.8381657119299266</c:v>
                </c:pt>
                <c:pt idx="68">
                  <c:v>8.5996618660631903</c:v>
                </c:pt>
                <c:pt idx="69">
                  <c:v>8.3678196099722832</c:v>
                </c:pt>
                <c:pt idx="70">
                  <c:v>8.1422467792349398</c:v>
                </c:pt>
                <c:pt idx="71">
                  <c:v>7.9225847616800982</c:v>
                </c:pt>
                <c:pt idx="72">
                  <c:v>7.7085047993873399</c:v>
                </c:pt>
                <c:pt idx="73">
                  <c:v>7.4997047813587701</c:v>
                </c:pt>
                <c:pt idx="74">
                  <c:v>7.2959064516230967</c:v>
                </c:pt>
                <c:pt idx="75">
                  <c:v>7.0968529705165455</c:v>
                </c:pt>
                <c:pt idx="76">
                  <c:v>6.9023067773943971</c:v>
                </c:pt>
                <c:pt idx="77">
                  <c:v>6.7120477115742876</c:v>
                </c:pt>
                <c:pt idx="78">
                  <c:v>6.5258713552978476</c:v>
                </c:pt>
                <c:pt idx="79">
                  <c:v>6.3435875682320937</c:v>
                </c:pt>
                <c:pt idx="80">
                  <c:v>6.1650191877604987</c:v>
                </c:pt>
                <c:pt idx="81">
                  <c:v>5.9900008732291541</c:v>
                </c:pt>
                <c:pt idx="82">
                  <c:v>5.8183780755683792</c:v>
                </c:pt>
                <c:pt idx="83">
                  <c:v>5.6500061164264288</c:v>
                </c:pt>
                <c:pt idx="84">
                  <c:v>5.4847493632273387</c:v>
                </c:pt>
                <c:pt idx="85">
                  <c:v>5.322480488477499</c:v>
                </c:pt>
                <c:pt idx="86">
                  <c:v>5.1630798032588556</c:v>
                </c:pt>
                <c:pt idx="87">
                  <c:v>5.0064346562118613</c:v>
                </c:pt>
                <c:pt idx="88">
                  <c:v>4.85243889047032</c:v>
                </c:pt>
                <c:pt idx="89">
                  <c:v>4.7009923519971935</c:v>
                </c:pt>
                <c:pt idx="90">
                  <c:v>4.5520004436135482</c:v>
                </c:pt>
                <c:pt idx="91">
                  <c:v>4.4053737197345697</c:v>
                </c:pt>
                <c:pt idx="92">
                  <c:v>4.2610275174468963</c:v>
                </c:pt>
                <c:pt idx="93">
                  <c:v>4.1188816200954133</c:v>
                </c:pt>
                <c:pt idx="94">
                  <c:v>3.9788599500087307</c:v>
                </c:pt>
                <c:pt idx="95">
                  <c:v>3.8408902873917099</c:v>
                </c:pt>
                <c:pt idx="96">
                  <c:v>3.704904012759445</c:v>
                </c:pt>
                <c:pt idx="97">
                  <c:v>3.5708358705886512</c:v>
                </c:pt>
                <c:pt idx="98">
                  <c:v>3.438623752124248</c:v>
                </c:pt>
                <c:pt idx="99">
                  <c:v>3.3082084955089703</c:v>
                </c:pt>
                <c:pt idx="100">
                  <c:v>3.1795337016038241</c:v>
                </c:pt>
                <c:pt idx="101">
                  <c:v>3.0525455640439443</c:v>
                </c:pt>
                <c:pt idx="102">
                  <c:v>2.9271927122287282</c:v>
                </c:pt>
                <c:pt idx="103">
                  <c:v>2.8034260660817081</c:v>
                </c:pt>
                <c:pt idx="104">
                  <c:v>2.6811987015357888</c:v>
                </c:pt>
                <c:pt idx="105">
                  <c:v>2.5604657258059675</c:v>
                </c:pt>
                <c:pt idx="106">
                  <c:v>2.4411841616056682</c:v>
                </c:pt>
                <c:pt idx="107">
                  <c:v>2.3233128395465306</c:v>
                </c:pt>
                <c:pt idx="108">
                  <c:v>2.206812298035655</c:v>
                </c:pt>
                <c:pt idx="109">
                  <c:v>2.091644690050543</c:v>
                </c:pt>
                <c:pt idx="110">
                  <c:v>1.977773696230674</c:v>
                </c:pt>
                <c:pt idx="111">
                  <c:v>1.8651644437776236</c:v>
                </c:pt>
                <c:pt idx="112">
                  <c:v>1.7537834307024123</c:v>
                </c:pt>
                <c:pt idx="113">
                  <c:v>1.6435984550010736</c:v>
                </c:pt>
                <c:pt idx="114">
                  <c:v>1.5345785483773013</c:v>
                </c:pt>
                <c:pt idx="115">
                  <c:v>1.4266939141648403</c:v>
                </c:pt>
                <c:pt idx="116">
                  <c:v>1.3199158691331174</c:v>
                </c:pt>
                <c:pt idx="117">
                  <c:v>1.2142167888868425</c:v>
                </c:pt>
                <c:pt idx="118">
                  <c:v>1.1095700565953248</c:v>
                </c:pt>
                <c:pt idx="119">
                  <c:v>1.0059500148097014</c:v>
                </c:pt>
                <c:pt idx="120">
                  <c:v>0.90333192014644415</c:v>
                </c:pt>
                <c:pt idx="121">
                  <c:v>0.80169190063384099</c:v>
                </c:pt>
                <c:pt idx="122">
                  <c:v>0.7010069155350318</c:v>
                </c:pt>
                <c:pt idx="123">
                  <c:v>0.60125471747596082</c:v>
                </c:pt>
                <c:pt idx="124">
                  <c:v>0.50241381672057639</c:v>
                </c:pt>
                <c:pt idx="125">
                  <c:v>0.40446344744796214</c:v>
                </c:pt>
                <c:pt idx="126">
                  <c:v>0.3073835358975035</c:v>
                </c:pt>
                <c:pt idx="127">
                  <c:v>0.21115467025851997</c:v>
                </c:pt>
                <c:pt idx="128">
                  <c:v>0.11575807219030171</c:v>
                </c:pt>
                <c:pt idx="129">
                  <c:v>2.1175569867032933E-2</c:v>
                </c:pt>
                <c:pt idx="130">
                  <c:v>-7.2610427549943388E-2</c:v>
                </c:pt>
                <c:pt idx="131">
                  <c:v>-0.16561695410276905</c:v>
                </c:pt>
                <c:pt idx="132">
                  <c:v>-0.25786050997453835</c:v>
                </c:pt>
                <c:pt idx="133">
                  <c:v>-0.34935708325102344</c:v>
                </c:pt>
                <c:pt idx="134">
                  <c:v>-0.44012217057884206</c:v>
                </c:pt>
                <c:pt idx="135">
                  <c:v>-0.53017079678704326</c:v>
                </c:pt>
                <c:pt idx="136">
                  <c:v>-0.61951753353423911</c:v>
                </c:pt>
                <c:pt idx="137">
                  <c:v>-0.70817651703931961</c:v>
                </c:pt>
                <c:pt idx="138">
                  <c:v>-0.79616146494956919</c:v>
                </c:pt>
                <c:pt idx="139">
                  <c:v>-0.88348569239650965</c:v>
                </c:pt>
                <c:pt idx="140">
                  <c:v>-0.97016212728621698</c:v>
                </c:pt>
                <c:pt idx="141">
                  <c:v>-1.056203324867937</c:v>
                </c:pt>
                <c:pt idx="142">
                  <c:v>-1.1416214816217043</c:v>
                </c:pt>
                <c:pt idx="143">
                  <c:v>-1.2264284485031409</c:v>
                </c:pt>
                <c:pt idx="144">
                  <c:v>-1.3106357435811531</c:v>
                </c:pt>
                <c:pt idx="145">
                  <c:v>-1.3942545641017285</c:v>
                </c:pt>
                <c:pt idx="146">
                  <c:v>-1.4772957980092429</c:v>
                </c:pt>
                <c:pt idx="147">
                  <c:v>-1.5597700349543817</c:v>
                </c:pt>
                <c:pt idx="148">
                  <c:v>-1.6416875768162065</c:v>
                </c:pt>
                <c:pt idx="149">
                  <c:v>-1.723058447763983</c:v>
                </c:pt>
                <c:pt idx="150">
                  <c:v>-1.8038924038829973</c:v>
                </c:pt>
                <c:pt idx="151">
                  <c:v>-1.8841989423870065</c:v>
                </c:pt>
                <c:pt idx="152">
                  <c:v>-1.9639873104385126</c:v>
                </c:pt>
                <c:pt idx="153">
                  <c:v>-2.0432665135970893</c:v>
                </c:pt>
                <c:pt idx="154">
                  <c:v>-2.1220453239143269</c:v>
                </c:pt>
                <c:pt idx="155">
                  <c:v>-2.2003322876933655</c:v>
                </c:pt>
                <c:pt idx="156">
                  <c:v>-2.2781357329295657</c:v>
                </c:pt>
                <c:pt idx="157">
                  <c:v>-2.3554637764479729</c:v>
                </c:pt>
                <c:pt idx="158">
                  <c:v>-2.4323243307526128</c:v>
                </c:pt>
                <c:pt idx="159">
                  <c:v>-2.5087251106013793</c:v>
                </c:pt>
                <c:pt idx="160">
                  <c:v>-2.5846736393197816</c:v>
                </c:pt>
                <c:pt idx="161">
                  <c:v>-2.6601772548660616</c:v>
                </c:pt>
                <c:pt idx="162">
                  <c:v>-2.7352431156592729</c:v>
                </c:pt>
                <c:pt idx="163">
                  <c:v>-2.8098782061816174</c:v>
                </c:pt>
                <c:pt idx="164">
                  <c:v>-2.8840893423654008</c:v>
                </c:pt>
                <c:pt idx="165">
                  <c:v>-2.9578831767746343</c:v>
                </c:pt>
                <c:pt idx="166">
                  <c:v>-3.0312662035905866</c:v>
                </c:pt>
                <c:pt idx="167">
                  <c:v>-3.1042447634102559</c:v>
                </c:pt>
                <c:pt idx="168">
                  <c:v>-3.1768250478661937</c:v>
                </c:pt>
                <c:pt idx="169">
                  <c:v>-3.2490131040755794</c:v>
                </c:pt>
                <c:pt idx="170">
                  <c:v>-3.3208148389262293</c:v>
                </c:pt>
                <c:pt idx="171">
                  <c:v>-3.3922360232065838</c:v>
                </c:pt>
                <c:pt idx="172">
                  <c:v>-3.4632822955866032</c:v>
                </c:pt>
                <c:pt idx="173">
                  <c:v>-3.5339591664559959</c:v>
                </c:pt>
                <c:pt idx="174">
                  <c:v>-3.6042720216258157</c:v>
                </c:pt>
                <c:pt idx="175">
                  <c:v>-3.6742261258993913</c:v>
                </c:pt>
                <c:pt idx="176">
                  <c:v>-3.7438266265180942</c:v>
                </c:pt>
                <c:pt idx="177">
                  <c:v>-3.8130785564870995</c:v>
                </c:pt>
                <c:pt idx="178">
                  <c:v>-3.8819868377862985</c:v>
                </c:pt>
                <c:pt idx="179">
                  <c:v>-3.9505562844709918</c:v>
                </c:pt>
                <c:pt idx="180">
                  <c:v>-4.0187916056669799</c:v>
                </c:pt>
                <c:pt idx="181">
                  <c:v>-4.0866974084643406</c:v>
                </c:pt>
                <c:pt idx="182">
                  <c:v>-4.1542782007139154</c:v>
                </c:pt>
                <c:pt idx="183">
                  <c:v>-4.2215383937306097</c:v>
                </c:pt>
                <c:pt idx="184">
                  <c:v>-4.2884823049070047</c:v>
                </c:pt>
                <c:pt idx="185">
                  <c:v>-4.3551141602409942</c:v>
                </c:pt>
                <c:pt idx="186">
                  <c:v>-4.4214380967807969</c:v>
                </c:pt>
                <c:pt idx="187">
                  <c:v>-4.4874581649905361</c:v>
                </c:pt>
                <c:pt idx="188">
                  <c:v>-4.5531783310394989</c:v>
                </c:pt>
                <c:pt idx="189">
                  <c:v>-4.6186024790180591</c:v>
                </c:pt>
                <c:pt idx="190">
                  <c:v>-4.6837344130829868</c:v>
                </c:pt>
                <c:pt idx="191">
                  <c:v>-4.7485778595349162</c:v>
                </c:pt>
                <c:pt idx="192">
                  <c:v>-4.8131364688304767</c:v>
                </c:pt>
                <c:pt idx="193">
                  <c:v>-4.8774138175315969</c:v>
                </c:pt>
                <c:pt idx="194">
                  <c:v>-4.9414134101942624</c:v>
                </c:pt>
                <c:pt idx="195">
                  <c:v>-5.0051386811989929</c:v>
                </c:pt>
                <c:pt idx="196">
                  <c:v>-5.0685929965252665</c:v>
                </c:pt>
                <c:pt idx="197">
                  <c:v>-5.1317796554717257</c:v>
                </c:pt>
                <c:pt idx="198">
                  <c:v>-5.1947018923244617</c:v>
                </c:pt>
                <c:pt idx="199">
                  <c:v>-5.2573628779748933</c:v>
                </c:pt>
                <c:pt idx="200">
                  <c:v>-5.3197657214893477</c:v>
                </c:pt>
                <c:pt idx="201">
                  <c:v>-5.3819134716318375</c:v>
                </c:pt>
                <c:pt idx="202">
                  <c:v>-5.4438091183418793</c:v>
                </c:pt>
                <c:pt idx="203">
                  <c:v>-5.5054555941688088</c:v>
                </c:pt>
                <c:pt idx="204">
                  <c:v>-5.5668557756641395</c:v>
                </c:pt>
                <c:pt idx="205">
                  <c:v>-5.6280124847334587</c:v>
                </c:pt>
                <c:pt idx="206">
                  <c:v>-5.6889284899492774</c:v>
                </c:pt>
                <c:pt idx="207">
                  <c:v>-5.7496065078260274</c:v>
                </c:pt>
                <c:pt idx="208">
                  <c:v>-5.8100492040587195</c:v>
                </c:pt>
                <c:pt idx="209">
                  <c:v>-5.8702591947263301</c:v>
                </c:pt>
                <c:pt idx="210">
                  <c:v>-5.9302390474611375</c:v>
                </c:pt>
                <c:pt idx="211">
                  <c:v>-5.9899912825852306</c:v>
                </c:pt>
                <c:pt idx="212">
                  <c:v>-6.049518374215161</c:v>
                </c:pt>
                <c:pt idx="213">
                  <c:v>-6.1088227513358628</c:v>
                </c:pt>
                <c:pt idx="214">
                  <c:v>-6.1679067988448892</c:v>
                </c:pt>
                <c:pt idx="215">
                  <c:v>-6.2267728585678492</c:v>
                </c:pt>
                <c:pt idx="216">
                  <c:v>-6.28542323024603</c:v>
                </c:pt>
                <c:pt idx="217">
                  <c:v>-6.3438601724971209</c:v>
                </c:pt>
                <c:pt idx="218">
                  <c:v>-6.4020859037498621</c:v>
                </c:pt>
                <c:pt idx="219">
                  <c:v>-6.4601026031534694</c:v>
                </c:pt>
                <c:pt idx="220">
                  <c:v>-6.5179124114626834</c:v>
                </c:pt>
                <c:pt idx="221">
                  <c:v>-6.5755174318991152</c:v>
                </c:pt>
                <c:pt idx="222">
                  <c:v>-6.6329197309897427</c:v>
                </c:pt>
                <c:pt idx="223">
                  <c:v>-6.6901213393831851</c:v>
                </c:pt>
                <c:pt idx="224">
                  <c:v>-6.7471242526445092</c:v>
                </c:pt>
                <c:pt idx="225">
                  <c:v>-6.803930432029194</c:v>
                </c:pt>
                <c:pt idx="226">
                  <c:v>-7.3615802598019453</c:v>
                </c:pt>
                <c:pt idx="227">
                  <c:v>-7.901486024294254</c:v>
                </c:pt>
                <c:pt idx="228">
                  <c:v>-8.4251447282762868</c:v>
                </c:pt>
                <c:pt idx="229">
                  <c:v>-8.9338369835310179</c:v>
                </c:pt>
                <c:pt idx="230">
                  <c:v>-9.4286665036584143</c:v>
                </c:pt>
                <c:pt idx="231">
                  <c:v>-9.9105913973039232</c:v>
                </c:pt>
                <c:pt idx="232">
                  <c:v>-10.380449160545645</c:v>
                </c:pt>
                <c:pt idx="233">
                  <c:v>-10.838976777430796</c:v>
                </c:pt>
                <c:pt idx="234">
                  <c:v>-11.286826987982398</c:v>
                </c:pt>
                <c:pt idx="235">
                  <c:v>-11.724581529473399</c:v>
                </c:pt>
                <c:pt idx="236">
                  <c:v>-12.152761970350227</c:v>
                </c:pt>
                <c:pt idx="237">
                  <c:v>-12.57183861734848</c:v>
                </c:pt>
                <c:pt idx="238">
                  <c:v>-12.98223787172674</c:v>
                </c:pt>
                <c:pt idx="239">
                  <c:v>-13.384348330877014</c:v>
                </c:pt>
                <c:pt idx="240">
                  <c:v>-13.77852587032136</c:v>
                </c:pt>
                <c:pt idx="241">
                  <c:v>-14.165097893610314</c:v>
                </c:pt>
                <c:pt idx="242">
                  <c:v>-14.54436690052567</c:v>
                </c:pt>
                <c:pt idx="243">
                  <c:v>-14.916613494788697</c:v>
                </c:pt>
                <c:pt idx="244">
                  <c:v>-15.282098929356561</c:v>
                </c:pt>
                <c:pt idx="245">
                  <c:v>-15.641067268985235</c:v>
                </c:pt>
                <c:pt idx="246">
                  <c:v>-15.993747235013965</c:v>
                </c:pt>
                <c:pt idx="247">
                  <c:v>-16.340353785494166</c:v>
                </c:pt>
                <c:pt idx="248">
                  <c:v>-16.681089474240508</c:v>
                </c:pt>
                <c:pt idx="249">
                  <c:v>-17.016145624651674</c:v>
                </c:pt>
                <c:pt idx="250">
                  <c:v>-17.345703347869403</c:v>
                </c:pt>
                <c:pt idx="251">
                  <c:v>-17.669934429727107</c:v>
                </c:pt>
                <c:pt idx="252">
                  <c:v>-17.989002106758324</c:v>
                </c:pt>
                <c:pt idx="253">
                  <c:v>-18.303061748109638</c:v>
                </c:pt>
                <c:pt idx="254">
                  <c:v>-18.612261457389607</c:v>
                </c:pt>
                <c:pt idx="255">
                  <c:v>-18.916742606169514</c:v>
                </c:pt>
                <c:pt idx="256">
                  <c:v>-19.216640308941415</c:v>
                </c:pt>
                <c:pt idx="257">
                  <c:v>-19.512083847759904</c:v>
                </c:pt>
                <c:pt idx="258">
                  <c:v>-19.803197053485569</c:v>
                </c:pt>
                <c:pt idx="259">
                  <c:v>-20.090098649462533</c:v>
                </c:pt>
                <c:pt idx="260">
                  <c:v>-20.372902562559126</c:v>
                </c:pt>
                <c:pt idx="261">
                  <c:v>-20.651718205748541</c:v>
                </c:pt>
                <c:pt idx="262">
                  <c:v>-20.92665073577766</c:v>
                </c:pt>
                <c:pt idx="263">
                  <c:v>-21.197801288946852</c:v>
                </c:pt>
                <c:pt idx="264">
                  <c:v>-21.465267197583199</c:v>
                </c:pt>
                <c:pt idx="265">
                  <c:v>-21.729142189418901</c:v>
                </c:pt>
                <c:pt idx="266">
                  <c:v>-21.989516571776136</c:v>
                </c:pt>
                <c:pt idx="267">
                  <c:v>-22.246477402196192</c:v>
                </c:pt>
                <c:pt idx="268">
                  <c:v>-22.50010864692943</c:v>
                </c:pt>
                <c:pt idx="269">
                  <c:v>-22.750491328514141</c:v>
                </c:pt>
                <c:pt idx="270">
                  <c:v>-22.997703663513185</c:v>
                </c:pt>
                <c:pt idx="271">
                  <c:v>-23.241821191341408</c:v>
                </c:pt>
                <c:pt idx="272">
                  <c:v>-23.482916895000855</c:v>
                </c:pt>
                <c:pt idx="273">
                  <c:v>-23.721061314442334</c:v>
                </c:pt>
                <c:pt idx="274">
                  <c:v>-23.956322653186454</c:v>
                </c:pt>
                <c:pt idx="275">
                  <c:v>-24.18876687876482</c:v>
                </c:pt>
                <c:pt idx="276">
                  <c:v>-24.41845781747913</c:v>
                </c:pt>
                <c:pt idx="277">
                  <c:v>-24.645457243921452</c:v>
                </c:pt>
                <c:pt idx="278">
                  <c:v>-24.869824965652416</c:v>
                </c:pt>
                <c:pt idx="279">
                  <c:v>-25.091618903392714</c:v>
                </c:pt>
                <c:pt idx="280">
                  <c:v>-25.310895167048088</c:v>
                </c:pt>
                <c:pt idx="281">
                  <c:v>-25.527708127856691</c:v>
                </c:pt>
                <c:pt idx="282">
                  <c:v>-25.742110486920502</c:v>
                </c:pt>
                <c:pt idx="283">
                  <c:v>-25.954153340358491</c:v>
                </c:pt>
                <c:pt idx="284">
                  <c:v>-26.163886241298144</c:v>
                </c:pt>
                <c:pt idx="285">
                  <c:v>-26.371357258903046</c:v>
                </c:pt>
                <c:pt idx="286">
                  <c:v>-26.576613034617964</c:v>
                </c:pt>
                <c:pt idx="287">
                  <c:v>-26.779698835797706</c:v>
                </c:pt>
                <c:pt idx="288">
                  <c:v>-26.980658606873131</c:v>
                </c:pt>
                <c:pt idx="289">
                  <c:v>-27.179535018195693</c:v>
                </c:pt>
                <c:pt idx="290">
                  <c:v>-27.376369512691273</c:v>
                </c:pt>
                <c:pt idx="291">
                  <c:v>-27.571202350444651</c:v>
                </c:pt>
                <c:pt idx="292">
                  <c:v>-27.76407265132714</c:v>
                </c:pt>
                <c:pt idx="293">
                  <c:v>-27.955018435772022</c:v>
                </c:pt>
                <c:pt idx="294">
                  <c:v>-28.144076663795666</c:v>
                </c:pt>
                <c:pt idx="295">
                  <c:v>-28.331283272355144</c:v>
                </c:pt>
                <c:pt idx="296">
                  <c:v>-28.516673211127809</c:v>
                </c:pt>
                <c:pt idx="297">
                  <c:v>-28.700280476792432</c:v>
                </c:pt>
                <c:pt idx="298">
                  <c:v>-28.882138145886827</c:v>
                </c:pt>
                <c:pt idx="299">
                  <c:v>-29.062278406312032</c:v>
                </c:pt>
                <c:pt idx="300">
                  <c:v>-29.240732587549196</c:v>
                </c:pt>
                <c:pt idx="301">
                  <c:v>-29.417531189651115</c:v>
                </c:pt>
                <c:pt idx="302">
                  <c:v>-29.592703911066991</c:v>
                </c:pt>
                <c:pt idx="303">
                  <c:v>-29.766279675355495</c:v>
                </c:pt>
                <c:pt idx="304">
                  <c:v>-29.938286656838152</c:v>
                </c:pt>
                <c:pt idx="305">
                  <c:v>-30.108752305242255</c:v>
                </c:pt>
                <c:pt idx="306">
                  <c:v>-30.277703369379626</c:v>
                </c:pt>
                <c:pt idx="307">
                  <c:v>-30.445165919905229</c:v>
                </c:pt>
                <c:pt idx="308">
                  <c:v>-30.611165371197259</c:v>
                </c:pt>
                <c:pt idx="309">
                  <c:v>-30.775726502397895</c:v>
                </c:pt>
                <c:pt idx="310">
                  <c:v>-30.938873477652315</c:v>
                </c:pt>
                <c:pt idx="311">
                  <c:v>-31.100629865581094</c:v>
                </c:pt>
                <c:pt idx="312">
                  <c:v>-31.261018658019811</c:v>
                </c:pt>
                <c:pt idx="313">
                  <c:v>-31.420062288057554</c:v>
                </c:pt>
                <c:pt idx="314">
                  <c:v>-31.577782647404785</c:v>
                </c:pt>
                <c:pt idx="315">
                  <c:v>-31.734201103119148</c:v>
                </c:pt>
                <c:pt idx="316">
                  <c:v>-31.889338513716826</c:v>
                </c:pt>
                <c:pt idx="317">
                  <c:v>-32.043215244695247</c:v>
                </c:pt>
                <c:pt idx="318">
                  <c:v>-32.195851183492039</c:v>
                </c:pt>
                <c:pt idx="319">
                  <c:v>-32.347265753903784</c:v>
                </c:pt>
                <c:pt idx="320">
                  <c:v>-32.497477929986985</c:v>
                </c:pt>
                <c:pt idx="321">
                  <c:v>-32.646506249462746</c:v>
                </c:pt>
                <c:pt idx="322">
                  <c:v>-32.794368826645332</c:v>
                </c:pt>
                <c:pt idx="323">
                  <c:v>-32.941083364914327</c:v>
                </c:pt>
                <c:pt idx="324">
                  <c:v>-33.086667168748647</c:v>
                </c:pt>
                <c:pt idx="325">
                  <c:v>-33.231137155340342</c:v>
                </c:pt>
                <c:pt idx="326">
                  <c:v>-33.374509865804797</c:v>
                </c:pt>
                <c:pt idx="327">
                  <c:v>-33.516801476003685</c:v>
                </c:pt>
                <c:pt idx="328">
                  <c:v>-33.658027806995833</c:v>
                </c:pt>
                <c:pt idx="329">
                  <c:v>-33.798204335130848</c:v>
                </c:pt>
                <c:pt idx="330">
                  <c:v>-33.937346201799471</c:v>
                </c:pt>
                <c:pt idx="331">
                  <c:v>-34.075468222853999</c:v>
                </c:pt>
                <c:pt idx="332">
                  <c:v>-34.21258489771175</c:v>
                </c:pt>
                <c:pt idx="333">
                  <c:v>-34.34871041815363</c:v>
                </c:pt>
                <c:pt idx="334">
                  <c:v>-34.48385867682974</c:v>
                </c:pt>
                <c:pt idx="335">
                  <c:v>-34.618043275483004</c:v>
                </c:pt>
                <c:pt idx="336">
                  <c:v>-34.751277532901732</c:v>
                </c:pt>
                <c:pt idx="337">
                  <c:v>-34.883574492611281</c:v>
                </c:pt>
                <c:pt idx="338">
                  <c:v>-35.014946930314707</c:v>
                </c:pt>
                <c:pt idx="339">
                  <c:v>-35.145407361091763</c:v>
                </c:pt>
                <c:pt idx="340">
                  <c:v>-35.274968046365238</c:v>
                </c:pt>
                <c:pt idx="341">
                  <c:v>-35.403641000643468</c:v>
                </c:pt>
                <c:pt idx="342">
                  <c:v>-35.531437998046904</c:v>
                </c:pt>
                <c:pt idx="343">
                  <c:v>-35.658370578627178</c:v>
                </c:pt>
                <c:pt idx="344">
                  <c:v>-35.784450054485767</c:v>
                </c:pt>
                <c:pt idx="345">
                  <c:v>-35.9096875156999</c:v>
                </c:pt>
                <c:pt idx="346">
                  <c:v>-36.034093836062588</c:v>
                </c:pt>
                <c:pt idx="347">
                  <c:v>-36.157679678643348</c:v>
                </c:pt>
                <c:pt idx="348">
                  <c:v>-36.280455501176284</c:v>
                </c:pt>
                <c:pt idx="349">
                  <c:v>-36.402431561281588</c:v>
                </c:pt>
                <c:pt idx="350">
                  <c:v>-36.523617921526338</c:v>
                </c:pt>
                <c:pt idx="351">
                  <c:v>-36.644024454330307</c:v>
                </c:pt>
                <c:pt idx="352">
                  <c:v>-36.763660846722374</c:v>
                </c:pt>
                <c:pt idx="353">
                  <c:v>-36.882536604952577</c:v>
                </c:pt>
                <c:pt idx="354">
                  <c:v>-37.000661058965015</c:v>
                </c:pt>
                <c:pt idx="355">
                  <c:v>-37.118043366736352</c:v>
                </c:pt>
                <c:pt idx="356">
                  <c:v>-37.23469251848455</c:v>
                </c:pt>
                <c:pt idx="357">
                  <c:v>-37.350617340752414</c:v>
                </c:pt>
                <c:pt idx="358">
                  <c:v>-37.46582650037017</c:v>
                </c:pt>
                <c:pt idx="359">
                  <c:v>-37.580328508301157</c:v>
                </c:pt>
                <c:pt idx="360">
                  <c:v>-37.694131723374767</c:v>
                </c:pt>
                <c:pt idx="361">
                  <c:v>-37.807244355910242</c:v>
                </c:pt>
                <c:pt idx="362">
                  <c:v>-37.919674471235226</c:v>
                </c:pt>
                <c:pt idx="363">
                  <c:v>-38.031429993102385</c:v>
                </c:pt>
                <c:pt idx="364">
                  <c:v>-38.14251870700776</c:v>
                </c:pt>
                <c:pt idx="365">
                  <c:v>-38.252948263413806</c:v>
                </c:pt>
                <c:pt idx="366">
                  <c:v>-38.3627261808806</c:v>
                </c:pt>
                <c:pt idx="367">
                  <c:v>-38.471859849108</c:v>
                </c:pt>
                <c:pt idx="368">
                  <c:v>-38.580356531891823</c:v>
                </c:pt>
                <c:pt idx="369">
                  <c:v>-38.68822336999682</c:v>
                </c:pt>
                <c:pt idx="370">
                  <c:v>-38.795467383949088</c:v>
                </c:pt>
                <c:pt idx="371">
                  <c:v>-38.902095476750709</c:v>
                </c:pt>
                <c:pt idx="372">
                  <c:v>-39.008114436518859</c:v>
                </c:pt>
                <c:pt idx="373">
                  <c:v>-39.113530939052154</c:v>
                </c:pt>
                <c:pt idx="374">
                  <c:v>-39.21835155032624</c:v>
                </c:pt>
                <c:pt idx="375">
                  <c:v>-39.32258272892112</c:v>
                </c:pt>
                <c:pt idx="376">
                  <c:v>-39.426230828382266</c:v>
                </c:pt>
                <c:pt idx="377">
                  <c:v>-39.529302099517672</c:v>
                </c:pt>
                <c:pt idx="378">
                  <c:v>-39.631802692632803</c:v>
                </c:pt>
                <c:pt idx="379">
                  <c:v>-39.733738659705466</c:v>
                </c:pt>
                <c:pt idx="380">
                  <c:v>-39.835115956502449</c:v>
                </c:pt>
                <c:pt idx="381">
                  <c:v>-39.935940444639769</c:v>
                </c:pt>
                <c:pt idx="382">
                  <c:v>-40.036217893588109</c:v>
                </c:pt>
                <c:pt idx="383">
                  <c:v>-40.135953982625509</c:v>
                </c:pt>
                <c:pt idx="384">
                  <c:v>-40.235154302738508</c:v>
                </c:pt>
                <c:pt idx="385">
                  <c:v>-40.333824358473642</c:v>
                </c:pt>
                <c:pt idx="386">
                  <c:v>-40.431969569740609</c:v>
                </c:pt>
                <c:pt idx="387">
                  <c:v>-40.529595273568695</c:v>
                </c:pt>
                <c:pt idx="388">
                  <c:v>-40.626706725817847</c:v>
                </c:pt>
                <c:pt idx="389">
                  <c:v>-40.72330910284569</c:v>
                </c:pt>
                <c:pt idx="390">
                  <c:v>-40.819407503131913</c:v>
                </c:pt>
                <c:pt idx="391">
                  <c:v>-40.915006948861304</c:v>
                </c:pt>
                <c:pt idx="392">
                  <c:v>-41.010112387466521</c:v>
                </c:pt>
                <c:pt idx="393">
                  <c:v>-41.104728693131975</c:v>
                </c:pt>
                <c:pt idx="394">
                  <c:v>-41.198860668259869</c:v>
                </c:pt>
                <c:pt idx="395">
                  <c:v>-41.292513044899557</c:v>
                </c:pt>
                <c:pt idx="396">
                  <c:v>-41.385690486141307</c:v>
                </c:pt>
                <c:pt idx="397">
                  <c:v>-41.478397587475378</c:v>
                </c:pt>
                <c:pt idx="398">
                  <c:v>-41.570638878117677</c:v>
                </c:pt>
                <c:pt idx="399">
                  <c:v>-41.662418822302726</c:v>
                </c:pt>
                <c:pt idx="400">
                  <c:v>-41.753741820544981</c:v>
                </c:pt>
                <c:pt idx="401">
                  <c:v>-41.844612210869499</c:v>
                </c:pt>
                <c:pt idx="402">
                  <c:v>-41.935034270012636</c:v>
                </c:pt>
                <c:pt idx="403">
                  <c:v>-42.025012214593758</c:v>
                </c:pt>
                <c:pt idx="404">
                  <c:v>-42.114550202258918</c:v>
                </c:pt>
                <c:pt idx="405">
                  <c:v>-42.203652332796935</c:v>
                </c:pt>
                <c:pt idx="406">
                  <c:v>-42.292322649229071</c:v>
                </c:pt>
                <c:pt idx="407">
                  <c:v>-42.380565138872711</c:v>
                </c:pt>
                <c:pt idx="408">
                  <c:v>-42.468383734380019</c:v>
                </c:pt>
                <c:pt idx="409">
                  <c:v>-42.555782314752108</c:v>
                </c:pt>
                <c:pt idx="410">
                  <c:v>-42.642764706329459</c:v>
                </c:pt>
                <c:pt idx="411">
                  <c:v>-42.729334683759333</c:v>
                </c:pt>
                <c:pt idx="412">
                  <c:v>-42.815495970940646</c:v>
                </c:pt>
                <c:pt idx="413">
                  <c:v>-42.901252241947049</c:v>
                </c:pt>
                <c:pt idx="414">
                  <c:v>-42.986607121928799</c:v>
                </c:pt>
                <c:pt idx="415">
                  <c:v>-43.071564187993943</c:v>
                </c:pt>
                <c:pt idx="416">
                  <c:v>-43.156126970069451</c:v>
                </c:pt>
                <c:pt idx="417">
                  <c:v>-43.240298951742759</c:v>
                </c:pt>
                <c:pt idx="418">
                  <c:v>-43.324083571084373</c:v>
                </c:pt>
                <c:pt idx="419">
                  <c:v>-43.40748422145186</c:v>
                </c:pt>
                <c:pt idx="420">
                  <c:v>-43.49050425227594</c:v>
                </c:pt>
                <c:pt idx="421">
                  <c:v>-43.573146969829004</c:v>
                </c:pt>
                <c:pt idx="422">
                  <c:v>-43.655415637976553</c:v>
                </c:pt>
                <c:pt idx="423">
                  <c:v>-43.737313478912071</c:v>
                </c:pt>
                <c:pt idx="424">
                  <c:v>-43.818843673875698</c:v>
                </c:pt>
                <c:pt idx="425">
                  <c:v>-43.900009363857208</c:v>
                </c:pt>
                <c:pt idx="426">
                  <c:v>-43.980813650283572</c:v>
                </c:pt>
                <c:pt idx="427">
                  <c:v>-44.061259595691681</c:v>
                </c:pt>
                <c:pt idx="428">
                  <c:v>-44.141350224386493</c:v>
                </c:pt>
                <c:pt idx="429">
                  <c:v>-44.221088523084966</c:v>
                </c:pt>
                <c:pt idx="430">
                  <c:v>-44.300477441546306</c:v>
                </c:pt>
                <c:pt idx="431">
                  <c:v>-44.379519893188657</c:v>
                </c:pt>
                <c:pt idx="432">
                  <c:v>-44.458218755692762</c:v>
                </c:pt>
                <c:pt idx="433">
                  <c:v>-44.536576871592843</c:v>
                </c:pt>
                <c:pt idx="434">
                  <c:v>-44.614597048854996</c:v>
                </c:pt>
                <c:pt idx="435">
                  <c:v>-44.692282061443571</c:v>
                </c:pt>
                <c:pt idx="436">
                  <c:v>-44.76963464987562</c:v>
                </c:pt>
                <c:pt idx="437">
                  <c:v>-44.846657521763845</c:v>
                </c:pt>
                <c:pt idx="438">
                  <c:v>-44.923353352348428</c:v>
                </c:pt>
                <c:pt idx="439">
                  <c:v>-44.999724785017719</c:v>
                </c:pt>
                <c:pt idx="440">
                  <c:v>-45.075774431818402</c:v>
                </c:pt>
                <c:pt idx="441">
                  <c:v>-45.151504873955155</c:v>
                </c:pt>
                <c:pt idx="442">
                  <c:v>-45.22691866228022</c:v>
                </c:pt>
                <c:pt idx="443">
                  <c:v>-45.302018317773005</c:v>
                </c:pt>
                <c:pt idx="444">
                  <c:v>-45.376806332010048</c:v>
                </c:pt>
                <c:pt idx="445">
                  <c:v>-45.451285167625535</c:v>
                </c:pt>
                <c:pt idx="446">
                  <c:v>-45.525457258762678</c:v>
                </c:pt>
                <c:pt idx="447">
                  <c:v>-45.599325011515973</c:v>
                </c:pt>
                <c:pt idx="448">
                  <c:v>-45.672890804364897</c:v>
                </c:pt>
                <c:pt idx="449">
                  <c:v>-45.746156988598855</c:v>
                </c:pt>
                <c:pt idx="450">
                  <c:v>-45.819125888733922</c:v>
                </c:pt>
                <c:pt idx="451">
                  <c:v>-45.891799802921369</c:v>
                </c:pt>
                <c:pt idx="452">
                  <c:v>-45.964181003348266</c:v>
                </c:pt>
                <c:pt idx="453">
                  <c:v>-46.036271736630283</c:v>
                </c:pt>
                <c:pt idx="454">
                  <c:v>-46.108074224196955</c:v>
                </c:pt>
                <c:pt idx="455">
                  <c:v>-46.17959066266949</c:v>
                </c:pt>
                <c:pt idx="456">
                  <c:v>-46.250823224231411</c:v>
                </c:pt>
                <c:pt idx="457">
                  <c:v>-46.321774056992062</c:v>
                </c:pt>
                <c:pt idx="458">
                  <c:v>-46.392445285343257</c:v>
                </c:pt>
                <c:pt idx="459">
                  <c:v>-46.462839010309196</c:v>
                </c:pt>
                <c:pt idx="460">
                  <c:v>-46.532957309889781</c:v>
                </c:pt>
                <c:pt idx="461">
                  <c:v>-46.602802239397498</c:v>
                </c:pt>
                <c:pt idx="462">
                  <c:v>-46.672375831787996</c:v>
                </c:pt>
                <c:pt idx="463">
                  <c:v>-46.741680097984599</c:v>
                </c:pt>
                <c:pt idx="464">
                  <c:v>-46.810717027196645</c:v>
                </c:pt>
                <c:pt idx="465">
                  <c:v>-46.879488587232238</c:v>
                </c:pt>
                <c:pt idx="466">
                  <c:v>-46.947996724804923</c:v>
                </c:pt>
                <c:pt idx="467">
                  <c:v>-47.016243365835059</c:v>
                </c:pt>
                <c:pt idx="468">
                  <c:v>-47.084230415745466</c:v>
                </c:pt>
                <c:pt idx="469">
                  <c:v>-47.151959759751925</c:v>
                </c:pt>
                <c:pt idx="470">
                  <c:v>-47.219433263148275</c:v>
                </c:pt>
                <c:pt idx="471">
                  <c:v>-47.286652771586439</c:v>
                </c:pt>
                <c:pt idx="472">
                  <c:v>-47.353620111351482</c:v>
                </c:pt>
                <c:pt idx="473">
                  <c:v>-47.420337089631694</c:v>
                </c:pt>
                <c:pt idx="474">
                  <c:v>-47.486805494783894</c:v>
                </c:pt>
                <c:pt idx="475">
                  <c:v>-47.553027096594121</c:v>
                </c:pt>
                <c:pt idx="476">
                  <c:v>-47.619003646533614</c:v>
                </c:pt>
                <c:pt idx="477">
                  <c:v>-47.684736878010355</c:v>
                </c:pt>
                <c:pt idx="478">
                  <c:v>-47.750228506616253</c:v>
                </c:pt>
                <c:pt idx="479">
                  <c:v>-47.815480230369978</c:v>
                </c:pt>
                <c:pt idx="480">
                  <c:v>-47.880493729955603</c:v>
                </c:pt>
                <c:pt idx="481">
                  <c:v>-47.945270668957136</c:v>
                </c:pt>
                <c:pt idx="482">
                  <c:v>-48.009812694088971</c:v>
                </c:pt>
                <c:pt idx="483">
                  <c:v>-48.074121435422498</c:v>
                </c:pt>
                <c:pt idx="484">
                  <c:v>-48.138198506608717</c:v>
                </c:pt>
                <c:pt idx="485">
                  <c:v>-48.202045505097189</c:v>
                </c:pt>
                <c:pt idx="486">
                  <c:v>-48.265664012351188</c:v>
                </c:pt>
                <c:pt idx="487">
                  <c:v>-48.329055594059255</c:v>
                </c:pt>
                <c:pt idx="488">
                  <c:v>-48.39222180034325</c:v>
                </c:pt>
                <c:pt idx="489">
                  <c:v>-48.45516416596287</c:v>
                </c:pt>
                <c:pt idx="490">
                  <c:v>-48.517884210516769</c:v>
                </c:pt>
                <c:pt idx="491">
                  <c:v>-48.580383438640318</c:v>
                </c:pt>
                <c:pt idx="492">
                  <c:v>-48.642663340200158</c:v>
                </c:pt>
                <c:pt idx="493">
                  <c:v>-48.7047253904855</c:v>
                </c:pt>
                <c:pt idx="494">
                  <c:v>-48.766571050396323</c:v>
                </c:pt>
                <c:pt idx="495">
                  <c:v>-48.828201766628361</c:v>
                </c:pt>
                <c:pt idx="496">
                  <c:v>-48.88961897185537</c:v>
                </c:pt>
                <c:pt idx="497">
                  <c:v>-48.950824084908085</c:v>
                </c:pt>
                <c:pt idx="498">
                  <c:v>-49.011818510950562</c:v>
                </c:pt>
                <c:pt idx="499">
                  <c:v>-49.072603641653529</c:v>
                </c:pt>
                <c:pt idx="500">
                  <c:v>-49.133180855364998</c:v>
                </c:pt>
                <c:pt idx="501">
                  <c:v>-49.193551517278195</c:v>
                </c:pt>
                <c:pt idx="502">
                  <c:v>-49.253716979596703</c:v>
                </c:pt>
                <c:pt idx="503">
                  <c:v>-49.313678581697161</c:v>
                </c:pt>
                <c:pt idx="504">
                  <c:v>-49.373437650289191</c:v>
                </c:pt>
                <c:pt idx="505">
                  <c:v>-49.432995499572947</c:v>
                </c:pt>
                <c:pt idx="506">
                  <c:v>-49.492353431394136</c:v>
                </c:pt>
                <c:pt idx="507">
                  <c:v>-49.551512735396663</c:v>
                </c:pt>
                <c:pt idx="508">
                  <c:v>-49.610474689172804</c:v>
                </c:pt>
                <c:pt idx="509">
                  <c:v>-49.669240558411182</c:v>
                </c:pt>
                <c:pt idx="510">
                  <c:v>-49.727811597042297</c:v>
                </c:pt>
                <c:pt idx="511">
                  <c:v>-49.786189047381953</c:v>
                </c:pt>
                <c:pt idx="512">
                  <c:v>-49.844374140272421</c:v>
                </c:pt>
                <c:pt idx="513">
                  <c:v>-49.902368095221448</c:v>
                </c:pt>
                <c:pt idx="514">
                  <c:v>-49.960172120539106</c:v>
                </c:pt>
                <c:pt idx="515">
                  <c:v>-50.017787413472647</c:v>
                </c:pt>
                <c:pt idx="516">
                  <c:v>-50.075215160339255</c:v>
                </c:pt>
                <c:pt idx="517">
                  <c:v>-50.132456536656832</c:v>
                </c:pt>
                <c:pt idx="518">
                  <c:v>-50.189512707272748</c:v>
                </c:pt>
                <c:pt idx="519">
                  <c:v>-50.246384826490768</c:v>
                </c:pt>
                <c:pt idx="520">
                  <c:v>-50.303074038195973</c:v>
                </c:pt>
                <c:pt idx="521">
                  <c:v>-50.35958147597789</c:v>
                </c:pt>
                <c:pt idx="522">
                  <c:v>-50.415908263251836</c:v>
                </c:pt>
                <c:pt idx="523">
                  <c:v>-50.472055513378336</c:v>
                </c:pt>
                <c:pt idx="524">
                  <c:v>-50.528024329780898</c:v>
                </c:pt>
                <c:pt idx="525">
                  <c:v>-50.583815806061992</c:v>
                </c:pt>
                <c:pt idx="526">
                  <c:v>-50.639431026117435</c:v>
                </c:pt>
                <c:pt idx="527">
                  <c:v>-50.694871064248915</c:v>
                </c:pt>
                <c:pt idx="528">
                  <c:v>-50.75013698527512</c:v>
                </c:pt>
                <c:pt idx="529">
                  <c:v>-50.805229844641019</c:v>
                </c:pt>
                <c:pt idx="530">
                  <c:v>-50.860150688525778</c:v>
                </c:pt>
                <c:pt idx="531">
                  <c:v>-50.914900553948968</c:v>
                </c:pt>
                <c:pt idx="532">
                  <c:v>-50.969480468875346</c:v>
                </c:pt>
                <c:pt idx="533">
                  <c:v>-51.023891452318033</c:v>
                </c:pt>
                <c:pt idx="534">
                  <c:v>-51.078134514440343</c:v>
                </c:pt>
                <c:pt idx="535">
                  <c:v>-51.132210656656127</c:v>
                </c:pt>
                <c:pt idx="536">
                  <c:v>-51.18612087172859</c:v>
                </c:pt>
                <c:pt idx="537">
                  <c:v>-51.2398661438679</c:v>
                </c:pt>
                <c:pt idx="538">
                  <c:v>-51.293447448827251</c:v>
                </c:pt>
                <c:pt idx="539">
                  <c:v>-51.346865753997683</c:v>
                </c:pt>
                <c:pt idx="540">
                  <c:v>-51.400122018501534</c:v>
                </c:pt>
                <c:pt idx="541">
                  <c:v>-51.45321719328463</c:v>
                </c:pt>
                <c:pt idx="542">
                  <c:v>-51.506152221207103</c:v>
                </c:pt>
                <c:pt idx="543">
                  <c:v>-51.558928037133072</c:v>
                </c:pt>
                <c:pt idx="544">
                  <c:v>-51.611545568018983</c:v>
                </c:pt>
                <c:pt idx="545">
                  <c:v>-51.664005733000799</c:v>
                </c:pt>
                <c:pt idx="546">
                  <c:v>-51.71630944347995</c:v>
                </c:pt>
                <c:pt idx="547">
                  <c:v>-51.76845760320812</c:v>
                </c:pt>
                <c:pt idx="548">
                  <c:v>-51.820451108370911</c:v>
                </c:pt>
                <c:pt idx="549">
                  <c:v>-51.872290847670314</c:v>
                </c:pt>
                <c:pt idx="550">
                  <c:v>-51.923977702406091</c:v>
                </c:pt>
                <c:pt idx="551">
                  <c:v>-51.975512546556061</c:v>
                </c:pt>
                <c:pt idx="552">
                  <c:v>-52.026896246855287</c:v>
                </c:pt>
                <c:pt idx="553">
                  <c:v>-52.078129662874204</c:v>
                </c:pt>
                <c:pt idx="554">
                  <c:v>-52.12921364709571</c:v>
                </c:pt>
                <c:pt idx="555">
                  <c:v>-52.180149044991211</c:v>
                </c:pt>
                <c:pt idx="556">
                  <c:v>-52.230936695095671</c:v>
                </c:pt>
                <c:pt idx="557">
                  <c:v>-52.281577429081658</c:v>
                </c:pt>
                <c:pt idx="558">
                  <c:v>-52.332072071832357</c:v>
                </c:pt>
                <c:pt idx="559">
                  <c:v>-52.382421441513756</c:v>
                </c:pt>
                <c:pt idx="560">
                  <c:v>-52.432626349645702</c:v>
                </c:pt>
                <c:pt idx="561">
                  <c:v>-52.482687601172174</c:v>
                </c:pt>
                <c:pt idx="562">
                  <c:v>-52.532605994530556</c:v>
                </c:pt>
                <c:pt idx="563">
                  <c:v>-52.582382321720004</c:v>
                </c:pt>
                <c:pt idx="564">
                  <c:v>-52.632017368368977</c:v>
                </c:pt>
                <c:pt idx="565">
                  <c:v>-52.681511913801835</c:v>
                </c:pt>
                <c:pt idx="566">
                  <c:v>-52.730866731104619</c:v>
                </c:pt>
                <c:pt idx="567">
                  <c:v>-52.780082587189924</c:v>
                </c:pt>
                <c:pt idx="568">
                  <c:v>-52.829160242861008</c:v>
                </c:pt>
                <c:pt idx="569">
                  <c:v>-52.878100452874989</c:v>
                </c:pt>
                <c:pt idx="570">
                  <c:v>-52.926903966005369</c:v>
                </c:pt>
                <c:pt idx="571">
                  <c:v>-52.975571525103582</c:v>
                </c:pt>
                <c:pt idx="572">
                  <c:v>-53.024103867159923</c:v>
                </c:pt>
                <c:pt idx="573">
                  <c:v>-53.072501723363573</c:v>
                </c:pt>
                <c:pt idx="574">
                  <c:v>-53.120765819161974</c:v>
                </c:pt>
                <c:pt idx="575">
                  <c:v>-53.168896874319344</c:v>
                </c:pt>
                <c:pt idx="576">
                  <c:v>-53.216895602974546</c:v>
                </c:pt>
                <c:pt idx="577">
                  <c:v>-53.264762713698218</c:v>
                </c:pt>
                <c:pt idx="578">
                  <c:v>-53.312498909549106</c:v>
                </c:pt>
                <c:pt idx="579">
                  <c:v>-53.360104888129769</c:v>
                </c:pt>
                <c:pt idx="580">
                  <c:v>-53.407581341641588</c:v>
                </c:pt>
                <c:pt idx="581">
                  <c:v>-53.454928956939078</c:v>
                </c:pt>
                <c:pt idx="582">
                  <c:v>-53.50214841558347</c:v>
                </c:pt>
                <c:pt idx="583">
                  <c:v>-53.54924039389573</c:v>
                </c:pt>
                <c:pt idx="584">
                  <c:v>-53.596205563008859</c:v>
                </c:pt>
                <c:pt idx="585">
                  <c:v>-53.643044588919565</c:v>
                </c:pt>
                <c:pt idx="586">
                  <c:v>-53.689758132539268</c:v>
                </c:pt>
                <c:pt idx="587">
                  <c:v>-53.736346849744592</c:v>
                </c:pt>
                <c:pt idx="588">
                  <c:v>-53.782811391427067</c:v>
                </c:pt>
                <c:pt idx="589">
                  <c:v>-53.829152403542359</c:v>
                </c:pt>
                <c:pt idx="590">
                  <c:v>-53.875370527158857</c:v>
                </c:pt>
                <c:pt idx="591">
                  <c:v>-53.921466398505721</c:v>
                </c:pt>
                <c:pt idx="592">
                  <c:v>-53.96744064902019</c:v>
                </c:pt>
                <c:pt idx="593">
                  <c:v>-54.013293905394534</c:v>
                </c:pt>
                <c:pt idx="594">
                  <c:v>-54.059026789622322</c:v>
                </c:pt>
                <c:pt idx="595">
                  <c:v>-54.104639919044075</c:v>
                </c:pt>
                <c:pt idx="596">
                  <c:v>-54.150133906392533</c:v>
                </c:pt>
                <c:pt idx="597">
                  <c:v>-54.19550935983726</c:v>
                </c:pt>
                <c:pt idx="598">
                  <c:v>-54.240766883028762</c:v>
                </c:pt>
                <c:pt idx="599">
                  <c:v>-54.285907075142063</c:v>
                </c:pt>
                <c:pt idx="600">
                  <c:v>-54.330930530919744</c:v>
                </c:pt>
                <c:pt idx="601">
                  <c:v>-54.375837840714574</c:v>
                </c:pt>
                <c:pt idx="602">
                  <c:v>-54.42062959053149</c:v>
                </c:pt>
                <c:pt idx="603">
                  <c:v>-54.4653063620692</c:v>
                </c:pt>
                <c:pt idx="604">
                  <c:v>-54.509868732761234</c:v>
                </c:pt>
                <c:pt idx="605">
                  <c:v>-54.554317275816544</c:v>
                </c:pt>
                <c:pt idx="606">
                  <c:v>-56.643160876329787</c:v>
                </c:pt>
                <c:pt idx="607">
                  <c:v>-58.50717858699219</c:v>
                </c:pt>
                <c:pt idx="608">
                  <c:v>-60.189730907618923</c:v>
                </c:pt>
                <c:pt idx="609">
                  <c:v>-61.722872110848613</c:v>
                </c:pt>
                <c:pt idx="610">
                  <c:v>-63.130921950418099</c:v>
                </c:pt>
                <c:pt idx="611">
                  <c:v>-64.432744844437337</c:v>
                </c:pt>
                <c:pt idx="612">
                  <c:v>-65.643255141694596</c:v>
                </c:pt>
                <c:pt idx="613">
                  <c:v>-66.774441062058813</c:v>
                </c:pt>
                <c:pt idx="614">
                  <c:v>-67.836079417171959</c:v>
                </c:pt>
                <c:pt idx="615">
                  <c:v>-68.836245975833506</c:v>
                </c:pt>
                <c:pt idx="616">
                  <c:v>-69.781687352109884</c:v>
                </c:pt>
                <c:pt idx="617">
                  <c:v>-70.678096936013304</c:v>
                </c:pt>
                <c:pt idx="618">
                  <c:v>-71.02404239296456</c:v>
                </c:pt>
                <c:pt idx="619">
                  <c:v>-71.363203870226116</c:v>
                </c:pt>
                <c:pt idx="620">
                  <c:v>-71.695843034954578</c:v>
                </c:pt>
                <c:pt idx="621">
                  <c:v>-72.022206684817633</c:v>
                </c:pt>
                <c:pt idx="622">
                  <c:v>-72.342527853238906</c:v>
                </c:pt>
                <c:pt idx="623">
                  <c:v>-72.657026813999764</c:v>
                </c:pt>
                <c:pt idx="624">
                  <c:v>-72.965911995968028</c:v>
                </c:pt>
                <c:pt idx="625">
                  <c:v>-73.269380817408006</c:v>
                </c:pt>
                <c:pt idx="626">
                  <c:v>-73.56762044818916</c:v>
                </c:pt>
                <c:pt idx="627">
                  <c:v>-73.860808507227972</c:v>
                </c:pt>
                <c:pt idx="628">
                  <c:v>-74.1491137016435</c:v>
                </c:pt>
                <c:pt idx="629">
                  <c:v>-74.432696413365548</c:v>
                </c:pt>
                <c:pt idx="630">
                  <c:v>-74.711709238287355</c:v>
                </c:pt>
                <c:pt idx="631">
                  <c:v>-74.986297482489547</c:v>
                </c:pt>
                <c:pt idx="632">
                  <c:v>-75.256599619567197</c:v>
                </c:pt>
                <c:pt idx="633">
                  <c:v>-75.522747712657974</c:v>
                </c:pt>
                <c:pt idx="634">
                  <c:v>-75.784867804387673</c:v>
                </c:pt>
                <c:pt idx="635">
                  <c:v>-76.043080277613072</c:v>
                </c:pt>
                <c:pt idx="636">
                  <c:v>-76.297500189545559</c:v>
                </c:pt>
                <c:pt idx="637">
                  <c:v>-76.548237581576629</c:v>
                </c:pt>
                <c:pt idx="638">
                  <c:v>-76.795397766893601</c:v>
                </c:pt>
                <c:pt idx="639">
                  <c:v>-77.039081597768373</c:v>
                </c:pt>
                <c:pt idx="640">
                  <c:v>-77.279385714217867</c:v>
                </c:pt>
                <c:pt idx="641">
                  <c:v>-77.51640277557226</c:v>
                </c:pt>
                <c:pt idx="642">
                  <c:v>-77.75022167634107</c:v>
                </c:pt>
                <c:pt idx="643">
                  <c:v>-77.98092774763758</c:v>
                </c:pt>
                <c:pt idx="644">
                  <c:v>-78.208602945305103</c:v>
                </c:pt>
                <c:pt idx="645">
                  <c:v>-78.433326025784893</c:v>
                </c:pt>
                <c:pt idx="646">
                  <c:v>-78.655172710671962</c:v>
                </c:pt>
                <c:pt idx="647">
                  <c:v>-78.874215840820355</c:v>
                </c:pt>
                <c:pt idx="648">
                  <c:v>-79.090525520784752</c:v>
                </c:pt>
                <c:pt idx="649">
                  <c:v>-79.304169254316307</c:v>
                </c:pt>
                <c:pt idx="650">
                  <c:v>-79.515212071569735</c:v>
                </c:pt>
                <c:pt idx="651">
                  <c:v>-79.723716648622471</c:v>
                </c:pt>
                <c:pt idx="652">
                  <c:v>-79.929743419857331</c:v>
                </c:pt>
                <c:pt idx="653">
                  <c:v>-80.133350683713672</c:v>
                </c:pt>
                <c:pt idx="654">
                  <c:v>-80.33459470227146</c:v>
                </c:pt>
                <c:pt idx="655">
                  <c:v>-80.533529795094992</c:v>
                </c:pt>
                <c:pt idx="656">
                  <c:v>-80.730208427728613</c:v>
                </c:pt>
                <c:pt idx="657">
                  <c:v>-80.924681295206625</c:v>
                </c:pt>
                <c:pt idx="658">
                  <c:v>-81.116997400910378</c:v>
                </c:pt>
                <c:pt idx="659">
                  <c:v>-81.307204131080439</c:v>
                </c:pt>
                <c:pt idx="660">
                  <c:v>-81.495347325268312</c:v>
                </c:pt>
                <c:pt idx="661">
                  <c:v>-81.681471342990037</c:v>
                </c:pt>
                <c:pt idx="662">
                  <c:v>-81.865619126825237</c:v>
                </c:pt>
                <c:pt idx="663">
                  <c:v>-82.047832262186589</c:v>
                </c:pt>
                <c:pt idx="664">
                  <c:v>-82.228151033968416</c:v>
                </c:pt>
                <c:pt idx="665">
                  <c:v>-82.406614480268217</c:v>
                </c:pt>
                <c:pt idx="666">
                  <c:v>-82.58326044336043</c:v>
                </c:pt>
                <c:pt idx="667">
                  <c:v>-82.75812561809002</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85.933218618692791</c:v>
                </c:pt>
                <c:pt idx="1">
                  <c:v>83.442395443996716</c:v>
                </c:pt>
                <c:pt idx="2">
                  <c:v>81.068347431433082</c:v>
                </c:pt>
                <c:pt idx="3">
                  <c:v>79.055594677960713</c:v>
                </c:pt>
                <c:pt idx="4">
                  <c:v>77.362200539995413</c:v>
                </c:pt>
                <c:pt idx="5">
                  <c:v>75.917582690298516</c:v>
                </c:pt>
                <c:pt idx="6">
                  <c:v>74.664671861364866</c:v>
                </c:pt>
                <c:pt idx="7">
                  <c:v>73.561598629668453</c:v>
                </c:pt>
                <c:pt idx="8">
                  <c:v>72.57790623264097</c:v>
                </c:pt>
                <c:pt idx="9">
                  <c:v>71.69113606555635</c:v>
                </c:pt>
                <c:pt idx="10">
                  <c:v>65.762777940645648</c:v>
                </c:pt>
                <c:pt idx="11">
                  <c:v>62.258693257831027</c:v>
                </c:pt>
                <c:pt idx="12">
                  <c:v>59.766667186741564</c:v>
                </c:pt>
                <c:pt idx="13">
                  <c:v>57.832167544185737</c:v>
                </c:pt>
                <c:pt idx="14">
                  <c:v>56.251162662451833</c:v>
                </c:pt>
                <c:pt idx="15">
                  <c:v>54.914441507947458</c:v>
                </c:pt>
                <c:pt idx="16">
                  <c:v>53.756694052212481</c:v>
                </c:pt>
                <c:pt idx="17">
                  <c:v>52.735746822105078</c:v>
                </c:pt>
                <c:pt idx="18">
                  <c:v>51.822783017792034</c:v>
                </c:pt>
                <c:pt idx="19">
                  <c:v>45.833001995424013</c:v>
                </c:pt>
                <c:pt idx="20">
                  <c:v>42.361103578918254</c:v>
                </c:pt>
                <c:pt idx="21">
                  <c:v>39.931936926941525</c:v>
                </c:pt>
                <c:pt idx="22">
                  <c:v>38.083001937607548</c:v>
                </c:pt>
                <c:pt idx="23">
                  <c:v>36.608189799853534</c:v>
                </c:pt>
                <c:pt idx="24">
                  <c:v>35.397469631423689</c:v>
                </c:pt>
                <c:pt idx="25">
                  <c:v>34.385082335083865</c:v>
                </c:pt>
                <c:pt idx="26">
                  <c:v>33.528537309207096</c:v>
                </c:pt>
                <c:pt idx="27">
                  <c:v>32.798754527739639</c:v>
                </c:pt>
                <c:pt idx="28">
                  <c:v>30.479928627572516</c:v>
                </c:pt>
                <c:pt idx="29">
                  <c:v>29.630216474623708</c:v>
                </c:pt>
                <c:pt idx="30">
                  <c:v>29.780938336604951</c:v>
                </c:pt>
                <c:pt idx="31">
                  <c:v>30.735669977760995</c:v>
                </c:pt>
                <c:pt idx="32">
                  <c:v>32.349516632116455</c:v>
                </c:pt>
                <c:pt idx="33">
                  <c:v>34.144120297662397</c:v>
                </c:pt>
                <c:pt idx="34">
                  <c:v>34.577930420869436</c:v>
                </c:pt>
                <c:pt idx="35">
                  <c:v>32.699233166003012</c:v>
                </c:pt>
                <c:pt idx="36">
                  <c:v>30.048736287697086</c:v>
                </c:pt>
                <c:pt idx="37">
                  <c:v>27.640595133108611</c:v>
                </c:pt>
                <c:pt idx="38">
                  <c:v>25.621936135068871</c:v>
                </c:pt>
                <c:pt idx="39">
                  <c:v>23.934123459795288</c:v>
                </c:pt>
                <c:pt idx="40">
                  <c:v>22.503463727103753</c:v>
                </c:pt>
                <c:pt idx="41">
                  <c:v>21.271460453769389</c:v>
                </c:pt>
                <c:pt idx="42">
                  <c:v>20.194938057739268</c:v>
                </c:pt>
                <c:pt idx="43">
                  <c:v>19.242196459032279</c:v>
                </c:pt>
                <c:pt idx="44">
                  <c:v>18.38967031389944</c:v>
                </c:pt>
                <c:pt idx="45">
                  <c:v>17.619542835706483</c:v>
                </c:pt>
                <c:pt idx="46">
                  <c:v>16.918109155468365</c:v>
                </c:pt>
                <c:pt idx="47">
                  <c:v>16.274654732002315</c:v>
                </c:pt>
                <c:pt idx="48">
                  <c:v>15.680677435437557</c:v>
                </c:pt>
                <c:pt idx="49">
                  <c:v>15.129339223803113</c:v>
                </c:pt>
                <c:pt idx="50">
                  <c:v>14.615073044892217</c:v>
                </c:pt>
                <c:pt idx="51">
                  <c:v>14.133296342862899</c:v>
                </c:pt>
                <c:pt idx="52">
                  <c:v>13.680199001597968</c:v>
                </c:pt>
                <c:pt idx="53">
                  <c:v>13.252584115393393</c:v>
                </c:pt>
                <c:pt idx="54">
                  <c:v>12.847746834305493</c:v>
                </c:pt>
                <c:pt idx="55">
                  <c:v>12.463381050669033</c:v>
                </c:pt>
                <c:pt idx="56">
                  <c:v>12.09750671887722</c:v>
                </c:pt>
                <c:pt idx="57">
                  <c:v>11.748412657932848</c:v>
                </c:pt>
                <c:pt idx="58">
                  <c:v>11.414611106512675</c:v>
                </c:pt>
                <c:pt idx="59">
                  <c:v>11.094801294747016</c:v>
                </c:pt>
                <c:pt idx="60">
                  <c:v>10.787840002656754</c:v>
                </c:pt>
                <c:pt idx="61">
                  <c:v>10.492717582374318</c:v>
                </c:pt>
                <c:pt idx="62">
                  <c:v>10.208538290085924</c:v>
                </c:pt>
                <c:pt idx="63">
                  <c:v>9.9345040447915718</c:v>
                </c:pt>
                <c:pt idx="64">
                  <c:v>9.6699009324100746</c:v>
                </c:pt>
                <c:pt idx="65">
                  <c:v>9.4140879248426028</c:v>
                </c:pt>
                <c:pt idx="66">
                  <c:v>9.1664873979643726</c:v>
                </c:pt>
                <c:pt idx="67">
                  <c:v>8.9265771198108226</c:v>
                </c:pt>
                <c:pt idx="68">
                  <c:v>8.693883447401209</c:v>
                </c:pt>
                <c:pt idx="69">
                  <c:v>8.4679755227287536</c:v>
                </c:pt>
                <c:pt idx="70">
                  <c:v>8.2484602991215219</c:v>
                </c:pt>
                <c:pt idx="71">
                  <c:v>8.0349782611573275</c:v>
                </c:pt>
                <c:pt idx="72">
                  <c:v>7.8271997266200142</c:v>
                </c:pt>
                <c:pt idx="73">
                  <c:v>7.6248216391278323</c:v>
                </c:pt>
                <c:pt idx="74">
                  <c:v>7.4275647761938579</c:v>
                </c:pt>
                <c:pt idx="75">
                  <c:v>7.2351713104631621</c:v>
                </c:pt>
                <c:pt idx="76">
                  <c:v>7.0474026723804251</c:v>
                </c:pt>
                <c:pt idx="77">
                  <c:v>6.864037671089358</c:v>
                </c:pt>
                <c:pt idx="78">
                  <c:v>6.6848708373505765</c:v>
                </c:pt>
                <c:pt idx="79">
                  <c:v>6.5097109579992942</c:v>
                </c:pt>
                <c:pt idx="80">
                  <c:v>6.3383797761929923</c:v>
                </c:pt>
                <c:pt idx="81">
                  <c:v>6.1707108356144067</c:v>
                </c:pt>
                <c:pt idx="82">
                  <c:v>6.0065484500504347</c:v>
                </c:pt>
                <c:pt idx="83">
                  <c:v>5.8457467824835518</c:v>
                </c:pt>
                <c:pt idx="84">
                  <c:v>5.688169020107936</c:v>
                </c:pt>
                <c:pt idx="85">
                  <c:v>5.533686633595007</c:v>
                </c:pt>
                <c:pt idx="86">
                  <c:v>5.3821787105463246</c:v>
                </c:pt>
                <c:pt idx="87">
                  <c:v>5.2335313544370816</c:v>
                </c:pt>
                <c:pt idx="88">
                  <c:v>5.0876371415124595</c:v>
                </c:pt>
                <c:pt idx="89">
                  <c:v>4.9443946290860277</c:v>
                </c:pt>
                <c:pt idx="90">
                  <c:v>4.8037079095324025</c:v>
                </c:pt>
                <c:pt idx="91">
                  <c:v>4.6654862049883237</c:v>
                </c:pt>
                <c:pt idx="92">
                  <c:v>4.5296434983963838</c:v>
                </c:pt>
                <c:pt idx="93">
                  <c:v>4.3960981970598425</c:v>
                </c:pt>
                <c:pt idx="94">
                  <c:v>4.2647728253376673</c:v>
                </c:pt>
                <c:pt idx="95">
                  <c:v>4.1355937435084629</c:v>
                </c:pt>
                <c:pt idx="96">
                  <c:v>4.0084908901778107</c:v>
                </c:pt>
                <c:pt idx="97">
                  <c:v>3.8833975459049537</c:v>
                </c:pt>
                <c:pt idx="98">
                  <c:v>3.7602501159869899</c:v>
                </c:pt>
                <c:pt idx="99">
                  <c:v>3.6389879305683164</c:v>
                </c:pt>
                <c:pt idx="100">
                  <c:v>3.5195530604435477</c:v>
                </c:pt>
                <c:pt idx="101">
                  <c:v>3.40189014709832</c:v>
                </c:pt>
                <c:pt idx="102">
                  <c:v>3.2859462456872968</c:v>
                </c:pt>
                <c:pt idx="103">
                  <c:v>3.1716706797847816</c:v>
                </c:pt>
                <c:pt idx="104">
                  <c:v>3.0590149068639199</c:v>
                </c:pt>
                <c:pt idx="105">
                  <c:v>2.947932393566588</c:v>
                </c:pt>
                <c:pt idx="106">
                  <c:v>2.8383784999204091</c:v>
                </c:pt>
                <c:pt idx="107">
                  <c:v>2.7303103717428954</c:v>
                </c:pt>
                <c:pt idx="108">
                  <c:v>2.623686840546839</c:v>
                </c:pt>
                <c:pt idx="109">
                  <c:v>2.5184683303274378</c:v>
                </c:pt>
                <c:pt idx="110">
                  <c:v>2.414616770670265</c:v>
                </c:pt>
                <c:pt idx="111">
                  <c:v>2.3120955156722283</c:v>
                </c:pt>
                <c:pt idx="112">
                  <c:v>2.210869268214251</c:v>
                </c:pt>
                <c:pt idx="113">
                  <c:v>2.1109040091671387</c:v>
                </c:pt>
                <c:pt idx="114">
                  <c:v>2.0121669311493875</c:v>
                </c:pt>
                <c:pt idx="115">
                  <c:v>1.9146263764901106</c:v>
                </c:pt>
                <c:pt idx="116">
                  <c:v>1.8182517790804942</c:v>
                </c:pt>
                <c:pt idx="117">
                  <c:v>1.7230136098250015</c:v>
                </c:pt>
                <c:pt idx="118">
                  <c:v>1.6288833254281478</c:v>
                </c:pt>
                <c:pt idx="119">
                  <c:v>1.5358333202752434</c:v>
                </c:pt>
                <c:pt idx="120">
                  <c:v>1.4438368811858007</c:v>
                </c:pt>
                <c:pt idx="121">
                  <c:v>1.3528681448365101</c:v>
                </c:pt>
                <c:pt idx="122">
                  <c:v>1.2629020576674694</c:v>
                </c:pt>
                <c:pt idx="123">
                  <c:v>1.1739143381004973</c:v>
                </c:pt>
                <c:pt idx="124">
                  <c:v>1.0858814409118935</c:v>
                </c:pt>
                <c:pt idx="125">
                  <c:v>0.99878052361467962</c:v>
                </c:pt>
                <c:pt idx="126">
                  <c:v>0.91258941471666621</c:v>
                </c:pt>
                <c:pt idx="127">
                  <c:v>0.82728658373097408</c:v>
                </c:pt>
                <c:pt idx="128">
                  <c:v>0.7428511128252655</c:v>
                </c:pt>
                <c:pt idx="129">
                  <c:v>0.65926267000431604</c:v>
                </c:pt>
                <c:pt idx="130">
                  <c:v>0.57650148372884369</c:v>
                </c:pt>
                <c:pt idx="131">
                  <c:v>0.49454831888025041</c:v>
                </c:pt>
                <c:pt idx="132">
                  <c:v>0.41338445398803281</c:v>
                </c:pt>
                <c:pt idx="133">
                  <c:v>0.33299165964234773</c:v>
                </c:pt>
                <c:pt idx="134">
                  <c:v>0.2533521780199553</c:v>
                </c:pt>
                <c:pt idx="135">
                  <c:v>0.1744487034568247</c:v>
                </c:pt>
                <c:pt idx="136">
                  <c:v>9.6264364005484632E-2</c:v>
                </c:pt>
                <c:pt idx="137">
                  <c:v>1.8782703919359406E-2</c:v>
                </c:pt>
                <c:pt idx="138">
                  <c:v>-5.8012332989484862E-2</c:v>
                </c:pt>
                <c:pt idx="139">
                  <c:v>-0.13413641916923863</c:v>
                </c:pt>
                <c:pt idx="140">
                  <c:v>-0.209604858370427</c:v>
                </c:pt>
                <c:pt idx="141">
                  <c:v>-0.28443259995467418</c:v>
                </c:pt>
                <c:pt idx="142">
                  <c:v>-0.3586342525106857</c:v>
                </c:pt>
                <c:pt idx="143">
                  <c:v>-0.43222409681535295</c:v>
                </c:pt>
                <c:pt idx="144">
                  <c:v>-0.50521609817542745</c:v>
                </c:pt>
                <c:pt idx="145">
                  <c:v>-0.57762391818283243</c:v>
                </c:pt>
                <c:pt idx="146">
                  <c:v>-0.64946092591459292</c:v>
                </c:pt>
                <c:pt idx="147">
                  <c:v>-0.72074020860659216</c:v>
                </c:pt>
                <c:pt idx="148">
                  <c:v>-0.79147458182800878</c:v>
                </c:pt>
                <c:pt idx="149">
                  <c:v>-0.86167659918236617</c:v>
                </c:pt>
                <c:pt idx="150">
                  <c:v>-0.93135856155875063</c:v>
                </c:pt>
                <c:pt idx="151">
                  <c:v>-1.000532525955879</c:v>
                </c:pt>
                <c:pt idx="152">
                  <c:v>-1.0692103139000624</c:v>
                </c:pt>
                <c:pt idx="153">
                  <c:v>-1.1374035194768752</c:v>
                </c:pt>
                <c:pt idx="154">
                  <c:v>-1.2051235169952252</c:v>
                </c:pt>
                <c:pt idx="155">
                  <c:v>-1.2723814683013477</c:v>
                </c:pt>
                <c:pt idx="156">
                  <c:v>-1.3391883297592782</c:v>
                </c:pt>
                <c:pt idx="157">
                  <c:v>-1.4055548589133651</c:v>
                </c:pt>
                <c:pt idx="158">
                  <c:v>-1.4714916208475324</c:v>
                </c:pt>
                <c:pt idx="159">
                  <c:v>-1.5370089942551051</c:v>
                </c:pt>
                <c:pt idx="160">
                  <c:v>-1.6021171772323084</c:v>
                </c:pt>
                <c:pt idx="161">
                  <c:v>-1.6668261928078425</c:v>
                </c:pt>
                <c:pt idx="162">
                  <c:v>-1.7311458942200417</c:v>
                </c:pt>
                <c:pt idx="163">
                  <c:v>-1.7950859699528889</c:v>
                </c:pt>
                <c:pt idx="164">
                  <c:v>-1.8586559485411658</c:v>
                </c:pt>
                <c:pt idx="165">
                  <c:v>-1.9218652031547219</c:v>
                </c:pt>
                <c:pt idx="166">
                  <c:v>-1.984722955971193</c:v>
                </c:pt>
                <c:pt idx="167">
                  <c:v>-2.0472382823461137</c:v>
                </c:pt>
                <c:pt idx="168">
                  <c:v>-2.1094201147888922</c:v>
                </c:pt>
                <c:pt idx="169">
                  <c:v>-2.1712772467525228</c:v>
                </c:pt>
                <c:pt idx="170">
                  <c:v>-2.2328183362448835</c:v>
                </c:pt>
                <c:pt idx="171">
                  <c:v>-2.2940519092686502</c:v>
                </c:pt>
                <c:pt idx="172">
                  <c:v>-2.3549863630969186</c:v>
                </c:pt>
                <c:pt idx="173">
                  <c:v>-2.4156299693909835</c:v>
                </c:pt>
                <c:pt idx="174">
                  <c:v>-2.4759908771665815</c:v>
                </c:pt>
                <c:pt idx="175">
                  <c:v>-2.5360771156146629</c:v>
                </c:pt>
                <c:pt idx="176">
                  <c:v>-2.5958965967822483</c:v>
                </c:pt>
                <c:pt idx="177">
                  <c:v>-2.6554571181190489</c:v>
                </c:pt>
                <c:pt idx="178">
                  <c:v>-2.7147663648949036</c:v>
                </c:pt>
                <c:pt idx="179">
                  <c:v>-2.773831912493125</c:v>
                </c:pt>
                <c:pt idx="180">
                  <c:v>-2.8326612285846036</c:v>
                </c:pt>
                <c:pt idx="181">
                  <c:v>-2.891261675187188</c:v>
                </c:pt>
                <c:pt idx="182">
                  <c:v>-2.9496405106148322</c:v>
                </c:pt>
                <c:pt idx="183">
                  <c:v>-3.0078048913208071</c:v>
                </c:pt>
                <c:pt idx="184">
                  <c:v>-3.0657618736390169</c:v>
                </c:pt>
                <c:pt idx="185">
                  <c:v>-3.1235184154273905</c:v>
                </c:pt>
                <c:pt idx="186">
                  <c:v>-3.1810813776172315</c:v>
                </c:pt>
                <c:pt idx="187">
                  <c:v>-3.238457525672132</c:v>
                </c:pt>
                <c:pt idx="188">
                  <c:v>-3.2956535309600259</c:v>
                </c:pt>
                <c:pt idx="189">
                  <c:v>-3.3526759720419581</c:v>
                </c:pt>
                <c:pt idx="190">
                  <c:v>-3.4095313358806774</c:v>
                </c:pt>
                <c:pt idx="191">
                  <c:v>-3.466226018972574</c:v>
                </c:pt>
                <c:pt idx="192">
                  <c:v>-3.5227663284058632</c:v>
                </c:pt>
                <c:pt idx="193">
                  <c:v>-3.5791584828482574</c:v>
                </c:pt>
                <c:pt idx="194">
                  <c:v>-3.6354086134670198</c:v>
                </c:pt>
                <c:pt idx="195">
                  <c:v>-3.6915227647842856</c:v>
                </c:pt>
                <c:pt idx="196">
                  <c:v>-3.7475068954705888</c:v>
                </c:pt>
                <c:pt idx="197">
                  <c:v>-3.8033668790791566</c:v>
                </c:pt>
                <c:pt idx="198">
                  <c:v>-3.8591085047239213</c:v>
                </c:pt>
                <c:pt idx="199">
                  <c:v>-3.9147374777036377</c:v>
                </c:pt>
                <c:pt idx="200">
                  <c:v>-3.9702594200748531</c:v>
                </c:pt>
                <c:pt idx="201">
                  <c:v>-4.0256798711761839</c:v>
                </c:pt>
                <c:pt idx="202">
                  <c:v>-4.081004288106322</c:v>
                </c:pt>
                <c:pt idx="203">
                  <c:v>-4.1362380461583168</c:v>
                </c:pt>
                <c:pt idx="204">
                  <c:v>-4.1913864392123763</c:v>
                </c:pt>
                <c:pt idx="205">
                  <c:v>-4.246454680089581</c:v>
                </c:pt>
                <c:pt idx="206">
                  <c:v>-4.3014479008688129</c:v>
                </c:pt>
                <c:pt idx="207">
                  <c:v>-4.356371153169043</c:v>
                </c:pt>
                <c:pt idx="208">
                  <c:v>-4.4112294083993531</c:v>
                </c:pt>
                <c:pt idx="209">
                  <c:v>-4.4660275579786379</c:v>
                </c:pt>
                <c:pt idx="210">
                  <c:v>-4.5207704135273206</c:v>
                </c:pt>
                <c:pt idx="211">
                  <c:v>-4.5754627070330569</c:v>
                </c:pt>
                <c:pt idx="212">
                  <c:v>-4.6301090909924447</c:v>
                </c:pt>
                <c:pt idx="213">
                  <c:v>-4.6847141385309135</c:v>
                </c:pt>
                <c:pt idx="214">
                  <c:v>-4.739282343502607</c:v>
                </c:pt>
                <c:pt idx="215">
                  <c:v>-4.7938181205722756</c:v>
                </c:pt>
                <c:pt idx="216">
                  <c:v>-4.8483258052811493</c:v>
                </c:pt>
                <c:pt idx="217">
                  <c:v>-4.9028096540985571</c:v>
                </c:pt>
                <c:pt idx="218">
                  <c:v>-4.9572738444611977</c:v>
                </c:pt>
                <c:pt idx="219">
                  <c:v>-5.0117224748018554</c:v>
                </c:pt>
                <c:pt idx="220">
                  <c:v>-5.0661595645693573</c:v>
                </c:pt>
                <c:pt idx="221">
                  <c:v>-5.1205890542414503</c:v>
                </c:pt>
                <c:pt idx="222">
                  <c:v>-5.1750148053323528</c:v>
                </c:pt>
                <c:pt idx="223">
                  <c:v>-5.2294406003965808</c:v>
                </c:pt>
                <c:pt idx="224">
                  <c:v>-5.2838701430307333</c:v>
                </c:pt>
                <c:pt idx="225">
                  <c:v>-5.3383070578748137</c:v>
                </c:pt>
                <c:pt idx="226">
                  <c:v>-5.8838226619743894</c:v>
                </c:pt>
                <c:pt idx="227">
                  <c:v>-6.4334772228225203</c:v>
                </c:pt>
                <c:pt idx="228">
                  <c:v>-6.9896010550581922</c:v>
                </c:pt>
                <c:pt idx="229">
                  <c:v>-7.5537643742914407</c:v>
                </c:pt>
                <c:pt idx="230">
                  <c:v>-8.126821240838769</c:v>
                </c:pt>
                <c:pt idx="231">
                  <c:v>-8.7089775051615845</c:v>
                </c:pt>
                <c:pt idx="232">
                  <c:v>-9.2998799728557877</c:v>
                </c:pt>
                <c:pt idx="233">
                  <c:v>-9.8987204734446301</c:v>
                </c:pt>
                <c:pt idx="234">
                  <c:v>-10.504346639720453</c:v>
                </c:pt>
                <c:pt idx="235">
                  <c:v>-11.115371044086896</c:v>
                </c:pt>
                <c:pt idx="236">
                  <c:v>-11.730271571221749</c:v>
                </c:pt>
                <c:pt idx="237">
                  <c:v>-12.347477979396697</c:v>
                </c:pt>
                <c:pt idx="238">
                  <c:v>-12.965441929273762</c:v>
                </c:pt>
                <c:pt idx="239">
                  <c:v>-13.58268987144446</c:v>
                </c:pt>
                <c:pt idx="240">
                  <c:v>-14.197859805517304</c:v>
                </c:pt>
                <c:pt idx="241">
                  <c:v>-14.809723963446375</c:v>
                </c:pt>
                <c:pt idx="242">
                  <c:v>-15.417199973288799</c:v>
                </c:pt>
                <c:pt idx="243">
                  <c:v>-16.019353145256527</c:v>
                </c:pt>
                <c:pt idx="244">
                  <c:v>-16.615392328798375</c:v>
                </c:pt>
                <c:pt idx="245">
                  <c:v>-17.204661442961775</c:v>
                </c:pt>
                <c:pt idx="246">
                  <c:v>-17.786628378560842</c:v>
                </c:pt>
                <c:pt idx="247">
                  <c:v>-18.360872573774657</c:v>
                </c:pt>
                <c:pt idx="248">
                  <c:v>-18.927072211179844</c:v>
                </c:pt>
                <c:pt idx="249">
                  <c:v>-19.484991689897214</c:v>
                </c:pt>
                <c:pt idx="250">
                  <c:v>-20.034469794146631</c:v>
                </c:pt>
                <c:pt idx="251">
                  <c:v>-20.575408804071095</c:v>
                </c:pt>
                <c:pt idx="252">
                  <c:v>-21.107764667679824</c:v>
                </c:pt>
                <c:pt idx="253">
                  <c:v>-21.631538264695894</c:v>
                </c:pt>
                <c:pt idx="254">
                  <c:v>-22.146767735027414</c:v>
                </c:pt>
                <c:pt idx="255">
                  <c:v>-22.653521808781111</c:v>
                </c:pt>
                <c:pt idx="256">
                  <c:v>-23.151894054909118</c:v>
                </c:pt>
                <c:pt idx="257">
                  <c:v>-23.64199795681624</c:v>
                </c:pt>
                <c:pt idx="258">
                  <c:v>-24.123962721859556</c:v>
                </c:pt>
                <c:pt idx="259">
                  <c:v>-24.597929734943826</c:v>
                </c:pt>
                <c:pt idx="260">
                  <c:v>-25.064049572434762</c:v>
                </c:pt>
                <c:pt idx="261">
                  <c:v>-25.52247950005151</c:v>
                </c:pt>
                <c:pt idx="262">
                  <c:v>-25.973381386372235</c:v>
                </c:pt>
                <c:pt idx="263">
                  <c:v>-26.416919971521587</c:v>
                </c:pt>
                <c:pt idx="264">
                  <c:v>-26.853261438158682</c:v>
                </c:pt>
                <c:pt idx="265">
                  <c:v>-27.282572238854712</c:v>
                </c:pt>
                <c:pt idx="266">
                  <c:v>-27.705018140250441</c:v>
                </c:pt>
                <c:pt idx="267">
                  <c:v>-28.120763449991287</c:v>
                </c:pt>
                <c:pt idx="268">
                  <c:v>-28.529970397369713</c:v>
                </c:pt>
                <c:pt idx="269">
                  <c:v>-28.932798642904011</c:v>
                </c:pt>
                <c:pt idx="270">
                  <c:v>-29.329404895803211</c:v>
                </c:pt>
                <c:pt idx="271">
                  <c:v>-29.719942621471041</c:v>
                </c:pt>
                <c:pt idx="272">
                  <c:v>-30.104561823946256</c:v>
                </c:pt>
                <c:pt idx="273">
                  <c:v>-30.483408890520884</c:v>
                </c:pt>
                <c:pt idx="274">
                  <c:v>-30.856626487773703</c:v>
                </c:pt>
                <c:pt idx="275">
                  <c:v>-31.224353499952343</c:v>
                </c:pt>
                <c:pt idx="276">
                  <c:v>-31.586725002075909</c:v>
                </c:pt>
                <c:pt idx="277">
                  <c:v>-31.943872261348019</c:v>
                </c:pt>
                <c:pt idx="278">
                  <c:v>-32.295922761500783</c:v>
                </c:pt>
                <c:pt idx="279">
                  <c:v>-32.64300024556109</c:v>
                </c:pt>
                <c:pt idx="280">
                  <c:v>-32.985224773265884</c:v>
                </c:pt>
                <c:pt idx="281">
                  <c:v>-33.322712789973622</c:v>
                </c:pt>
                <c:pt idx="282">
                  <c:v>-33.65557720444275</c:v>
                </c:pt>
                <c:pt idx="283">
                  <c:v>-33.983927473288574</c:v>
                </c:pt>
                <c:pt idx="284">
                  <c:v>-34.307869690302283</c:v>
                </c:pt>
                <c:pt idx="285">
                  <c:v>-34.627506679128118</c:v>
                </c:pt>
                <c:pt idx="286">
                  <c:v>-34.942938088058526</c:v>
                </c:pt>
                <c:pt idx="287">
                  <c:v>-35.254260485928356</c:v>
                </c:pt>
                <c:pt idx="288">
                  <c:v>-35.561567458275384</c:v>
                </c:pt>
                <c:pt idx="289">
                  <c:v>-35.864949703090751</c:v>
                </c:pt>
                <c:pt idx="290">
                  <c:v>-36.164495125614096</c:v>
                </c:pt>
                <c:pt idx="291">
                  <c:v>-36.460288931737836</c:v>
                </c:pt>
                <c:pt idx="292">
                  <c:v>-36.752413719677385</c:v>
                </c:pt>
                <c:pt idx="293">
                  <c:v>-37.040949569640532</c:v>
                </c:pt>
                <c:pt idx="294">
                  <c:v>-37.3259741312934</c:v>
                </c:pt>
                <c:pt idx="295">
                  <c:v>-37.607562708873907</c:v>
                </c:pt>
                <c:pt idx="296">
                  <c:v>-37.885788343847494</c:v>
                </c:pt>
                <c:pt idx="297">
                  <c:v>-38.16072189503663</c:v>
                </c:pt>
                <c:pt idx="298">
                  <c:v>-38.432432116185836</c:v>
                </c:pt>
                <c:pt idx="299">
                  <c:v>-38.700985730948368</c:v>
                </c:pt>
                <c:pt idx="300">
                  <c:v>-38.966447505300891</c:v>
                </c:pt>
                <c:pt idx="301">
                  <c:v>-39.228880317408979</c:v>
                </c:pt>
                <c:pt idx="302">
                  <c:v>-39.488345224978779</c:v>
                </c:pt>
                <c:pt idx="303">
                  <c:v>-39.744901530141121</c:v>
                </c:pt>
                <c:pt idx="304">
                  <c:v>-39.998606841921877</c:v>
                </c:pt>
                <c:pt idx="305">
                  <c:v>-40.249517136358847</c:v>
                </c:pt>
                <c:pt idx="306">
                  <c:v>-40.497686814329874</c:v>
                </c:pt>
                <c:pt idx="307">
                  <c:v>-40.743168757160227</c:v>
                </c:pt>
                <c:pt idx="308">
                  <c:v>-40.986014380079496</c:v>
                </c:pt>
                <c:pt idx="309">
                  <c:v>-41.226273683599302</c:v>
                </c:pt>
                <c:pt idx="310">
                  <c:v>-41.463995302884001</c:v>
                </c:pt>
                <c:pt idx="311">
                  <c:v>-41.699226555186193</c:v>
                </c:pt>
                <c:pt idx="312">
                  <c:v>-41.932013485418381</c:v>
                </c:pt>
                <c:pt idx="313">
                  <c:v>-42.162400909931335</c:v>
                </c:pt>
                <c:pt idx="314">
                  <c:v>-42.390432458568164</c:v>
                </c:pt>
                <c:pt idx="315">
                  <c:v>-42.616150615061713</c:v>
                </c:pt>
                <c:pt idx="316">
                  <c:v>-42.839596755841484</c:v>
                </c:pt>
                <c:pt idx="317">
                  <c:v>-43.060811187313739</c:v>
                </c:pt>
                <c:pt idx="318">
                  <c:v>-43.279833181677418</c:v>
                </c:pt>
                <c:pt idx="319">
                  <c:v>-43.496701011335617</c:v>
                </c:pt>
                <c:pt idx="320">
                  <c:v>-43.711451981961005</c:v>
                </c:pt>
                <c:pt idx="321">
                  <c:v>-43.924122464271008</c:v>
                </c:pt>
                <c:pt idx="322">
                  <c:v>-44.134747924566852</c:v>
                </c:pt>
                <c:pt idx="323">
                  <c:v>-44.343362954088292</c:v>
                </c:pt>
                <c:pt idx="324">
                  <c:v>-44.550001297233869</c:v>
                </c:pt>
                <c:pt idx="325">
                  <c:v>-44.75469587869469</c:v>
                </c:pt>
                <c:pt idx="326">
                  <c:v>-44.957478829547455</c:v>
                </c:pt>
                <c:pt idx="327">
                  <c:v>-45.158381512350957</c:v>
                </c:pt>
                <c:pt idx="328">
                  <c:v>-45.357434545288065</c:v>
                </c:pt>
                <c:pt idx="329">
                  <c:v>-45.554667825393686</c:v>
                </c:pt>
                <c:pt idx="330">
                  <c:v>-45.750110550907252</c:v>
                </c:pt>
                <c:pt idx="331">
                  <c:v>-45.943791242786787</c:v>
                </c:pt>
                <c:pt idx="332">
                  <c:v>-46.135737765419918</c:v>
                </c:pt>
                <c:pt idx="333">
                  <c:v>-46.325977346565502</c:v>
                </c:pt>
                <c:pt idx="334">
                  <c:v>-46.514536596558436</c:v>
                </c:pt>
                <c:pt idx="335">
                  <c:v>-46.701441526808281</c:v>
                </c:pt>
                <c:pt idx="336">
                  <c:v>-46.886717567621481</c:v>
                </c:pt>
                <c:pt idx="337">
                  <c:v>-47.070389585375111</c:v>
                </c:pt>
                <c:pt idx="338">
                  <c:v>-47.252481899069359</c:v>
                </c:pt>
                <c:pt idx="339">
                  <c:v>-47.433018296284352</c:v>
                </c:pt>
                <c:pt idx="340">
                  <c:v>-47.612022048565819</c:v>
                </c:pt>
                <c:pt idx="341">
                  <c:v>-47.789515926263498</c:v>
                </c:pt>
                <c:pt idx="342">
                  <c:v>-47.965522212844135</c:v>
                </c:pt>
                <c:pt idx="343">
                  <c:v>-48.140062718701053</c:v>
                </c:pt>
                <c:pt idx="344">
                  <c:v>-48.313158794480501</c:v>
                </c:pt>
                <c:pt idx="345">
                  <c:v>-48.484831343944393</c:v>
                </c:pt>
                <c:pt idx="346">
                  <c:v>-48.655100836388257</c:v>
                </c:pt>
                <c:pt idx="347">
                  <c:v>-48.823987318632078</c:v>
                </c:pt>
                <c:pt idx="348">
                  <c:v>-48.991510426601231</c:v>
                </c:pt>
                <c:pt idx="349">
                  <c:v>-49.157689396513987</c:v>
                </c:pt>
                <c:pt idx="350">
                  <c:v>-49.32254307569071</c:v>
                </c:pt>
                <c:pt idx="351">
                  <c:v>-49.486089933000329</c:v>
                </c:pt>
                <c:pt idx="352">
                  <c:v>-49.648348068957667</c:v>
                </c:pt>
                <c:pt idx="353">
                  <c:v>-49.809335225485867</c:v>
                </c:pt>
                <c:pt idx="354">
                  <c:v>-49.96906879535652</c:v>
                </c:pt>
                <c:pt idx="355">
                  <c:v>-50.127565831320155</c:v>
                </c:pt>
                <c:pt idx="356">
                  <c:v>-50.284843054939032</c:v>
                </c:pt>
                <c:pt idx="357">
                  <c:v>-50.440916865133659</c:v>
                </c:pt>
                <c:pt idx="358">
                  <c:v>-50.595803346453863</c:v>
                </c:pt>
                <c:pt idx="359">
                  <c:v>-50.749518277084931</c:v>
                </c:pt>
                <c:pt idx="360">
                  <c:v>-50.902077136598933</c:v>
                </c:pt>
                <c:pt idx="361">
                  <c:v>-51.053495113460585</c:v>
                </c:pt>
                <c:pt idx="362">
                  <c:v>-51.203787112297064</c:v>
                </c:pt>
                <c:pt idx="363">
                  <c:v>-51.35296776094043</c:v>
                </c:pt>
                <c:pt idx="364">
                  <c:v>-51.501051417251063</c:v>
                </c:pt>
                <c:pt idx="365">
                  <c:v>-51.648052175730285</c:v>
                </c:pt>
                <c:pt idx="366">
                  <c:v>-51.793983873929804</c:v>
                </c:pt>
                <c:pt idx="367">
                  <c:v>-51.938860098665451</c:v>
                </c:pt>
                <c:pt idx="368">
                  <c:v>-52.082694192042176</c:v>
                </c:pt>
                <c:pt idx="369">
                  <c:v>-52.2254992572974</c:v>
                </c:pt>
                <c:pt idx="370">
                  <c:v>-52.367288164468889</c:v>
                </c:pt>
                <c:pt idx="371">
                  <c:v>-52.508073555893695</c:v>
                </c:pt>
                <c:pt idx="372">
                  <c:v>-52.647867851544063</c:v>
                </c:pt>
                <c:pt idx="373">
                  <c:v>-52.786683254206011</c:v>
                </c:pt>
                <c:pt idx="374">
                  <c:v>-52.924531754506248</c:v>
                </c:pt>
                <c:pt idx="375">
                  <c:v>-53.061425135792618</c:v>
                </c:pt>
                <c:pt idx="376">
                  <c:v>-53.197374978873285</c:v>
                </c:pt>
                <c:pt idx="377">
                  <c:v>-53.332392666619377</c:v>
                </c:pt>
                <c:pt idx="378">
                  <c:v>-53.466489388436003</c:v>
                </c:pt>
                <c:pt idx="379">
                  <c:v>-53.599676144605972</c:v>
                </c:pt>
                <c:pt idx="380">
                  <c:v>-53.731963750510701</c:v>
                </c:pt>
                <c:pt idx="381">
                  <c:v>-53.863362840732364</c:v>
                </c:pt>
                <c:pt idx="382">
                  <c:v>-53.99388387304132</c:v>
                </c:pt>
                <c:pt idx="383">
                  <c:v>-54.12353713227273</c:v>
                </c:pt>
                <c:pt idx="384">
                  <c:v>-54.252332734095994</c:v>
                </c:pt>
                <c:pt idx="385">
                  <c:v>-54.380280628680559</c:v>
                </c:pt>
                <c:pt idx="386">
                  <c:v>-54.507390604261595</c:v>
                </c:pt>
                <c:pt idx="387">
                  <c:v>-54.633672290608793</c:v>
                </c:pt>
                <c:pt idx="388">
                  <c:v>-54.759135162401414</c:v>
                </c:pt>
                <c:pt idx="389">
                  <c:v>-54.883788542512676</c:v>
                </c:pt>
                <c:pt idx="390">
                  <c:v>-55.007641605206487</c:v>
                </c:pt>
                <c:pt idx="391">
                  <c:v>-55.130703379249098</c:v>
                </c:pt>
                <c:pt idx="392">
                  <c:v>-55.252982750938841</c:v>
                </c:pt>
                <c:pt idx="393">
                  <c:v>-55.374488467055983</c:v>
                </c:pt>
                <c:pt idx="394">
                  <c:v>-55.495229137735819</c:v>
                </c:pt>
                <c:pt idx="395">
                  <c:v>-55.615213239266922</c:v>
                </c:pt>
                <c:pt idx="396">
                  <c:v>-55.734449116817338</c:v>
                </c:pt>
                <c:pt idx="397">
                  <c:v>-55.852944987090531</c:v>
                </c:pt>
                <c:pt idx="398">
                  <c:v>-55.970708940913703</c:v>
                </c:pt>
                <c:pt idx="399">
                  <c:v>-56.087748945760183</c:v>
                </c:pt>
                <c:pt idx="400">
                  <c:v>-56.20407284820827</c:v>
                </c:pt>
                <c:pt idx="401">
                  <c:v>-56.319688376338071</c:v>
                </c:pt>
                <c:pt idx="402">
                  <c:v>-56.434603142068731</c:v>
                </c:pt>
                <c:pt idx="403">
                  <c:v>-56.548824643437278</c:v>
                </c:pt>
                <c:pt idx="404">
                  <c:v>-56.662360266821366</c:v>
                </c:pt>
                <c:pt idx="405">
                  <c:v>-56.77521728910726</c:v>
                </c:pt>
                <c:pt idx="406">
                  <c:v>-56.887402879804782</c:v>
                </c:pt>
                <c:pt idx="407">
                  <c:v>-56.998924103110895</c:v>
                </c:pt>
                <c:pt idx="408">
                  <c:v>-57.10978791992332</c:v>
                </c:pt>
                <c:pt idx="409">
                  <c:v>-57.2200011898057</c:v>
                </c:pt>
                <c:pt idx="410">
                  <c:v>-57.329570672905625</c:v>
                </c:pt>
                <c:pt idx="411">
                  <c:v>-57.438503031827167</c:v>
                </c:pt>
                <c:pt idx="412">
                  <c:v>-57.546804833458893</c:v>
                </c:pt>
                <c:pt idx="413">
                  <c:v>-57.654482550758857</c:v>
                </c:pt>
                <c:pt idx="414">
                  <c:v>-57.761542564497795</c:v>
                </c:pt>
                <c:pt idx="415">
                  <c:v>-57.867991164961545</c:v>
                </c:pt>
                <c:pt idx="416">
                  <c:v>-57.97383455361409</c:v>
                </c:pt>
                <c:pt idx="417">
                  <c:v>-58.079078844722119</c:v>
                </c:pt>
                <c:pt idx="418">
                  <c:v>-58.183730066942346</c:v>
                </c:pt>
                <c:pt idx="419">
                  <c:v>-58.287794164872523</c:v>
                </c:pt>
                <c:pt idx="420">
                  <c:v>-58.3912770005672</c:v>
                </c:pt>
                <c:pt idx="421">
                  <c:v>-58.494184355019172</c:v>
                </c:pt>
                <c:pt idx="422">
                  <c:v>-58.596521929607661</c:v>
                </c:pt>
                <c:pt idx="423">
                  <c:v>-58.698295347513998</c:v>
                </c:pt>
                <c:pt idx="424">
                  <c:v>-58.799510155105764</c:v>
                </c:pt>
                <c:pt idx="425">
                  <c:v>-58.900171823290265</c:v>
                </c:pt>
                <c:pt idx="426">
                  <c:v>-59.000285748838181</c:v>
                </c:pt>
                <c:pt idx="427">
                  <c:v>-59.099857255678039</c:v>
                </c:pt>
                <c:pt idx="428">
                  <c:v>-59.198891596162547</c:v>
                </c:pt>
                <c:pt idx="429">
                  <c:v>-59.297393952307274</c:v>
                </c:pt>
                <c:pt idx="430">
                  <c:v>-59.395369437002614</c:v>
                </c:pt>
                <c:pt idx="431">
                  <c:v>-59.492823095199583</c:v>
                </c:pt>
                <c:pt idx="432">
                  <c:v>-59.589759905070288</c:v>
                </c:pt>
                <c:pt idx="433">
                  <c:v>-59.686184779143538</c:v>
                </c:pt>
                <c:pt idx="434">
                  <c:v>-59.782102565416452</c:v>
                </c:pt>
                <c:pt idx="435">
                  <c:v>-59.877518048442539</c:v>
                </c:pt>
                <c:pt idx="436">
                  <c:v>-59.972435950396836</c:v>
                </c:pt>
                <c:pt idx="437">
                  <c:v>-60.066860932118892</c:v>
                </c:pt>
                <c:pt idx="438">
                  <c:v>-60.160797594133875</c:v>
                </c:pt>
                <c:pt idx="439">
                  <c:v>-60.25425047765264</c:v>
                </c:pt>
                <c:pt idx="440">
                  <c:v>-60.347224065551003</c:v>
                </c:pt>
                <c:pt idx="441">
                  <c:v>-60.439722783329053</c:v>
                </c:pt>
                <c:pt idx="442">
                  <c:v>-60.531751000050704</c:v>
                </c:pt>
                <c:pt idx="443">
                  <c:v>-60.623313029264246</c:v>
                </c:pt>
                <c:pt idx="444">
                  <c:v>-60.714413129904081</c:v>
                </c:pt>
                <c:pt idx="445">
                  <c:v>-60.80505550717443</c:v>
                </c:pt>
                <c:pt idx="446">
                  <c:v>-60.895244313415155</c:v>
                </c:pt>
                <c:pt idx="447">
                  <c:v>-60.984983648950319</c:v>
                </c:pt>
                <c:pt idx="448">
                  <c:v>-61.074277562919889</c:v>
                </c:pt>
                <c:pt idx="449">
                  <c:v>-61.163130054094815</c:v>
                </c:pt>
                <c:pt idx="450">
                  <c:v>-61.251545071676226</c:v>
                </c:pt>
                <c:pt idx="451">
                  <c:v>-61.339526516078706</c:v>
                </c:pt>
                <c:pt idx="452">
                  <c:v>-61.427078239698361</c:v>
                </c:pt>
                <c:pt idx="453">
                  <c:v>-61.514204047665935</c:v>
                </c:pt>
                <c:pt idx="454">
                  <c:v>-61.600907698585239</c:v>
                </c:pt>
                <c:pt idx="455">
                  <c:v>-61.687192905257355</c:v>
                </c:pt>
                <c:pt idx="456">
                  <c:v>-61.773063335390916</c:v>
                </c:pt>
                <c:pt idx="457">
                  <c:v>-61.858522612298721</c:v>
                </c:pt>
                <c:pt idx="458">
                  <c:v>-61.943574315581188</c:v>
                </c:pt>
                <c:pt idx="459">
                  <c:v>-62.028221981796648</c:v>
                </c:pt>
                <c:pt idx="460">
                  <c:v>-62.112469105119075</c:v>
                </c:pt>
                <c:pt idx="461">
                  <c:v>-62.196319137983416</c:v>
                </c:pt>
                <c:pt idx="462">
                  <c:v>-62.279775491718738</c:v>
                </c:pt>
                <c:pt idx="463">
                  <c:v>-62.362841537169629</c:v>
                </c:pt>
                <c:pt idx="464">
                  <c:v>-62.445520605305958</c:v>
                </c:pt>
                <c:pt idx="465">
                  <c:v>-62.527815987821391</c:v>
                </c:pt>
                <c:pt idx="466">
                  <c:v>-62.609730937720791</c:v>
                </c:pt>
                <c:pt idx="467">
                  <c:v>-62.691268669896864</c:v>
                </c:pt>
                <c:pt idx="468">
                  <c:v>-62.772432361696211</c:v>
                </c:pt>
                <c:pt idx="469">
                  <c:v>-62.853225153475087</c:v>
                </c:pt>
                <c:pt idx="470">
                  <c:v>-62.933650149144938</c:v>
                </c:pt>
                <c:pt idx="471">
                  <c:v>-63.0137104167083</c:v>
                </c:pt>
                <c:pt idx="472">
                  <c:v>-63.093408988784731</c:v>
                </c:pt>
                <c:pt idx="473">
                  <c:v>-63.172748863127509</c:v>
                </c:pt>
                <c:pt idx="474">
                  <c:v>-63.251733003131008</c:v>
                </c:pt>
                <c:pt idx="475">
                  <c:v>-63.330364338329026</c:v>
                </c:pt>
                <c:pt idx="476">
                  <c:v>-63.408645764884241</c:v>
                </c:pt>
                <c:pt idx="477">
                  <c:v>-63.486580146069038</c:v>
                </c:pt>
                <c:pt idx="478">
                  <c:v>-63.564170312737815</c:v>
                </c:pt>
                <c:pt idx="479">
                  <c:v>-63.641419063791062</c:v>
                </c:pt>
                <c:pt idx="480">
                  <c:v>-63.718329166631207</c:v>
                </c:pt>
                <c:pt idx="481">
                  <c:v>-63.794903357610615</c:v>
                </c:pt>
                <c:pt idx="482">
                  <c:v>-63.871144342471744</c:v>
                </c:pt>
                <c:pt idx="483">
                  <c:v>-63.947054796779696</c:v>
                </c:pt>
                <c:pt idx="484">
                  <c:v>-64.022637366347283</c:v>
                </c:pt>
                <c:pt idx="485">
                  <c:v>-64.097894667652838</c:v>
                </c:pt>
                <c:pt idx="486">
                  <c:v>-64.172829288250767</c:v>
                </c:pt>
                <c:pt idx="487">
                  <c:v>-64.247443787175257</c:v>
                </c:pt>
                <c:pt idx="488">
                  <c:v>-64.321740695336899</c:v>
                </c:pt>
                <c:pt idx="489">
                  <c:v>-64.395722515912837</c:v>
                </c:pt>
                <c:pt idx="490">
                  <c:v>-64.469391724730031</c:v>
                </c:pt>
                <c:pt idx="491">
                  <c:v>-64.5427507706424</c:v>
                </c:pt>
                <c:pt idx="492">
                  <c:v>-64.615802075901357</c:v>
                </c:pt>
                <c:pt idx="493">
                  <c:v>-64.68854803652026</c:v>
                </c:pt>
                <c:pt idx="494">
                  <c:v>-64.760991022632837</c:v>
                </c:pt>
                <c:pt idx="495">
                  <c:v>-64.833133378845588</c:v>
                </c:pt>
                <c:pt idx="496">
                  <c:v>-64.904977424584331</c:v>
                </c:pt>
                <c:pt idx="497">
                  <c:v>-64.976525454435176</c:v>
                </c:pt>
                <c:pt idx="498">
                  <c:v>-65.047779738479676</c:v>
                </c:pt>
                <c:pt idx="499">
                  <c:v>-65.118742522624643</c:v>
                </c:pt>
                <c:pt idx="500">
                  <c:v>-65.189416028926559</c:v>
                </c:pt>
                <c:pt idx="501">
                  <c:v>-65.259802455910616</c:v>
                </c:pt>
                <c:pt idx="502">
                  <c:v>-65.329903978884715</c:v>
                </c:pt>
                <c:pt idx="503">
                  <c:v>-65.399722750248245</c:v>
                </c:pt>
                <c:pt idx="504">
                  <c:v>-65.469260899795955</c:v>
                </c:pt>
                <c:pt idx="505">
                  <c:v>-65.538520535016971</c:v>
                </c:pt>
                <c:pt idx="506">
                  <c:v>-65.607503741388939</c:v>
                </c:pt>
                <c:pt idx="507">
                  <c:v>-65.676212582667532</c:v>
                </c:pt>
                <c:pt idx="508">
                  <c:v>-65.744649101171348</c:v>
                </c:pt>
                <c:pt idx="509">
                  <c:v>-65.812815318062206</c:v>
                </c:pt>
                <c:pt idx="510">
                  <c:v>-65.880713233621137</c:v>
                </c:pt>
                <c:pt idx="511">
                  <c:v>-65.948344827519875</c:v>
                </c:pt>
                <c:pt idx="512">
                  <c:v>-66.01571205908823</c:v>
                </c:pt>
                <c:pt idx="513">
                  <c:v>-66.082816867577122</c:v>
                </c:pt>
                <c:pt idx="514">
                  <c:v>-66.149661172417623</c:v>
                </c:pt>
                <c:pt idx="515">
                  <c:v>-66.216246873475853</c:v>
                </c:pt>
                <c:pt idx="516">
                  <c:v>-66.282575851304003</c:v>
                </c:pt>
                <c:pt idx="517">
                  <c:v>-66.348649967387487</c:v>
                </c:pt>
                <c:pt idx="518">
                  <c:v>-66.414471064388124</c:v>
                </c:pt>
                <c:pt idx="519">
                  <c:v>-66.480040966383726</c:v>
                </c:pt>
                <c:pt idx="520">
                  <c:v>-66.545361479103988</c:v>
                </c:pt>
                <c:pt idx="521">
                  <c:v>-66.610434390162695</c:v>
                </c:pt>
                <c:pt idx="522">
                  <c:v>-66.675261469286397</c:v>
                </c:pt>
                <c:pt idx="523">
                  <c:v>-66.739844468539744</c:v>
                </c:pt>
                <c:pt idx="524">
                  <c:v>-66.804185122547096</c:v>
                </c:pt>
                <c:pt idx="525">
                  <c:v>-66.868285148711195</c:v>
                </c:pt>
                <c:pt idx="526">
                  <c:v>-66.932146247428093</c:v>
                </c:pt>
                <c:pt idx="527">
                  <c:v>-66.99577010229919</c:v>
                </c:pt>
                <c:pt idx="528">
                  <c:v>-67.059158380339966</c:v>
                </c:pt>
                <c:pt idx="529">
                  <c:v>-67.122312732185506</c:v>
                </c:pt>
                <c:pt idx="530">
                  <c:v>-67.185234792293059</c:v>
                </c:pt>
                <c:pt idx="531">
                  <c:v>-67.247926179141643</c:v>
                </c:pt>
                <c:pt idx="532">
                  <c:v>-67.310388495428441</c:v>
                </c:pt>
                <c:pt idx="533">
                  <c:v>-67.37262332826262</c:v>
                </c:pt>
                <c:pt idx="534">
                  <c:v>-67.434632249355985</c:v>
                </c:pt>
                <c:pt idx="535">
                  <c:v>-67.496416815211063</c:v>
                </c:pt>
                <c:pt idx="536">
                  <c:v>-67.557978567306222</c:v>
                </c:pt>
                <c:pt idx="537">
                  <c:v>-67.619319032278284</c:v>
                </c:pt>
                <c:pt idx="538">
                  <c:v>-67.680439722102278</c:v>
                </c:pt>
                <c:pt idx="539">
                  <c:v>-67.741342134268706</c:v>
                </c:pt>
                <c:pt idx="540">
                  <c:v>-67.802027751958235</c:v>
                </c:pt>
                <c:pt idx="541">
                  <c:v>-67.86249804421368</c:v>
                </c:pt>
                <c:pt idx="542">
                  <c:v>-67.922754466109822</c:v>
                </c:pt>
                <c:pt idx="543">
                  <c:v>-67.982798458920414</c:v>
                </c:pt>
                <c:pt idx="544">
                  <c:v>-68.042631450283096</c:v>
                </c:pt>
                <c:pt idx="545">
                  <c:v>-68.102254854361746</c:v>
                </c:pt>
                <c:pt idx="546">
                  <c:v>-68.161670072006586</c:v>
                </c:pt>
                <c:pt idx="547">
                  <c:v>-68.220878490912014</c:v>
                </c:pt>
                <c:pt idx="548">
                  <c:v>-68.279881485772179</c:v>
                </c:pt>
                <c:pt idx="549">
                  <c:v>-68.338680418434322</c:v>
                </c:pt>
                <c:pt idx="550">
                  <c:v>-68.397276638049945</c:v>
                </c:pt>
                <c:pt idx="551">
                  <c:v>-68.455671481223931</c:v>
                </c:pt>
                <c:pt idx="552">
                  <c:v>-68.513866272161408</c:v>
                </c:pt>
                <c:pt idx="553">
                  <c:v>-68.571862322812763</c:v>
                </c:pt>
                <c:pt idx="554">
                  <c:v>-68.629660933016353</c:v>
                </c:pt>
                <c:pt idx="555">
                  <c:v>-68.687263390639515</c:v>
                </c:pt>
                <c:pt idx="556">
                  <c:v>-68.744670971717298</c:v>
                </c:pt>
                <c:pt idx="557">
                  <c:v>-68.801884940589645</c:v>
                </c:pt>
                <c:pt idx="558">
                  <c:v>-68.858906550036252</c:v>
                </c:pt>
                <c:pt idx="559">
                  <c:v>-68.915737041409884</c:v>
                </c:pt>
                <c:pt idx="560">
                  <c:v>-68.972377644767661</c:v>
                </c:pt>
                <c:pt idx="561">
                  <c:v>-69.028829579000671</c:v>
                </c:pt>
                <c:pt idx="562">
                  <c:v>-69.08509405196169</c:v>
                </c:pt>
                <c:pt idx="563">
                  <c:v>-69.141172260591219</c:v>
                </c:pt>
                <c:pt idx="564">
                  <c:v>-69.197065391041747</c:v>
                </c:pt>
                <c:pt idx="565">
                  <c:v>-69.252774618800373</c:v>
                </c:pt>
                <c:pt idx="566">
                  <c:v>-69.308301108809701</c:v>
                </c:pt>
                <c:pt idx="567">
                  <c:v>-69.363646015587165</c:v>
                </c:pt>
                <c:pt idx="568">
                  <c:v>-69.418810483342639</c:v>
                </c:pt>
                <c:pt idx="569">
                  <c:v>-69.473795646094572</c:v>
                </c:pt>
                <c:pt idx="570">
                  <c:v>-69.528602627784451</c:v>
                </c:pt>
                <c:pt idx="571">
                  <c:v>-69.583232542389823</c:v>
                </c:pt>
                <c:pt idx="572">
                  <c:v>-69.637686494035648</c:v>
                </c:pt>
                <c:pt idx="573">
                  <c:v>-69.691965577104369</c:v>
                </c:pt>
                <c:pt idx="574">
                  <c:v>-69.746070876344376</c:v>
                </c:pt>
                <c:pt idx="575">
                  <c:v>-69.800003466976975</c:v>
                </c:pt>
                <c:pt idx="576">
                  <c:v>-69.8537644148021</c:v>
                </c:pt>
                <c:pt idx="577">
                  <c:v>-69.907354776302512</c:v>
                </c:pt>
                <c:pt idx="578">
                  <c:v>-69.960775598746551</c:v>
                </c:pt>
                <c:pt idx="579">
                  <c:v>-70.014027920289777</c:v>
                </c:pt>
                <c:pt idx="580">
                  <c:v>-70.067112770074942</c:v>
                </c:pt>
                <c:pt idx="581">
                  <c:v>-70.120031168330939</c:v>
                </c:pt>
                <c:pt idx="582">
                  <c:v>-70.172784126470248</c:v>
                </c:pt>
                <c:pt idx="583">
                  <c:v>-70.225372647185253</c:v>
                </c:pt>
                <c:pt idx="584">
                  <c:v>-70.277797724543177</c:v>
                </c:pt>
                <c:pt idx="585">
                  <c:v>-70.330060344079868</c:v>
                </c:pt>
                <c:pt idx="586">
                  <c:v>-70.382161482892329</c:v>
                </c:pt>
                <c:pt idx="587">
                  <c:v>-70.434102109730048</c:v>
                </c:pt>
                <c:pt idx="588">
                  <c:v>-70.485883185085143</c:v>
                </c:pt>
                <c:pt idx="589">
                  <c:v>-70.537505661281358</c:v>
                </c:pt>
                <c:pt idx="590">
                  <c:v>-70.588970482561905</c:v>
                </c:pt>
                <c:pt idx="591">
                  <c:v>-70.640278585176148</c:v>
                </c:pt>
                <c:pt idx="592">
                  <c:v>-70.69143089746521</c:v>
                </c:pt>
                <c:pt idx="593">
                  <c:v>-70.7424283399465</c:v>
                </c:pt>
                <c:pt idx="594">
                  <c:v>-70.793271825397071</c:v>
                </c:pt>
                <c:pt idx="595">
                  <c:v>-70.843962258936017</c:v>
                </c:pt>
                <c:pt idx="596">
                  <c:v>-70.89450053810576</c:v>
                </c:pt>
                <c:pt idx="597">
                  <c:v>-70.944887552952338</c:v>
                </c:pt>
                <c:pt idx="598">
                  <c:v>-70.995124186104619</c:v>
                </c:pt>
                <c:pt idx="599">
                  <c:v>-71.045211312852643</c:v>
                </c:pt>
                <c:pt idx="600">
                  <c:v>-71.095149801224721</c:v>
                </c:pt>
                <c:pt idx="601">
                  <c:v>-71.14494051206394</c:v>
                </c:pt>
                <c:pt idx="602">
                  <c:v>-71.194584299103298</c:v>
                </c:pt>
                <c:pt idx="603">
                  <c:v>-71.244082009040227</c:v>
                </c:pt>
                <c:pt idx="604">
                  <c:v>-71.293434481609921</c:v>
                </c:pt>
                <c:pt idx="605">
                  <c:v>-71.342642549658024</c:v>
                </c:pt>
                <c:pt idx="606">
                  <c:v>-73.63552421972372</c:v>
                </c:pt>
                <c:pt idx="607">
                  <c:v>-75.652208316316077</c:v>
                </c:pt>
                <c:pt idx="608">
                  <c:v>-77.452114917352048</c:v>
                </c:pt>
                <c:pt idx="609">
                  <c:v>-79.077660390111717</c:v>
                </c:pt>
                <c:pt idx="610">
                  <c:v>-80.560064203198777</c:v>
                </c:pt>
                <c:pt idx="611">
                  <c:v>-81.922914052755331</c:v>
                </c:pt>
                <c:pt idx="612">
                  <c:v>-83.184437800446958</c:v>
                </c:pt>
                <c:pt idx="613">
                  <c:v>-84.358999267518143</c:v>
                </c:pt>
                <c:pt idx="614">
                  <c:v>-85.458111764732053</c:v>
                </c:pt>
                <c:pt idx="615">
                  <c:v>-86.491142605912842</c:v>
                </c:pt>
                <c:pt idx="616">
                  <c:v>-87.465814101543501</c:v>
                </c:pt>
                <c:pt idx="617">
                  <c:v>-88.388567165674658</c:v>
                </c:pt>
                <c:pt idx="618">
                  <c:v>-88.743896144909058</c:v>
                </c:pt>
                <c:pt idx="619">
                  <c:v>-89.092090740045379</c:v>
                </c:pt>
                <c:pt idx="620">
                  <c:v>-89.433442189290901</c:v>
                </c:pt>
                <c:pt idx="621">
                  <c:v>-89.768224217077503</c:v>
                </c:pt>
                <c:pt idx="622">
                  <c:v>-90.09669441517579</c:v>
                </c:pt>
                <c:pt idx="623">
                  <c:v>-90.419095490318824</c:v>
                </c:pt>
                <c:pt idx="624">
                  <c:v>-90.735656393479204</c:v>
                </c:pt>
                <c:pt idx="625">
                  <c:v>-91.046593343985734</c:v>
                </c:pt>
                <c:pt idx="626">
                  <c:v>-91.352110759990012</c:v>
                </c:pt>
                <c:pt idx="627">
                  <c:v>-91.652402105356558</c:v>
                </c:pt>
                <c:pt idx="628">
                  <c:v>-91.94765066181175</c:v>
                </c:pt>
                <c:pt idx="629">
                  <c:v>-92.238030234120586</c:v>
                </c:pt>
                <c:pt idx="630">
                  <c:v>-92.523705795136379</c:v>
                </c:pt>
                <c:pt idx="631">
                  <c:v>-92.804834076768557</c:v>
                </c:pt>
                <c:pt idx="632">
                  <c:v>-93.081564112217933</c:v>
                </c:pt>
                <c:pt idx="633">
                  <c:v>-93.3540377342227</c:v>
                </c:pt>
                <c:pt idx="634">
                  <c:v>-93.622390033529754</c:v>
                </c:pt>
                <c:pt idx="635">
                  <c:v>-93.8867497813429</c:v>
                </c:pt>
                <c:pt idx="636">
                  <c:v>-94.147239819093329</c:v>
                </c:pt>
                <c:pt idx="637">
                  <c:v>-94.403977418521961</c:v>
                </c:pt>
                <c:pt idx="638">
                  <c:v>-94.657074614748566</c:v>
                </c:pt>
                <c:pt idx="639">
                  <c:v>-94.906638514726154</c:v>
                </c:pt>
                <c:pt idx="640">
                  <c:v>-95.152771583234511</c:v>
                </c:pt>
                <c:pt idx="641">
                  <c:v>-95.395571908349922</c:v>
                </c:pt>
                <c:pt idx="642">
                  <c:v>-95.635133448135932</c:v>
                </c:pt>
                <c:pt idx="643">
                  <c:v>-95.871546260130003</c:v>
                </c:pt>
                <c:pt idx="644">
                  <c:v>-96.104896715048085</c:v>
                </c:pt>
                <c:pt idx="645">
                  <c:v>-96.335267695994574</c:v>
                </c:pt>
                <c:pt idx="646">
                  <c:v>-96.562738784343708</c:v>
                </c:pt>
                <c:pt idx="647">
                  <c:v>-96.78738643335069</c:v>
                </c:pt>
                <c:pt idx="648">
                  <c:v>-97.00928413045402</c:v>
                </c:pt>
                <c:pt idx="649">
                  <c:v>-97.228502549143286</c:v>
                </c:pt>
                <c:pt idx="650">
                  <c:v>-97.445109691189643</c:v>
                </c:pt>
                <c:pt idx="651">
                  <c:v>-97.659171019964703</c:v>
                </c:pt>
                <c:pt idx="652">
                  <c:v>-97.870749585511803</c:v>
                </c:pt>
                <c:pt idx="653">
                  <c:v>-98.079906141975925</c:v>
                </c:pt>
                <c:pt idx="654">
                  <c:v>-98.286699257946694</c:v>
                </c:pt>
                <c:pt idx="655">
                  <c:v>-98.491185420223601</c:v>
                </c:pt>
                <c:pt idx="656">
                  <c:v>-98.69341913146927</c:v>
                </c:pt>
                <c:pt idx="657">
                  <c:v>-98.893453002179101</c:v>
                </c:pt>
                <c:pt idx="658">
                  <c:v>-99.091337837360697</c:v>
                </c:pt>
                <c:pt idx="659">
                  <c:v>-99.287122718285303</c:v>
                </c:pt>
                <c:pt idx="660">
                  <c:v>-99.480855079644371</c:v>
                </c:pt>
                <c:pt idx="661">
                  <c:v>-99.672580782418891</c:v>
                </c:pt>
                <c:pt idx="662">
                  <c:v>-99.86234418274492</c:v>
                </c:pt>
                <c:pt idx="663">
                  <c:v>-100.05018819703727</c:v>
                </c:pt>
                <c:pt idx="664">
                  <c:v>-100.23615436361337</c:v>
                </c:pt>
                <c:pt idx="665">
                  <c:v>-100.42028290104125</c:v>
                </c:pt>
                <c:pt idx="666">
                  <c:v>-100.60261276341949</c:v>
                </c:pt>
                <c:pt idx="667">
                  <c:v>-100.7831816927806</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90.024763200853201</c:v>
                </c:pt>
                <c:pt idx="1">
                  <c:v>90.049526396163344</c:v>
                </c:pt>
                <c:pt idx="2">
                  <c:v>90.074289580387401</c:v>
                </c:pt>
                <c:pt idx="3">
                  <c:v>90.099052747982356</c:v>
                </c:pt>
                <c:pt idx="4">
                  <c:v>90.123815893405137</c:v>
                </c:pt>
                <c:pt idx="5">
                  <c:v>90.148579011112773</c:v>
                </c:pt>
                <c:pt idx="6">
                  <c:v>90.173342095562219</c:v>
                </c:pt>
                <c:pt idx="7">
                  <c:v>90.198105141210476</c:v>
                </c:pt>
                <c:pt idx="8">
                  <c:v>90.222868142514585</c:v>
                </c:pt>
                <c:pt idx="9">
                  <c:v>90.247631093931574</c:v>
                </c:pt>
                <c:pt idx="10">
                  <c:v>90.495256644874985</c:v>
                </c:pt>
                <c:pt idx="11">
                  <c:v>90.742871110062723</c:v>
                </c:pt>
                <c:pt idx="12">
                  <c:v>90.990468947168864</c:v>
                </c:pt>
                <c:pt idx="13">
                  <c:v>91.238044614529187</c:v>
                </c:pt>
                <c:pt idx="14">
                  <c:v>91.485592571361693</c:v>
                </c:pt>
                <c:pt idx="15">
                  <c:v>91.73310727798625</c:v>
                </c:pt>
                <c:pt idx="16">
                  <c:v>91.980583196043909</c:v>
                </c:pt>
                <c:pt idx="17">
                  <c:v>92.228014788715896</c:v>
                </c:pt>
                <c:pt idx="18">
                  <c:v>92.47539652094143</c:v>
                </c:pt>
                <c:pt idx="19">
                  <c:v>94.945255494767309</c:v>
                </c:pt>
                <c:pt idx="20">
                  <c:v>97.404061141884725</c:v>
                </c:pt>
                <c:pt idx="21">
                  <c:v>99.846340290342852</c:v>
                </c:pt>
                <c:pt idx="22">
                  <c:v>102.26668138208171</c:v>
                </c:pt>
                <c:pt idx="23">
                  <c:v>104.65975077881126</c:v>
                </c:pt>
                <c:pt idx="24">
                  <c:v>107.02030555634562</c:v>
                </c:pt>
                <c:pt idx="25">
                  <c:v>109.34320204171655</c:v>
                </c:pt>
                <c:pt idx="26">
                  <c:v>111.62339941671961</c:v>
                </c:pt>
                <c:pt idx="27">
                  <c:v>113.85595777758307</c:v>
                </c:pt>
                <c:pt idx="28">
                  <c:v>124.13674444993225</c:v>
                </c:pt>
                <c:pt idx="29">
                  <c:v>132.50891158887808</c:v>
                </c:pt>
                <c:pt idx="30">
                  <c:v>138.27282925590396</c:v>
                </c:pt>
                <c:pt idx="31">
                  <c:v>140.30191436620754</c:v>
                </c:pt>
                <c:pt idx="32">
                  <c:v>136.34992929048587</c:v>
                </c:pt>
                <c:pt idx="33">
                  <c:v>122.33854283139894</c:v>
                </c:pt>
                <c:pt idx="34">
                  <c:v>97.325803583609286</c:v>
                </c:pt>
                <c:pt idx="35">
                  <c:v>74.486648378218163</c:v>
                </c:pt>
                <c:pt idx="36">
                  <c:v>61.984712689832065</c:v>
                </c:pt>
                <c:pt idx="37">
                  <c:v>56.256624867546208</c:v>
                </c:pt>
                <c:pt idx="38">
                  <c:v>53.853961608981024</c:v>
                </c:pt>
                <c:pt idx="39">
                  <c:v>53.078030148009759</c:v>
                </c:pt>
                <c:pt idx="40">
                  <c:v>53.126741121117789</c:v>
                </c:pt>
                <c:pt idx="41">
                  <c:v>53.601498339613428</c:v>
                </c:pt>
                <c:pt idx="42">
                  <c:v>54.292906257278702</c:v>
                </c:pt>
                <c:pt idx="43">
                  <c:v>55.086067099489611</c:v>
                </c:pt>
                <c:pt idx="44">
                  <c:v>55.916067175835934</c:v>
                </c:pt>
                <c:pt idx="45">
                  <c:v>56.745699974100631</c:v>
                </c:pt>
                <c:pt idx="46">
                  <c:v>57.553690206809435</c:v>
                </c:pt>
                <c:pt idx="47">
                  <c:v>58.328177471691632</c:v>
                </c:pt>
                <c:pt idx="48">
                  <c:v>59.062972376233347</c:v>
                </c:pt>
                <c:pt idx="49">
                  <c:v>59.755338967676906</c:v>
                </c:pt>
                <c:pt idx="50">
                  <c:v>60.404648809562644</c:v>
                </c:pt>
                <c:pt idx="51">
                  <c:v>61.011548439841647</c:v>
                </c:pt>
                <c:pt idx="52">
                  <c:v>61.577437130942613</c:v>
                </c:pt>
                <c:pt idx="53">
                  <c:v>62.104136300625868</c:v>
                </c:pt>
                <c:pt idx="54">
                  <c:v>62.59367942022908</c:v>
                </c:pt>
                <c:pt idx="55">
                  <c:v>63.048178782436707</c:v>
                </c:pt>
                <c:pt idx="56">
                  <c:v>63.469741844790548</c:v>
                </c:pt>
                <c:pt idx="57">
                  <c:v>63.860419806670734</c:v>
                </c:pt>
                <c:pt idx="58">
                  <c:v>64.222177241534851</c:v>
                </c:pt>
                <c:pt idx="59">
                  <c:v>64.556875495044778</c:v>
                </c:pt>
                <c:pt idx="60">
                  <c:v>64.866265050756596</c:v>
                </c:pt>
                <c:pt idx="61">
                  <c:v>65.151983682028003</c:v>
                </c:pt>
                <c:pt idx="62">
                  <c:v>65.415558270538597</c:v>
                </c:pt>
                <c:pt idx="63">
                  <c:v>65.658408875837054</c:v>
                </c:pt>
                <c:pt idx="64">
                  <c:v>65.881854110991966</c:v>
                </c:pt>
                <c:pt idx="65">
                  <c:v>66.087117196152647</c:v>
                </c:pt>
                <c:pt idx="66">
                  <c:v>66.275332276012236</c:v>
                </c:pt>
                <c:pt idx="67">
                  <c:v>66.447550732470503</c:v>
                </c:pt>
                <c:pt idx="68">
                  <c:v>66.604747322477593</c:v>
                </c:pt>
                <c:pt idx="69">
                  <c:v>66.747826037983899</c:v>
                </c:pt>
                <c:pt idx="70">
                  <c:v>66.877625630153219</c:v>
                </c:pt>
                <c:pt idx="71">
                  <c:v>66.994924770316658</c:v>
                </c:pt>
                <c:pt idx="72">
                  <c:v>67.100446840211418</c:v>
                </c:pt>
                <c:pt idx="73">
                  <c:v>67.194864357054087</c:v>
                </c:pt>
                <c:pt idx="74">
                  <c:v>67.278803047151484</c:v>
                </c:pt>
                <c:pt idx="75">
                  <c:v>67.352845586584039</c:v>
                </c:pt>
                <c:pt idx="76">
                  <c:v>67.417535030071235</c:v>
                </c:pt>
                <c:pt idx="77">
                  <c:v>67.473377950180151</c:v>
                </c:pt>
                <c:pt idx="78">
                  <c:v>67.520847309091351</c:v>
                </c:pt>
                <c:pt idx="79">
                  <c:v>67.560385084538794</c:v>
                </c:pt>
                <c:pt idx="80">
                  <c:v>67.592404670544155</c:v>
                </c:pt>
                <c:pt idx="81">
                  <c:v>67.617293072346939</c:v>
                </c:pt>
                <c:pt idx="82">
                  <c:v>67.63541291359202</c:v>
                </c:pt>
                <c:pt idx="83">
                  <c:v>67.647104272469932</c:v>
                </c:pt>
                <c:pt idx="84">
                  <c:v>67.652686362152892</c:v>
                </c:pt>
                <c:pt idx="85">
                  <c:v>67.652459069566007</c:v>
                </c:pt>
                <c:pt idx="86">
                  <c:v>67.64670436530254</c:v>
                </c:pt>
                <c:pt idx="87">
                  <c:v>67.635687596339253</c:v>
                </c:pt>
                <c:pt idx="88">
                  <c:v>67.619658672139337</c:v>
                </c:pt>
                <c:pt idx="89">
                  <c:v>67.598853153751875</c:v>
                </c:pt>
                <c:pt idx="90">
                  <c:v>67.57349325461368</c:v>
                </c:pt>
                <c:pt idx="91">
                  <c:v>67.543788760944608</c:v>
                </c:pt>
                <c:pt idx="92">
                  <c:v>67.509937878880905</c:v>
                </c:pt>
                <c:pt idx="93">
                  <c:v>67.472128014815553</c:v>
                </c:pt>
                <c:pt idx="94">
                  <c:v>67.430536494806233</c:v>
                </c:pt>
                <c:pt idx="95">
                  <c:v>67.385331228357003</c:v>
                </c:pt>
                <c:pt idx="96">
                  <c:v>67.336671321382482</c:v>
                </c:pt>
                <c:pt idx="97">
                  <c:v>67.284707642712348</c:v>
                </c:pt>
                <c:pt idx="98">
                  <c:v>67.229583348088539</c:v>
                </c:pt>
                <c:pt idx="99">
                  <c:v>67.171434365240671</c:v>
                </c:pt>
                <c:pt idx="100">
                  <c:v>67.110389843295195</c:v>
                </c:pt>
                <c:pt idx="101">
                  <c:v>67.046572569475174</c:v>
                </c:pt>
                <c:pt idx="102">
                  <c:v>66.98009935577862</c:v>
                </c:pt>
                <c:pt idx="103">
                  <c:v>66.91108139808091</c:v>
                </c:pt>
                <c:pt idx="104">
                  <c:v>66.839624609886215</c:v>
                </c:pt>
                <c:pt idx="105">
                  <c:v>66.765829932756787</c:v>
                </c:pt>
                <c:pt idx="106">
                  <c:v>66.68979362526737</c:v>
                </c:pt>
                <c:pt idx="107">
                  <c:v>66.611607532171377</c:v>
                </c:pt>
                <c:pt idx="108">
                  <c:v>66.531359335318896</c:v>
                </c:pt>
                <c:pt idx="109">
                  <c:v>66.449132787733333</c:v>
                </c:pt>
                <c:pt idx="110">
                  <c:v>66.365007932132016</c:v>
                </c:pt>
                <c:pt idx="111">
                  <c:v>66.27906130506986</c:v>
                </c:pt>
                <c:pt idx="112">
                  <c:v>66.191366127782672</c:v>
                </c:pt>
                <c:pt idx="113">
                  <c:v>66.101992484719119</c:v>
                </c:pt>
                <c:pt idx="114">
                  <c:v>66.011007490667268</c:v>
                </c:pt>
                <c:pt idx="115">
                  <c:v>65.918475447308538</c:v>
                </c:pt>
                <c:pt idx="116">
                  <c:v>65.824457989962283</c:v>
                </c:pt>
                <c:pt idx="117">
                  <c:v>65.729014225224304</c:v>
                </c:pt>
                <c:pt idx="118">
                  <c:v>65.632200860145844</c:v>
                </c:pt>
                <c:pt idx="119">
                  <c:v>65.534072323547647</c:v>
                </c:pt>
                <c:pt idx="120">
                  <c:v>65.434680880018107</c:v>
                </c:pt>
                <c:pt idx="121">
                  <c:v>65.334076737100276</c:v>
                </c:pt>
                <c:pt idx="122">
                  <c:v>65.232308146135082</c:v>
                </c:pt>
                <c:pt idx="123">
                  <c:v>65.129421497190719</c:v>
                </c:pt>
                <c:pt idx="124">
                  <c:v>65.025461408476914</c:v>
                </c:pt>
                <c:pt idx="125">
                  <c:v>64.920470810610865</c:v>
                </c:pt>
                <c:pt idx="126">
                  <c:v>64.814491026076794</c:v>
                </c:pt>
                <c:pt idx="127">
                  <c:v>64.707561844192668</c:v>
                </c:pt>
                <c:pt idx="128">
                  <c:v>64.599721591877838</c:v>
                </c:pt>
                <c:pt idx="129">
                  <c:v>64.491007200490515</c:v>
                </c:pt>
                <c:pt idx="130">
                  <c:v>64.381454268987397</c:v>
                </c:pt>
                <c:pt idx="131">
                  <c:v>64.271097123638512</c:v>
                </c:pt>
                <c:pt idx="132">
                  <c:v>64.159968874512842</c:v>
                </c:pt>
                <c:pt idx="133">
                  <c:v>64.04810146893702</c:v>
                </c:pt>
                <c:pt idx="134">
                  <c:v>63.935525742113569</c:v>
                </c:pt>
                <c:pt idx="135">
                  <c:v>63.822271465073229</c:v>
                </c:pt>
                <c:pt idx="136">
                  <c:v>63.708367390122774</c:v>
                </c:pt>
                <c:pt idx="137">
                  <c:v>63.593841293940898</c:v>
                </c:pt>
                <c:pt idx="138">
                  <c:v>63.478720018460194</c:v>
                </c:pt>
                <c:pt idx="139">
                  <c:v>63.363029509670284</c:v>
                </c:pt>
                <c:pt idx="140">
                  <c:v>63.246794854460944</c:v>
                </c:pt>
                <c:pt idx="141">
                  <c:v>63.130040315622196</c:v>
                </c:pt>
                <c:pt idx="142">
                  <c:v>63.012789365107068</c:v>
                </c:pt>
                <c:pt idx="143">
                  <c:v>62.895064715657398</c:v>
                </c:pt>
                <c:pt idx="144">
                  <c:v>62.776888350885457</c:v>
                </c:pt>
                <c:pt idx="145">
                  <c:v>62.658281553900267</c:v>
                </c:pt>
                <c:pt idx="146">
                  <c:v>62.539264934558148</c:v>
                </c:pt>
                <c:pt idx="147">
                  <c:v>62.419858455417099</c:v>
                </c:pt>
                <c:pt idx="148">
                  <c:v>62.30008145646373</c:v>
                </c:pt>
                <c:pt idx="149">
                  <c:v>62.179952678682994</c:v>
                </c:pt>
                <c:pt idx="150">
                  <c:v>62.059490286531542</c:v>
                </c:pt>
                <c:pt idx="151">
                  <c:v>61.938711889375611</c:v>
                </c:pt>
                <c:pt idx="152">
                  <c:v>61.817634561948282</c:v>
                </c:pt>
                <c:pt idx="153">
                  <c:v>61.696274863878941</c:v>
                </c:pt>
                <c:pt idx="154">
                  <c:v>61.574648858343267</c:v>
                </c:pt>
                <c:pt idx="155">
                  <c:v>61.452772129881168</c:v>
                </c:pt>
                <c:pt idx="156">
                  <c:v>61.330659801425199</c:v>
                </c:pt>
                <c:pt idx="157">
                  <c:v>61.208326550580082</c:v>
                </c:pt>
                <c:pt idx="158">
                  <c:v>61.085786625193776</c:v>
                </c:pt>
                <c:pt idx="159">
                  <c:v>60.963053858253403</c:v>
                </c:pt>
                <c:pt idx="160">
                  <c:v>60.840141682143084</c:v>
                </c:pt>
                <c:pt idx="161">
                  <c:v>60.717063142293583</c:v>
                </c:pt>
                <c:pt idx="162">
                  <c:v>60.593830910256273</c:v>
                </c:pt>
                <c:pt idx="163">
                  <c:v>60.470457296228091</c:v>
                </c:pt>
                <c:pt idx="164">
                  <c:v>60.346954261055444</c:v>
                </c:pt>
                <c:pt idx="165">
                  <c:v>60.223333427743711</c:v>
                </c:pt>
                <c:pt idx="166">
                  <c:v>60.099606092493758</c:v>
                </c:pt>
                <c:pt idx="167">
                  <c:v>59.975783235290947</c:v>
                </c:pt>
                <c:pt idx="168">
                  <c:v>59.851875530066906</c:v>
                </c:pt>
                <c:pt idx="169">
                  <c:v>59.727893354454253</c:v>
                </c:pt>
                <c:pt idx="170">
                  <c:v>59.603846799154184</c:v>
                </c:pt>
                <c:pt idx="171">
                  <c:v>59.479745676934925</c:v>
                </c:pt>
                <c:pt idx="172">
                  <c:v>59.355599531277988</c:v>
                </c:pt>
                <c:pt idx="173">
                  <c:v>59.23141764468933</c:v>
                </c:pt>
                <c:pt idx="174">
                  <c:v>59.107209046689775</c:v>
                </c:pt>
                <c:pt idx="175">
                  <c:v>58.982982521500745</c:v>
                </c:pt>
                <c:pt idx="176">
                  <c:v>58.858746615437767</c:v>
                </c:pt>
                <c:pt idx="177">
                  <c:v>58.73450964402636</c:v>
                </c:pt>
                <c:pt idx="178">
                  <c:v>58.610279698851613</c:v>
                </c:pt>
                <c:pt idx="179">
                  <c:v>58.486064654153878</c:v>
                </c:pt>
                <c:pt idx="180">
                  <c:v>58.361872173182334</c:v>
                </c:pt>
                <c:pt idx="181">
                  <c:v>58.237709714315756</c:v>
                </c:pt>
                <c:pt idx="182">
                  <c:v>58.113584536961994</c:v>
                </c:pt>
                <c:pt idx="183">
                  <c:v>57.989503707245333</c:v>
                </c:pt>
                <c:pt idx="184">
                  <c:v>57.86547410349084</c:v>
                </c:pt>
                <c:pt idx="185">
                  <c:v>57.741502421513886</c:v>
                </c:pt>
                <c:pt idx="186">
                  <c:v>57.617595179724731</c:v>
                </c:pt>
                <c:pt idx="187">
                  <c:v>57.493758724054132</c:v>
                </c:pt>
                <c:pt idx="188">
                  <c:v>57.369999232709006</c:v>
                </c:pt>
                <c:pt idx="189">
                  <c:v>57.246322720764283</c:v>
                </c:pt>
                <c:pt idx="190">
                  <c:v>57.12273504459796</c:v>
                </c:pt>
                <c:pt idx="191">
                  <c:v>56.999241906177161</c:v>
                </c:pt>
                <c:pt idx="192">
                  <c:v>56.875848857198392</c:v>
                </c:pt>
                <c:pt idx="193">
                  <c:v>56.752561303091497</c:v>
                </c:pt>
                <c:pt idx="194">
                  <c:v>56.629384506889778</c:v>
                </c:pt>
                <c:pt idx="195">
                  <c:v>56.506323592974113</c:v>
                </c:pt>
                <c:pt idx="196">
                  <c:v>56.383383550693793</c:v>
                </c:pt>
                <c:pt idx="197">
                  <c:v>56.260569237871323</c:v>
                </c:pt>
                <c:pt idx="198">
                  <c:v>56.137885384194021</c:v>
                </c:pt>
                <c:pt idx="199">
                  <c:v>56.015336594497612</c:v>
                </c:pt>
                <c:pt idx="200">
                  <c:v>55.892927351945957</c:v>
                </c:pt>
                <c:pt idx="201">
                  <c:v>55.770662021110965</c:v>
                </c:pt>
                <c:pt idx="202">
                  <c:v>55.648544850956512</c:v>
                </c:pt>
                <c:pt idx="203">
                  <c:v>55.526579977729753</c:v>
                </c:pt>
                <c:pt idx="204">
                  <c:v>55.404771427764189</c:v>
                </c:pt>
                <c:pt idx="205">
                  <c:v>55.283123120196393</c:v>
                </c:pt>
                <c:pt idx="206">
                  <c:v>55.161638869601759</c:v>
                </c:pt>
                <c:pt idx="207">
                  <c:v>55.040322388549527</c:v>
                </c:pt>
                <c:pt idx="208">
                  <c:v>54.919177290083212</c:v>
                </c:pt>
                <c:pt idx="209">
                  <c:v>54.798207090126397</c:v>
                </c:pt>
                <c:pt idx="210">
                  <c:v>54.677415209818292</c:v>
                </c:pt>
                <c:pt idx="211">
                  <c:v>54.556804977781155</c:v>
                </c:pt>
                <c:pt idx="212">
                  <c:v>54.436379632322115</c:v>
                </c:pt>
                <c:pt idx="213">
                  <c:v>54.316142323571384</c:v>
                </c:pt>
                <c:pt idx="214">
                  <c:v>54.196096115559854</c:v>
                </c:pt>
                <c:pt idx="215">
                  <c:v>54.076243988237366</c:v>
                </c:pt>
                <c:pt idx="216">
                  <c:v>53.956588839434431</c:v>
                </c:pt>
                <c:pt idx="217">
                  <c:v>53.837133486769147</c:v>
                </c:pt>
                <c:pt idx="218">
                  <c:v>53.717880669501326</c:v>
                </c:pt>
                <c:pt idx="219">
                  <c:v>53.598833050335116</c:v>
                </c:pt>
                <c:pt idx="220">
                  <c:v>53.479993217172762</c:v>
                </c:pt>
                <c:pt idx="221">
                  <c:v>53.361363684820773</c:v>
                </c:pt>
                <c:pt idx="222">
                  <c:v>53.24294689664957</c:v>
                </c:pt>
                <c:pt idx="223">
                  <c:v>53.124745226209328</c:v>
                </c:pt>
                <c:pt idx="224">
                  <c:v>53.006760978802035</c:v>
                </c:pt>
                <c:pt idx="225">
                  <c:v>52.888996393013258</c:v>
                </c:pt>
                <c:pt idx="226">
                  <c:v>51.723879582700363</c:v>
                </c:pt>
                <c:pt idx="227">
                  <c:v>50.582748806626938</c:v>
                </c:pt>
                <c:pt idx="228">
                  <c:v>49.466943436677496</c:v>
                </c:pt>
                <c:pt idx="229">
                  <c:v>48.377386998504761</c:v>
                </c:pt>
                <c:pt idx="230">
                  <c:v>47.314666442071115</c:v>
                </c:pt>
                <c:pt idx="231">
                  <c:v>46.27909575783022</c:v>
                </c:pt>
                <c:pt idx="232">
                  <c:v>45.270767567516003</c:v>
                </c:pt>
                <c:pt idx="233">
                  <c:v>44.2895953194394</c:v>
                </c:pt>
                <c:pt idx="234">
                  <c:v>43.335348030967822</c:v>
                </c:pt>
                <c:pt idx="235">
                  <c:v>42.407679040097804</c:v>
                </c:pt>
                <c:pt idx="236">
                  <c:v>41.50614988595774</c:v>
                </c:pt>
                <c:pt idx="237">
                  <c:v>40.630250190479558</c:v>
                </c:pt>
                <c:pt idx="238">
                  <c:v>39.779414231146433</c:v>
                </c:pt>
                <c:pt idx="239">
                  <c:v>38.953034758102774</c:v>
                </c:pt>
                <c:pt idx="240">
                  <c:v>38.150474504797103</c:v>
                </c:pt>
                <c:pt idx="241">
                  <c:v>37.371075760651848</c:v>
                </c:pt>
                <c:pt idx="242">
                  <c:v>36.614168310771419</c:v>
                </c:pt>
                <c:pt idx="243">
                  <c:v>35.879075997016997</c:v>
                </c:pt>
                <c:pt idx="244">
                  <c:v>35.165122113785685</c:v>
                </c:pt>
                <c:pt idx="245">
                  <c:v>34.471633818304781</c:v>
                </c:pt>
                <c:pt idx="246">
                  <c:v>33.797945707553396</c:v>
                </c:pt>
                <c:pt idx="247">
                  <c:v>33.143402690855709</c:v>
                </c:pt>
                <c:pt idx="248">
                  <c:v>32.507362267845991</c:v>
                </c:pt>
                <c:pt idx="249">
                  <c:v>31.889196305192314</c:v>
                </c:pt>
                <c:pt idx="250">
                  <c:v>31.288292391649208</c:v>
                </c:pt>
                <c:pt idx="251">
                  <c:v>30.7040548392701</c:v>
                </c:pt>
                <c:pt idx="252">
                  <c:v>30.135905388602652</c:v>
                </c:pt>
                <c:pt idx="253">
                  <c:v>29.583283667150596</c:v>
                </c:pt>
                <c:pt idx="254">
                  <c:v>29.045647443079702</c:v>
                </c:pt>
                <c:pt idx="255">
                  <c:v>28.522472709899432</c:v>
                </c:pt>
                <c:pt idx="256">
                  <c:v>28.013253632496884</c:v>
                </c:pt>
                <c:pt idx="257">
                  <c:v>27.517502380319286</c:v>
                </c:pt>
                <c:pt idx="258">
                  <c:v>27.034748869572894</c:v>
                </c:pt>
                <c:pt idx="259">
                  <c:v>26.564540432946615</c:v>
                </c:pt>
                <c:pt idx="260">
                  <c:v>26.106441432489078</c:v>
                </c:pt>
                <c:pt idx="261">
                  <c:v>25.660032828805868</c:v>
                </c:pt>
                <c:pt idx="262">
                  <c:v>25.224911717639003</c:v>
                </c:pt>
                <c:pt idx="263">
                  <c:v>24.800690843090422</c:v>
                </c:pt>
                <c:pt idx="264">
                  <c:v>24.386998095215205</c:v>
                </c:pt>
                <c:pt idx="265">
                  <c:v>23.983475998404145</c:v>
                </c:pt>
                <c:pt idx="266">
                  <c:v>23.5897811958543</c:v>
                </c:pt>
                <c:pt idx="267">
                  <c:v>23.205583934483059</c:v>
                </c:pt>
                <c:pt idx="268">
                  <c:v>22.830567553831344</c:v>
                </c:pt>
                <c:pt idx="269">
                  <c:v>22.464427981820307</c:v>
                </c:pt>
                <c:pt idx="270">
                  <c:v>22.106873239647172</c:v>
                </c:pt>
                <c:pt idx="271">
                  <c:v>21.757622957617855</c:v>
                </c:pt>
                <c:pt idx="272">
                  <c:v>21.416407903301348</c:v>
                </c:pt>
                <c:pt idx="273">
                  <c:v>21.082969523046927</c:v>
                </c:pt>
                <c:pt idx="274">
                  <c:v>20.757059497615302</c:v>
                </c:pt>
                <c:pt idx="275">
                  <c:v>20.43843931243245</c:v>
                </c:pt>
                <c:pt idx="276">
                  <c:v>20.126879842775679</c:v>
                </c:pt>
                <c:pt idx="277">
                  <c:v>19.822160954035667</c:v>
                </c:pt>
                <c:pt idx="278">
                  <c:v>19.524071117060714</c:v>
                </c:pt>
                <c:pt idx="279">
                  <c:v>19.232407038480233</c:v>
                </c:pt>
                <c:pt idx="280">
                  <c:v>18.946973305814566</c:v>
                </c:pt>
                <c:pt idx="281">
                  <c:v>18.667582047105128</c:v>
                </c:pt>
                <c:pt idx="282">
                  <c:v>18.394052604745212</c:v>
                </c:pt>
                <c:pt idx="283">
                  <c:v>18.126211223146043</c:v>
                </c:pt>
                <c:pt idx="284">
                  <c:v>17.863890749840238</c:v>
                </c:pt>
                <c:pt idx="285">
                  <c:v>17.606930349602749</c:v>
                </c:pt>
                <c:pt idx="286">
                  <c:v>17.355175231151776</c:v>
                </c:pt>
                <c:pt idx="287">
                  <c:v>17.108476385981731</c:v>
                </c:pt>
                <c:pt idx="288">
                  <c:v>16.866690338877561</c:v>
                </c:pt>
                <c:pt idx="289">
                  <c:v>16.629678909657031</c:v>
                </c:pt>
                <c:pt idx="290">
                  <c:v>16.397308985693201</c:v>
                </c:pt>
                <c:pt idx="291">
                  <c:v>16.169452304770459</c:v>
                </c:pt>
                <c:pt idx="292">
                  <c:v>15.945985247842515</c:v>
                </c:pt>
                <c:pt idx="293">
                  <c:v>15.726788641262601</c:v>
                </c:pt>
                <c:pt idx="294">
                  <c:v>15.511747568073702</c:v>
                </c:pt>
                <c:pt idx="295">
                  <c:v>15.300751187954489</c:v>
                </c:pt>
                <c:pt idx="296">
                  <c:v>15.09369256543215</c:v>
                </c:pt>
                <c:pt idx="297">
                  <c:v>14.890468505984927</c:v>
                </c:pt>
                <c:pt idx="298">
                  <c:v>14.690979399672358</c:v>
                </c:pt>
                <c:pt idx="299">
                  <c:v>14.49512907194233</c:v>
                </c:pt>
                <c:pt idx="300">
                  <c:v>14.302824641282484</c:v>
                </c:pt>
                <c:pt idx="301">
                  <c:v>14.113976383392412</c:v>
                </c:pt>
                <c:pt idx="302">
                  <c:v>13.928497601568807</c:v>
                </c:pt>
                <c:pt idx="303">
                  <c:v>13.746304503010805</c:v>
                </c:pt>
                <c:pt idx="304">
                  <c:v>13.567316080761145</c:v>
                </c:pt>
                <c:pt idx="305">
                  <c:v>13.391454001017138</c:v>
                </c:pt>
                <c:pt idx="306">
                  <c:v>13.218642495552302</c:v>
                </c:pt>
                <c:pt idx="307">
                  <c:v>13.048808259005142</c:v>
                </c:pt>
                <c:pt idx="308">
                  <c:v>12.881880350801964</c:v>
                </c:pt>
                <c:pt idx="309">
                  <c:v>12.717790101490579</c:v>
                </c:pt>
                <c:pt idx="310">
                  <c:v>12.556471023273502</c:v>
                </c:pt>
                <c:pt idx="311">
                  <c:v>12.397858724540242</c:v>
                </c:pt>
                <c:pt idx="312">
                  <c:v>12.241890828204845</c:v>
                </c:pt>
                <c:pt idx="313">
                  <c:v>12.088506893668551</c:v>
                </c:pt>
                <c:pt idx="314">
                  <c:v>11.937648342232137</c:v>
                </c:pt>
                <c:pt idx="315">
                  <c:v>11.789258385794881</c:v>
                </c:pt>
                <c:pt idx="316">
                  <c:v>11.643281958681428</c:v>
                </c:pt>
                <c:pt idx="317">
                  <c:v>11.49966565244921</c:v>
                </c:pt>
                <c:pt idx="318">
                  <c:v>11.358357653533204</c:v>
                </c:pt>
                <c:pt idx="319">
                  <c:v>11.21930768359482</c:v>
                </c:pt>
                <c:pt idx="320">
                  <c:v>11.082466942445649</c:v>
                </c:pt>
                <c:pt idx="321">
                  <c:v>10.947788053425313</c:v>
                </c:pt>
                <c:pt idx="322">
                  <c:v>10.815225011117462</c:v>
                </c:pt>
                <c:pt idx="323">
                  <c:v>10.684733131294024</c:v>
                </c:pt>
                <c:pt idx="324">
                  <c:v>10.556269002983896</c:v>
                </c:pt>
                <c:pt idx="325">
                  <c:v>10.429790442565832</c:v>
                </c:pt>
                <c:pt idx="326">
                  <c:v>10.305256449792438</c:v>
                </c:pt>
                <c:pt idx="327">
                  <c:v>10.182627165654907</c:v>
                </c:pt>
                <c:pt idx="328">
                  <c:v>10.061863832003354</c:v>
                </c:pt>
                <c:pt idx="329">
                  <c:v>9.9429287528422208</c:v>
                </c:pt>
                <c:pt idx="330">
                  <c:v>9.8257852572235151</c:v>
                </c:pt>
                <c:pt idx="331">
                  <c:v>9.7103976636643949</c:v>
                </c:pt>
                <c:pt idx="332">
                  <c:v>9.596731246020596</c:v>
                </c:pt>
                <c:pt idx="333">
                  <c:v>9.4847522007476641</c:v>
                </c:pt>
                <c:pt idx="334">
                  <c:v>9.3744276154894806</c:v>
                </c:pt>
                <c:pt idx="335">
                  <c:v>9.2657254389316392</c:v>
                </c:pt>
                <c:pt idx="336">
                  <c:v>9.1586144518653327</c:v>
                </c:pt>
                <c:pt idx="337">
                  <c:v>9.0530642394047618</c:v>
                </c:pt>
                <c:pt idx="338">
                  <c:v>8.9490451643095525</c:v>
                </c:pt>
                <c:pt idx="339">
                  <c:v>8.8465283413601128</c:v>
                </c:pt>
                <c:pt idx="340">
                  <c:v>8.7454856127418452</c:v>
                </c:pt>
                <c:pt idx="341">
                  <c:v>8.6458895243918334</c:v>
                </c:pt>
                <c:pt idx="342">
                  <c:v>8.5477133032665336</c:v>
                </c:pt>
                <c:pt idx="343">
                  <c:v>8.4509308354901407</c:v>
                </c:pt>
                <c:pt idx="344">
                  <c:v>8.3555166453453467</c:v>
                </c:pt>
                <c:pt idx="345">
                  <c:v>8.2614458750687163</c:v>
                </c:pt>
                <c:pt idx="346">
                  <c:v>8.1686942654183099</c:v>
                </c:pt>
                <c:pt idx="347">
                  <c:v>8.0772381369769732</c:v>
                </c:pt>
                <c:pt idx="348">
                  <c:v>7.9870543721632714</c:v>
                </c:pt>
                <c:pt idx="349">
                  <c:v>7.8981203979168413</c:v>
                </c:pt>
                <c:pt idx="350">
                  <c:v>7.8104141690311053</c:v>
                </c:pt>
                <c:pt idx="351">
                  <c:v>7.7239141521056069</c:v>
                </c:pt>
                <c:pt idx="352">
                  <c:v>7.6385993100914504</c:v>
                </c:pt>
                <c:pt idx="353">
                  <c:v>7.5544490874050894</c:v>
                </c:pt>
                <c:pt idx="354">
                  <c:v>7.4714433955870163</c:v>
                </c:pt>
                <c:pt idx="355">
                  <c:v>7.3895625994819625</c:v>
                </c:pt>
                <c:pt idx="356">
                  <c:v>7.308787503919433</c:v>
                </c:pt>
                <c:pt idx="357">
                  <c:v>7.2290993408737449</c:v>
                </c:pt>
                <c:pt idx="358">
                  <c:v>7.1504797570837013</c:v>
                </c:pt>
                <c:pt idx="359">
                  <c:v>7.0729108021133982</c:v>
                </c:pt>
                <c:pt idx="360">
                  <c:v>6.9963749168356912</c:v>
                </c:pt>
                <c:pt idx="361">
                  <c:v>6.920854922321297</c:v>
                </c:pt>
                <c:pt idx="362">
                  <c:v>6.8463340091172427</c:v>
                </c:pt>
                <c:pt idx="363">
                  <c:v>6.7727957268992611</c:v>
                </c:pt>
                <c:pt idx="364">
                  <c:v>6.7002239744816734</c:v>
                </c:pt>
                <c:pt idx="365">
                  <c:v>6.6286029901724817</c:v>
                </c:pt>
                <c:pt idx="366">
                  <c:v>6.5579173424584951</c:v>
                </c:pt>
                <c:pt idx="367">
                  <c:v>6.4881519210080967</c:v>
                </c:pt>
                <c:pt idx="368">
                  <c:v>6.4192919279782643</c:v>
                </c:pt>
                <c:pt idx="369">
                  <c:v>6.3513228696154442</c:v>
                </c:pt>
                <c:pt idx="370">
                  <c:v>6.2842305481366338</c:v>
                </c:pt>
                <c:pt idx="371">
                  <c:v>6.2180010538819204</c:v>
                </c:pt>
                <c:pt idx="372">
                  <c:v>6.1526207577265666</c:v>
                </c:pt>
                <c:pt idx="373">
                  <c:v>6.0880763037425254</c:v>
                </c:pt>
                <c:pt idx="374">
                  <c:v>6.0243546021010559</c:v>
                </c:pt>
                <c:pt idx="375">
                  <c:v>5.9614428222057541</c:v>
                </c:pt>
                <c:pt idx="376">
                  <c:v>5.8993283860482393</c:v>
                </c:pt>
                <c:pt idx="377">
                  <c:v>5.8379989617772594</c:v>
                </c:pt>
                <c:pt idx="378">
                  <c:v>5.7774424574740522</c:v>
                </c:pt>
                <c:pt idx="379">
                  <c:v>5.7176470151248111</c:v>
                </c:pt>
                <c:pt idx="380">
                  <c:v>5.6586010047850266</c:v>
                </c:pt>
                <c:pt idx="381">
                  <c:v>5.6002930189258109</c:v>
                </c:pt>
                <c:pt idx="382">
                  <c:v>5.5427118669580295</c:v>
                </c:pt>
                <c:pt idx="383">
                  <c:v>5.485846569926025</c:v>
                </c:pt>
                <c:pt idx="384">
                  <c:v>5.4296863553648222</c:v>
                </c:pt>
                <c:pt idx="385">
                  <c:v>5.374220652316211</c:v>
                </c:pt>
                <c:pt idx="386">
                  <c:v>5.3194390864958905</c:v>
                </c:pt>
                <c:pt idx="387">
                  <c:v>5.2653314756076952</c:v>
                </c:pt>
                <c:pt idx="388">
                  <c:v>5.2118878247987652</c:v>
                </c:pt>
                <c:pt idx="389">
                  <c:v>5.1590983222516797</c:v>
                </c:pt>
                <c:pt idx="390">
                  <c:v>5.1069533349065068</c:v>
                </c:pt>
                <c:pt idx="391">
                  <c:v>5.0554434043108358</c:v>
                </c:pt>
                <c:pt idx="392">
                  <c:v>5.0045592425913981</c:v>
                </c:pt>
                <c:pt idx="393">
                  <c:v>4.9542917285431542</c:v>
                </c:pt>
                <c:pt idx="394">
                  <c:v>4.9046319038326942</c:v>
                </c:pt>
                <c:pt idx="395">
                  <c:v>4.8555709693110316</c:v>
                </c:pt>
                <c:pt idx="396">
                  <c:v>4.807100281432156</c:v>
                </c:pt>
                <c:pt idx="397">
                  <c:v>4.7592113487740448</c:v>
                </c:pt>
                <c:pt idx="398">
                  <c:v>4.7118958286583847</c:v>
                </c:pt>
                <c:pt idx="399">
                  <c:v>4.6651455238650783</c:v>
                </c:pt>
                <c:pt idx="400">
                  <c:v>4.6189523794400031</c:v>
                </c:pt>
                <c:pt idx="401">
                  <c:v>4.5733084795900538</c:v>
                </c:pt>
                <c:pt idx="402">
                  <c:v>4.5282060446652963</c:v>
                </c:pt>
                <c:pt idx="403">
                  <c:v>4.4836374282240001</c:v>
                </c:pt>
                <c:pt idx="404">
                  <c:v>4.4395951141775072</c:v>
                </c:pt>
                <c:pt idx="405">
                  <c:v>4.396071714012777</c:v>
                </c:pt>
                <c:pt idx="406">
                  <c:v>4.3530599640902778</c:v>
                </c:pt>
                <c:pt idx="407">
                  <c:v>4.3105527230141831</c:v>
                </c:pt>
                <c:pt idx="408">
                  <c:v>4.268542969072513</c:v>
                </c:pt>
                <c:pt idx="409">
                  <c:v>4.227023797745403</c:v>
                </c:pt>
                <c:pt idx="410">
                  <c:v>4.185988419278857</c:v>
                </c:pt>
                <c:pt idx="411">
                  <c:v>4.1454301563227602</c:v>
                </c:pt>
                <c:pt idx="412">
                  <c:v>4.1053424416288635</c:v>
                </c:pt>
                <c:pt idx="413">
                  <c:v>4.0657188158095039</c:v>
                </c:pt>
                <c:pt idx="414">
                  <c:v>4.0265529251539931</c:v>
                </c:pt>
                <c:pt idx="415">
                  <c:v>3.9878385195000874</c:v>
                </c:pt>
                <c:pt idx="416">
                  <c:v>3.9495694501599417</c:v>
                </c:pt>
                <c:pt idx="417">
                  <c:v>3.9117396678985017</c:v>
                </c:pt>
                <c:pt idx="418">
                  <c:v>3.8743432209622597</c:v>
                </c:pt>
                <c:pt idx="419">
                  <c:v>3.8373742531575488</c:v>
                </c:pt>
                <c:pt idx="420">
                  <c:v>3.800827001976387</c:v>
                </c:pt>
                <c:pt idx="421">
                  <c:v>3.7646957967681942</c:v>
                </c:pt>
                <c:pt idx="422">
                  <c:v>3.7289750569567843</c:v>
                </c:pt>
                <c:pt idx="423">
                  <c:v>3.6936592903001326</c:v>
                </c:pt>
                <c:pt idx="424">
                  <c:v>3.6587430911931449</c:v>
                </c:pt>
                <c:pt idx="425">
                  <c:v>3.624221139010217</c:v>
                </c:pt>
                <c:pt idx="426">
                  <c:v>3.5900881964882956</c:v>
                </c:pt>
                <c:pt idx="427">
                  <c:v>3.5563391081479381</c:v>
                </c:pt>
                <c:pt idx="428">
                  <c:v>3.5229687987516343</c:v>
                </c:pt>
                <c:pt idx="429">
                  <c:v>3.4899722717988482</c:v>
                </c:pt>
                <c:pt idx="430">
                  <c:v>3.4573446080553936</c:v>
                </c:pt>
                <c:pt idx="431">
                  <c:v>3.4250809641177113</c:v>
                </c:pt>
                <c:pt idx="432">
                  <c:v>3.393176571010116</c:v>
                </c:pt>
                <c:pt idx="433">
                  <c:v>3.3616267328138463</c:v>
                </c:pt>
                <c:pt idx="434">
                  <c:v>3.3304268253277769</c:v>
                </c:pt>
                <c:pt idx="435">
                  <c:v>3.299572294759713</c:v>
                </c:pt>
                <c:pt idx="436">
                  <c:v>3.269058656446532</c:v>
                </c:pt>
                <c:pt idx="437">
                  <c:v>3.238881493603742</c:v>
                </c:pt>
                <c:pt idx="438">
                  <c:v>3.2090364561026945</c:v>
                </c:pt>
                <c:pt idx="439">
                  <c:v>3.1795192592745991</c:v>
                </c:pt>
                <c:pt idx="440">
                  <c:v>3.1503256827414532</c:v>
                </c:pt>
                <c:pt idx="441">
                  <c:v>3.1214515692723808</c:v>
                </c:pt>
                <c:pt idx="442">
                  <c:v>3.0928928236650677</c:v>
                </c:pt>
                <c:pt idx="443">
                  <c:v>3.0646454116509005</c:v>
                </c:pt>
                <c:pt idx="444">
                  <c:v>3.0367053588248041</c:v>
                </c:pt>
                <c:pt idx="445">
                  <c:v>3.0090687495969917</c:v>
                </c:pt>
                <c:pt idx="446">
                  <c:v>2.9817317261677942</c:v>
                </c:pt>
                <c:pt idx="447">
                  <c:v>2.9546904875240898</c:v>
                </c:pt>
                <c:pt idx="448">
                  <c:v>2.9279412884567364</c:v>
                </c:pt>
                <c:pt idx="449">
                  <c:v>2.9014804385989237</c:v>
                </c:pt>
                <c:pt idx="450">
                  <c:v>2.8753043014845332</c:v>
                </c:pt>
                <c:pt idx="451">
                  <c:v>2.8494092936261666</c:v>
                </c:pt>
                <c:pt idx="452">
                  <c:v>2.8237918836122446</c:v>
                </c:pt>
                <c:pt idx="453">
                  <c:v>2.7984485912223249</c:v>
                </c:pt>
                <c:pt idx="454">
                  <c:v>2.7733759865613763</c:v>
                </c:pt>
                <c:pt idx="455">
                  <c:v>2.7485706892109363</c:v>
                </c:pt>
                <c:pt idx="456">
                  <c:v>2.7240293673979181</c:v>
                </c:pt>
                <c:pt idx="457">
                  <c:v>2.6997487371799878</c:v>
                </c:pt>
                <c:pt idx="458">
                  <c:v>2.6757255616474822</c:v>
                </c:pt>
                <c:pt idx="459">
                  <c:v>2.651956650141102</c:v>
                </c:pt>
                <c:pt idx="460">
                  <c:v>2.6284388574854631</c:v>
                </c:pt>
                <c:pt idx="461">
                  <c:v>2.6051690832375698</c:v>
                </c:pt>
                <c:pt idx="462">
                  <c:v>2.5821442709500673</c:v>
                </c:pt>
                <c:pt idx="463">
                  <c:v>2.5593614074495576</c:v>
                </c:pt>
                <c:pt idx="464">
                  <c:v>2.536817522127734</c:v>
                </c:pt>
                <c:pt idx="465">
                  <c:v>2.5145096862481182</c:v>
                </c:pt>
                <c:pt idx="466">
                  <c:v>2.4924350122643943</c:v>
                </c:pt>
                <c:pt idx="467">
                  <c:v>2.4705906531533515</c:v>
                </c:pt>
                <c:pt idx="468">
                  <c:v>2.4489738017593083</c:v>
                </c:pt>
                <c:pt idx="469">
                  <c:v>2.4275816901526071</c:v>
                </c:pt>
                <c:pt idx="470">
                  <c:v>2.4064115889987079</c:v>
                </c:pt>
                <c:pt idx="471">
                  <c:v>2.3854608069404435</c:v>
                </c:pt>
                <c:pt idx="472">
                  <c:v>2.3647266899914143</c:v>
                </c:pt>
                <c:pt idx="473">
                  <c:v>2.3442066209406391</c:v>
                </c:pt>
                <c:pt idx="474">
                  <c:v>2.3238980187687162</c:v>
                </c:pt>
                <c:pt idx="475">
                  <c:v>2.3037983380748983</c:v>
                </c:pt>
                <c:pt idx="476">
                  <c:v>2.2839050685142013</c:v>
                </c:pt>
                <c:pt idx="477">
                  <c:v>2.2642157342455391</c:v>
                </c:pt>
                <c:pt idx="478">
                  <c:v>2.2447278933898929</c:v>
                </c:pt>
                <c:pt idx="479">
                  <c:v>2.2254391374981992</c:v>
                </c:pt>
                <c:pt idx="480">
                  <c:v>2.2063470910291301</c:v>
                </c:pt>
                <c:pt idx="481">
                  <c:v>2.1874494108362796</c:v>
                </c:pt>
                <c:pt idx="482">
                  <c:v>2.1687437856647591</c:v>
                </c:pt>
                <c:pt idx="483">
                  <c:v>2.1502279356569431</c:v>
                </c:pt>
                <c:pt idx="484">
                  <c:v>2.131899611866686</c:v>
                </c:pt>
                <c:pt idx="485">
                  <c:v>2.1137565957830304</c:v>
                </c:pt>
                <c:pt idx="486">
                  <c:v>2.0957966988613634</c:v>
                </c:pt>
                <c:pt idx="487">
                  <c:v>2.0780177620640359</c:v>
                </c:pt>
                <c:pt idx="488">
                  <c:v>2.0604176554084574</c:v>
                </c:pt>
                <c:pt idx="489">
                  <c:v>2.042994277522979</c:v>
                </c:pt>
                <c:pt idx="490">
                  <c:v>2.0257455552114152</c:v>
                </c:pt>
                <c:pt idx="491">
                  <c:v>2.0086694430244734</c:v>
                </c:pt>
                <c:pt idx="492">
                  <c:v>1.9917639228391124</c:v>
                </c:pt>
                <c:pt idx="493">
                  <c:v>1.9750270034449215</c:v>
                </c:pt>
                <c:pt idx="494">
                  <c:v>1.9584567201377467</c:v>
                </c:pt>
                <c:pt idx="495">
                  <c:v>1.9420511343207068</c:v>
                </c:pt>
                <c:pt idx="496">
                  <c:v>1.925808333111803</c:v>
                </c:pt>
                <c:pt idx="497">
                  <c:v>1.9097264289580664</c:v>
                </c:pt>
                <c:pt idx="498">
                  <c:v>1.8938035592566109</c:v>
                </c:pt>
                <c:pt idx="499">
                  <c:v>1.8780378859825078</c:v>
                </c:pt>
                <c:pt idx="500">
                  <c:v>1.8624275953220604</c:v>
                </c:pt>
                <c:pt idx="501">
                  <c:v>1.8469708973134118</c:v>
                </c:pt>
                <c:pt idx="502">
                  <c:v>1.8316660254922681</c:v>
                </c:pt>
                <c:pt idx="503">
                  <c:v>1.8165112365442155</c:v>
                </c:pt>
                <c:pt idx="504">
                  <c:v>1.8015048099629496</c:v>
                </c:pt>
                <c:pt idx="505">
                  <c:v>1.7866450477136198</c:v>
                </c:pt>
                <c:pt idx="506">
                  <c:v>1.7719302739023135</c:v>
                </c:pt>
                <c:pt idx="507">
                  <c:v>1.7573588344511677</c:v>
                </c:pt>
                <c:pt idx="508">
                  <c:v>1.7429290967785676</c:v>
                </c:pt>
                <c:pt idx="509">
                  <c:v>1.7286394494846036</c:v>
                </c:pt>
                <c:pt idx="510">
                  <c:v>1.7144883020422128</c:v>
                </c:pt>
                <c:pt idx="511">
                  <c:v>1.7004740844927539</c:v>
                </c:pt>
                <c:pt idx="512">
                  <c:v>1.6865952471473236</c:v>
                </c:pt>
                <c:pt idx="513">
                  <c:v>1.6728502602923072</c:v>
                </c:pt>
                <c:pt idx="514">
                  <c:v>1.6592376138999896</c:v>
                </c:pt>
                <c:pt idx="515">
                  <c:v>1.6457558173445364</c:v>
                </c:pt>
                <c:pt idx="516">
                  <c:v>1.6324033991213867</c:v>
                </c:pt>
                <c:pt idx="517">
                  <c:v>1.6191789065720741</c:v>
                </c:pt>
                <c:pt idx="518">
                  <c:v>1.6060809056132825</c:v>
                </c:pt>
                <c:pt idx="519">
                  <c:v>1.5931079804704211</c:v>
                </c:pt>
                <c:pt idx="520">
                  <c:v>1.5802587334153486</c:v>
                </c:pt>
                <c:pt idx="521">
                  <c:v>1.5675317845079348</c:v>
                </c:pt>
                <c:pt idx="522">
                  <c:v>1.5549257713427096</c:v>
                </c:pt>
                <c:pt idx="523">
                  <c:v>1.5424393487986663</c:v>
                </c:pt>
                <c:pt idx="524">
                  <c:v>1.53007118879367</c:v>
                </c:pt>
                <c:pt idx="525">
                  <c:v>1.5178199800423897</c:v>
                </c:pt>
                <c:pt idx="526">
                  <c:v>1.5056844278183519</c:v>
                </c:pt>
                <c:pt idx="527">
                  <c:v>1.4936632537195749</c:v>
                </c:pt>
                <c:pt idx="528">
                  <c:v>1.4817551954378985</c:v>
                </c:pt>
                <c:pt idx="529">
                  <c:v>1.4699590065323491</c:v>
                </c:pt>
                <c:pt idx="530">
                  <c:v>1.458273456205518</c:v>
                </c:pt>
                <c:pt idx="531">
                  <c:v>1.4466973290838041</c:v>
                </c:pt>
                <c:pt idx="532">
                  <c:v>1.4352294250010118</c:v>
                </c:pt>
                <c:pt idx="533">
                  <c:v>1.4238685587854434</c:v>
                </c:pt>
                <c:pt idx="534">
                  <c:v>1.4126135600501186</c:v>
                </c:pt>
                <c:pt idx="535">
                  <c:v>1.4014632729865468</c:v>
                </c:pt>
                <c:pt idx="536">
                  <c:v>1.3904165561610569</c:v>
                </c:pt>
                <c:pt idx="537">
                  <c:v>1.379472282315561</c:v>
                </c:pt>
                <c:pt idx="538">
                  <c:v>1.3686293381699386</c:v>
                </c:pt>
                <c:pt idx="539">
                  <c:v>1.3578866242283709</c:v>
                </c:pt>
                <c:pt idx="540">
                  <c:v>1.3472430545886311</c:v>
                </c:pt>
                <c:pt idx="541">
                  <c:v>1.3366975567538759</c:v>
                </c:pt>
                <c:pt idx="542">
                  <c:v>1.3262490714477906</c:v>
                </c:pt>
                <c:pt idx="543">
                  <c:v>1.3158965524322355</c:v>
                </c:pt>
                <c:pt idx="544">
                  <c:v>1.3056389663278765</c:v>
                </c:pt>
                <c:pt idx="545">
                  <c:v>1.2954752924374588</c:v>
                </c:pt>
                <c:pt idx="546">
                  <c:v>1.285404522571838</c:v>
                </c:pt>
                <c:pt idx="547">
                  <c:v>1.2754256608786818</c:v>
                </c:pt>
                <c:pt idx="548">
                  <c:v>1.265537723673873</c:v>
                </c:pt>
                <c:pt idx="549">
                  <c:v>1.255739739274901</c:v>
                </c:pt>
                <c:pt idx="550">
                  <c:v>1.2460307478377501</c:v>
                </c:pt>
                <c:pt idx="551">
                  <c:v>1.2364098011952365</c:v>
                </c:pt>
                <c:pt idx="552">
                  <c:v>1.2268759626986991</c:v>
                </c:pt>
                <c:pt idx="553">
                  <c:v>1.217428307061283</c:v>
                </c:pt>
                <c:pt idx="554">
                  <c:v>1.2080659202041772</c:v>
                </c:pt>
                <c:pt idx="555">
                  <c:v>1.1987878991048149</c:v>
                </c:pt>
                <c:pt idx="556">
                  <c:v>1.1895933516473463</c:v>
                </c:pt>
                <c:pt idx="557">
                  <c:v>1.1804813964757841</c:v>
                </c:pt>
                <c:pt idx="558">
                  <c:v>1.1714511628487401</c:v>
                </c:pt>
                <c:pt idx="559">
                  <c:v>1.162501790496691</c:v>
                </c:pt>
                <c:pt idx="560">
                  <c:v>1.1536324294811493</c:v>
                </c:pt>
                <c:pt idx="561">
                  <c:v>1.1448422400564198</c:v>
                </c:pt>
                <c:pt idx="562">
                  <c:v>1.1361303925326354</c:v>
                </c:pt>
                <c:pt idx="563">
                  <c:v>1.1274960671414931</c:v>
                </c:pt>
                <c:pt idx="564">
                  <c:v>1.1189384539036666</c:v>
                </c:pt>
                <c:pt idx="565">
                  <c:v>1.1104567524980382</c:v>
                </c:pt>
                <c:pt idx="566">
                  <c:v>1.1020501721333176</c:v>
                </c:pt>
                <c:pt idx="567">
                  <c:v>1.0937179314212528</c:v>
                </c:pt>
                <c:pt idx="568">
                  <c:v>1.0854592582514329</c:v>
                </c:pt>
                <c:pt idx="569">
                  <c:v>1.0772733896685338</c:v>
                </c:pt>
                <c:pt idx="570">
                  <c:v>1.0691595717509301</c:v>
                </c:pt>
                <c:pt idx="571">
                  <c:v>1.061117059491238</c:v>
                </c:pt>
                <c:pt idx="572">
                  <c:v>1.0531451166785644</c:v>
                </c:pt>
                <c:pt idx="573">
                  <c:v>1.0452430157823756</c:v>
                </c:pt>
                <c:pt idx="574">
                  <c:v>1.0374100378382138</c:v>
                </c:pt>
                <c:pt idx="575">
                  <c:v>1.0296454723352326</c:v>
                </c:pt>
                <c:pt idx="576">
                  <c:v>1.0219486171047549</c:v>
                </c:pt>
                <c:pt idx="577">
                  <c:v>1.0143187782110772</c:v>
                </c:pt>
                <c:pt idx="578">
                  <c:v>1.0067552698436657</c:v>
                </c:pt>
                <c:pt idx="579">
                  <c:v>0.99925741421074576</c:v>
                </c:pt>
                <c:pt idx="580">
                  <c:v>0.99182454143445398</c:v>
                </c:pt>
                <c:pt idx="581">
                  <c:v>0.98445598944783796</c:v>
                </c:pt>
                <c:pt idx="582">
                  <c:v>0.97715110389290771</c:v>
                </c:pt>
                <c:pt idx="583">
                  <c:v>0.96990923802036377</c:v>
                </c:pt>
                <c:pt idx="584">
                  <c:v>0.96272975259077498</c:v>
                </c:pt>
                <c:pt idx="585">
                  <c:v>0.95561201577703514</c:v>
                </c:pt>
                <c:pt idx="586">
                  <c:v>0.94855540306832609</c:v>
                </c:pt>
                <c:pt idx="587">
                  <c:v>0.94155929717555864</c:v>
                </c:pt>
                <c:pt idx="588">
                  <c:v>0.93462308793789362</c:v>
                </c:pt>
                <c:pt idx="589">
                  <c:v>0.92774617223076916</c:v>
                </c:pt>
                <c:pt idx="590">
                  <c:v>0.92092795387526394</c:v>
                </c:pt>
                <c:pt idx="591">
                  <c:v>0.91416784354859715</c:v>
                </c:pt>
                <c:pt idx="592">
                  <c:v>0.90746525869604966</c:v>
                </c:pt>
                <c:pt idx="593">
                  <c:v>0.90081962344405042</c:v>
                </c:pt>
                <c:pt idx="594">
                  <c:v>0.89423036851451343</c:v>
                </c:pt>
                <c:pt idx="595">
                  <c:v>0.88769693114025472</c:v>
                </c:pt>
                <c:pt idx="596">
                  <c:v>0.88121875498205782</c:v>
                </c:pt>
                <c:pt idx="597">
                  <c:v>0.87479529004605183</c:v>
                </c:pt>
                <c:pt idx="598">
                  <c:v>0.86842599260356224</c:v>
                </c:pt>
                <c:pt idx="599">
                  <c:v>0.86211032511036478</c:v>
                </c:pt>
                <c:pt idx="600">
                  <c:v>0.85584775612878161</c:v>
                </c:pt>
                <c:pt idx="601">
                  <c:v>0.8496377602496068</c:v>
                </c:pt>
                <c:pt idx="602">
                  <c:v>0.84347981801599303</c:v>
                </c:pt>
                <c:pt idx="603">
                  <c:v>0.83737341584759406</c:v>
                </c:pt>
                <c:pt idx="604">
                  <c:v>0.83131804596666825</c:v>
                </c:pt>
                <c:pt idx="605">
                  <c:v>0.82531320632432426</c:v>
                </c:pt>
                <c:pt idx="606">
                  <c:v>0.57987439486447556</c:v>
                </c:pt>
                <c:pt idx="607">
                  <c:v>0.41373978380713083</c:v>
                </c:pt>
                <c:pt idx="608">
                  <c:v>0.2983500993918824</c:v>
                </c:pt>
                <c:pt idx="609">
                  <c:v>0.21638839236979379</c:v>
                </c:pt>
                <c:pt idx="610">
                  <c:v>0.15702532935827662</c:v>
                </c:pt>
                <c:pt idx="611">
                  <c:v>0.11329678943238264</c:v>
                </c:pt>
                <c:pt idx="612">
                  <c:v>8.060977033349559E-2</c:v>
                </c:pt>
                <c:pt idx="613">
                  <c:v>5.586520107698334E-2</c:v>
                </c:pt>
                <c:pt idx="614">
                  <c:v>3.6928481314106421E-2</c:v>
                </c:pt>
                <c:pt idx="615">
                  <c:v>2.2301654159463169E-2</c:v>
                </c:pt>
                <c:pt idx="616">
                  <c:v>1.0915613220930709E-2</c:v>
                </c:pt>
                <c:pt idx="617">
                  <c:v>1.9955276715393211E-3</c:v>
                </c:pt>
                <c:pt idx="618">
                  <c:v>-1.0149981943072817E-3</c:v>
                </c:pt>
                <c:pt idx="619">
                  <c:v>-3.7529899349237894E-3</c:v>
                </c:pt>
                <c:pt idx="620">
                  <c:v>-6.2445445650496367E-3</c:v>
                </c:pt>
                <c:pt idx="621">
                  <c:v>-8.5129470694198517E-3</c:v>
                </c:pt>
                <c:pt idx="622">
                  <c:v>-1.0579010107193199E-2</c:v>
                </c:pt>
                <c:pt idx="623">
                  <c:v>-1.2461368248210647E-2</c:v>
                </c:pt>
                <c:pt idx="624">
                  <c:v>-1.4176733407225584E-2</c:v>
                </c:pt>
                <c:pt idx="625">
                  <c:v>-1.5740117078252069E-2</c:v>
                </c:pt>
                <c:pt idx="626">
                  <c:v>-1.7165024099426773E-2</c:v>
                </c:pt>
                <c:pt idx="627">
                  <c:v>-1.8463621942970576E-2</c:v>
                </c:pt>
                <c:pt idx="628">
                  <c:v>-1.9646888920220817E-2</c:v>
                </c:pt>
                <c:pt idx="629">
                  <c:v>-2.0724744180540711E-2</c:v>
                </c:pt>
                <c:pt idx="630">
                  <c:v>-2.1706161956501546E-2</c:v>
                </c:pt>
                <c:pt idx="631">
                  <c:v>-2.2599272149193439E-2</c:v>
                </c:pt>
                <c:pt idx="632">
                  <c:v>-2.3411449045397603E-2</c:v>
                </c:pt>
                <c:pt idx="633">
                  <c:v>-2.4149389702444068E-2</c:v>
                </c:pt>
                <c:pt idx="634">
                  <c:v>-2.4819183321824312E-2</c:v>
                </c:pt>
                <c:pt idx="635">
                  <c:v>-2.5426372747261894E-2</c:v>
                </c:pt>
                <c:pt idx="636">
                  <c:v>-2.5976009069438533E-2</c:v>
                </c:pt>
                <c:pt idx="637">
                  <c:v>-2.6472700184513087E-2</c:v>
                </c:pt>
                <c:pt idx="638">
                  <c:v>-2.6920654042100978E-2</c:v>
                </c:pt>
                <c:pt idx="639">
                  <c:v>-2.7323717218990851E-2</c:v>
                </c:pt>
                <c:pt idx="640">
                  <c:v>-2.7685409374612391E-2</c:v>
                </c:pt>
                <c:pt idx="641">
                  <c:v>-2.8008954069264291E-2</c:v>
                </c:pt>
                <c:pt idx="642">
                  <c:v>-2.829730636807426E-2</c:v>
                </c:pt>
                <c:pt idx="643">
                  <c:v>-2.8553177597359536E-2</c:v>
                </c:pt>
                <c:pt idx="644">
                  <c:v>-2.8779057576770128E-2</c:v>
                </c:pt>
                <c:pt idx="645">
                  <c:v>-2.8977234609158131E-2</c:v>
                </c:pt>
                <c:pt idx="646">
                  <c:v>-2.91498134766357E-2</c:v>
                </c:pt>
                <c:pt idx="647">
                  <c:v>-2.9298731660730937E-2</c:v>
                </c:pt>
                <c:pt idx="648">
                  <c:v>-2.9425773979681935E-2</c:v>
                </c:pt>
                <c:pt idx="649">
                  <c:v>-2.9532585811409717E-2</c:v>
                </c:pt>
                <c:pt idx="650">
                  <c:v>-2.9620685052634599E-2</c:v>
                </c:pt>
                <c:pt idx="651">
                  <c:v>-2.9691472946922204E-2</c:v>
                </c:pt>
                <c:pt idx="652">
                  <c:v>-2.9746243898330249E-2</c:v>
                </c:pt>
                <c:pt idx="653">
                  <c:v>-2.9786194375361674E-2</c:v>
                </c:pt>
                <c:pt idx="654">
                  <c:v>-2.9812430997367301E-2</c:v>
                </c:pt>
                <c:pt idx="655">
                  <c:v>-2.9825977886417832E-2</c:v>
                </c:pt>
                <c:pt idx="656">
                  <c:v>-2.9827783356438431E-2</c:v>
                </c:pt>
                <c:pt idx="657">
                  <c:v>-2.9818726006766383E-2</c:v>
                </c:pt>
                <c:pt idx="658">
                  <c:v>-2.9799620276634187E-2</c:v>
                </c:pt>
                <c:pt idx="659">
                  <c:v>-2.9771221514153012E-2</c:v>
                </c:pt>
                <c:pt idx="660">
                  <c:v>-2.9734230605328094E-2</c:v>
                </c:pt>
                <c:pt idx="661">
                  <c:v>-2.9689298205568093E-2</c:v>
                </c:pt>
                <c:pt idx="662">
                  <c:v>-2.9637028610380867E-2</c:v>
                </c:pt>
                <c:pt idx="663">
                  <c:v>-2.9577983299986954E-2</c:v>
                </c:pt>
                <c:pt idx="664">
                  <c:v>-2.9512684186528304E-2</c:v>
                </c:pt>
                <c:pt idx="665">
                  <c:v>-2.944161659246447E-2</c:v>
                </c:pt>
                <c:pt idx="666">
                  <c:v>-2.9365231983689455E-2</c:v>
                </c:pt>
                <c:pt idx="667">
                  <c:v>-2.9283950479879195E-2</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149.4866779113859</c:v>
                </c:pt>
                <c:pt idx="1">
                  <c:v>130.33216608483548</c:v>
                </c:pt>
                <c:pt idx="2">
                  <c:v>119.54183080668206</c:v>
                </c:pt>
                <c:pt idx="3">
                  <c:v>113.0646646656633</c:v>
                </c:pt>
                <c:pt idx="4">
                  <c:v>108.85104365504051</c:v>
                </c:pt>
                <c:pt idx="5">
                  <c:v>105.92393198864058</c:v>
                </c:pt>
                <c:pt idx="6">
                  <c:v>103.78530302395171</c:v>
                </c:pt>
                <c:pt idx="7">
                  <c:v>102.16078025311251</c:v>
                </c:pt>
                <c:pt idx="8">
                  <c:v>100.88854819590526</c:v>
                </c:pt>
                <c:pt idx="9">
                  <c:v>99.867613277322633</c:v>
                </c:pt>
                <c:pt idx="10">
                  <c:v>95.338312687034545</c:v>
                </c:pt>
                <c:pt idx="11">
                  <c:v>93.974652843205575</c:v>
                </c:pt>
                <c:pt idx="12">
                  <c:v>93.414170077856127</c:v>
                </c:pt>
                <c:pt idx="13">
                  <c:v>93.176125059194717</c:v>
                </c:pt>
                <c:pt idx="14">
                  <c:v>93.099526519588991</c:v>
                </c:pt>
                <c:pt idx="15">
                  <c:v>93.115237558659459</c:v>
                </c:pt>
                <c:pt idx="16">
                  <c:v>93.188650368687121</c:v>
                </c:pt>
                <c:pt idx="17">
                  <c:v>93.300523730616106</c:v>
                </c:pt>
                <c:pt idx="18">
                  <c:v>93.439305943276437</c:v>
                </c:pt>
                <c:pt idx="19">
                  <c:v>95.416425791928731</c:v>
                </c:pt>
                <c:pt idx="20">
                  <c:v>97.706157340723991</c:v>
                </c:pt>
                <c:pt idx="21">
                  <c:v>100.06029049845439</c:v>
                </c:pt>
                <c:pt idx="22">
                  <c:v>102.42485774740922</c:v>
                </c:pt>
                <c:pt idx="23">
                  <c:v>104.77833931141578</c:v>
                </c:pt>
                <c:pt idx="24">
                  <c:v>107.10855515282469</c:v>
                </c:pt>
                <c:pt idx="25">
                  <c:v>109.40689295364685</c:v>
                </c:pt>
                <c:pt idx="26">
                  <c:v>111.6663848126048</c:v>
                </c:pt>
                <c:pt idx="27">
                  <c:v>113.88093453007171</c:v>
                </c:pt>
                <c:pt idx="28">
                  <c:v>124.09324290969572</c:v>
                </c:pt>
                <c:pt idx="29">
                  <c:v>132.41307995987489</c:v>
                </c:pt>
                <c:pt idx="30">
                  <c:v>138.13109074289457</c:v>
                </c:pt>
                <c:pt idx="31">
                  <c:v>140.11744191434985</c:v>
                </c:pt>
                <c:pt idx="32">
                  <c:v>136.12449551804571</c:v>
                </c:pt>
                <c:pt idx="33">
                  <c:v>122.07321375848777</c:v>
                </c:pt>
                <c:pt idx="34">
                  <c:v>97.021246959699283</c:v>
                </c:pt>
                <c:pt idx="35">
                  <c:v>74.143287849556216</c:v>
                </c:pt>
                <c:pt idx="36">
                  <c:v>61.602811894497094</c:v>
                </c:pt>
                <c:pt idx="37">
                  <c:v>55.836336494727462</c:v>
                </c:pt>
                <c:pt idx="38">
                  <c:v>53.395357593212793</c:v>
                </c:pt>
                <c:pt idx="39">
                  <c:v>52.581121083734615</c:v>
                </c:pt>
                <c:pt idx="40">
                  <c:v>52.59148920977961</c:v>
                </c:pt>
                <c:pt idx="41">
                  <c:v>53.02782629489657</c:v>
                </c:pt>
                <c:pt idx="42">
                  <c:v>53.680703595327927</c:v>
                </c:pt>
                <c:pt idx="43">
                  <c:v>54.435194686069536</c:v>
                </c:pt>
                <c:pt idx="44">
                  <c:v>55.226360581141734</c:v>
                </c:pt>
                <c:pt idx="45">
                  <c:v>56.016971993186417</c:v>
                </c:pt>
                <c:pt idx="46">
                  <c:v>56.785732784280441</c:v>
                </c:pt>
                <c:pt idx="47">
                  <c:v>57.520763193376609</c:v>
                </c:pt>
                <c:pt idx="48">
                  <c:v>58.215855641033698</c:v>
                </c:pt>
                <c:pt idx="49">
                  <c:v>58.86825691977576</c:v>
                </c:pt>
                <c:pt idx="50">
                  <c:v>59.477322088729366</c:v>
                </c:pt>
                <c:pt idx="51">
                  <c:v>60.043681792025296</c:v>
                </c:pt>
                <c:pt idx="52">
                  <c:v>60.568719910411176</c:v>
                </c:pt>
                <c:pt idx="53">
                  <c:v>61.054242887097914</c:v>
                </c:pt>
                <c:pt idx="54">
                  <c:v>61.50226956878636</c:v>
                </c:pt>
                <c:pt idx="55">
                  <c:v>61.914897919859854</c:v>
                </c:pt>
                <c:pt idx="56">
                  <c:v>62.2942213228811</c:v>
                </c:pt>
                <c:pt idx="57">
                  <c:v>62.642277120815933</c:v>
                </c:pt>
                <c:pt idx="58">
                  <c:v>62.961016221022291</c:v>
                </c:pt>
                <c:pt idx="59">
                  <c:v>63.252286470298714</c:v>
                </c:pt>
                <c:pt idx="60">
                  <c:v>63.517825001634321</c:v>
                </c:pt>
                <c:pt idx="61">
                  <c:v>63.759256370514677</c:v>
                </c:pt>
                <c:pt idx="62">
                  <c:v>63.978094360549861</c:v>
                </c:pt>
                <c:pt idx="63">
                  <c:v>64.17574604234207</c:v>
                </c:pt>
                <c:pt idx="64">
                  <c:v>64.353517140276523</c:v>
                </c:pt>
                <c:pt idx="65">
                  <c:v>64.512618078725765</c:v>
                </c:pt>
                <c:pt idx="66">
                  <c:v>64.654170293406509</c:v>
                </c:pt>
                <c:pt idx="67">
                  <c:v>64.779212538981042</c:v>
                </c:pt>
                <c:pt idx="68">
                  <c:v>64.888707022717469</c:v>
                </c:pt>
                <c:pt idx="69">
                  <c:v>64.983545260997928</c:v>
                </c:pt>
                <c:pt idx="70">
                  <c:v>65.064553600718625</c:v>
                </c:pt>
                <c:pt idx="71">
                  <c:v>65.132498377967792</c:v>
                </c:pt>
                <c:pt idx="72">
                  <c:v>65.188090706448662</c:v>
                </c:pt>
                <c:pt idx="73">
                  <c:v>65.23199090113259</c:v>
                </c:pt>
                <c:pt idx="74">
                  <c:v>65.26481255079257</c:v>
                </c:pt>
                <c:pt idx="75">
                  <c:v>65.287126257908113</c:v>
                </c:pt>
                <c:pt idx="76">
                  <c:v>65.299463067011061</c:v>
                </c:pt>
                <c:pt idx="77">
                  <c:v>65.302317603604877</c:v>
                </c:pt>
                <c:pt idx="78">
                  <c:v>65.296150945841561</c:v>
                </c:pt>
                <c:pt idx="79">
                  <c:v>65.281393250552014</c:v>
                </c:pt>
                <c:pt idx="80">
                  <c:v>65.258446154230811</c:v>
                </c:pt>
                <c:pt idx="81">
                  <c:v>65.227684968358417</c:v>
                </c:pt>
                <c:pt idx="82">
                  <c:v>65.18946068711017</c:v>
                </c:pt>
                <c:pt idx="83">
                  <c:v>65.144101824134637</c:v>
                </c:pt>
                <c:pt idx="84">
                  <c:v>65.091916093732792</c:v>
                </c:pt>
                <c:pt idx="85">
                  <c:v>65.033191950470183</c:v>
                </c:pt>
                <c:pt idx="86">
                  <c:v>64.968200000021923</c:v>
                </c:pt>
                <c:pt idx="87">
                  <c:v>64.897194292900025</c:v>
                </c:pt>
                <c:pt idx="88">
                  <c:v>64.820413511645555</c:v>
                </c:pt>
                <c:pt idx="89">
                  <c:v>64.738082061088036</c:v>
                </c:pt>
                <c:pt idx="90">
                  <c:v>64.650411070375441</c:v>
                </c:pt>
                <c:pt idx="91">
                  <c:v>64.557599314660507</c:v>
                </c:pt>
                <c:pt idx="92">
                  <c:v>64.459834063585035</c:v>
                </c:pt>
                <c:pt idx="93">
                  <c:v>64.357291863029232</c:v>
                </c:pt>
                <c:pt idx="94">
                  <c:v>64.250139255982788</c:v>
                </c:pt>
                <c:pt idx="95">
                  <c:v>64.138533447842747</c:v>
                </c:pt>
                <c:pt idx="96">
                  <c:v>64.022622920944002</c:v>
                </c:pt>
                <c:pt idx="97">
                  <c:v>63.902548002679907</c:v>
                </c:pt>
                <c:pt idx="98">
                  <c:v>63.77844139116263</c:v>
                </c:pt>
                <c:pt idx="99">
                  <c:v>63.650428642008379</c:v>
                </c:pt>
                <c:pt idx="100">
                  <c:v>63.518628619501442</c:v>
                </c:pt>
                <c:pt idx="101">
                  <c:v>63.383153915093089</c:v>
                </c:pt>
                <c:pt idx="102">
                  <c:v>63.244111235922517</c:v>
                </c:pt>
                <c:pt idx="103">
                  <c:v>63.101601765804205</c:v>
                </c:pt>
                <c:pt idx="104">
                  <c:v>62.955721500906762</c:v>
                </c:pt>
                <c:pt idx="105">
                  <c:v>62.806561562150279</c:v>
                </c:pt>
                <c:pt idx="106">
                  <c:v>62.654208486169935</c:v>
                </c:pt>
                <c:pt idx="107">
                  <c:v>62.498744496531558</c:v>
                </c:pt>
                <c:pt idx="108">
                  <c:v>62.340247756738876</c:v>
                </c:pt>
                <c:pt idx="109">
                  <c:v>62.178792606438236</c:v>
                </c:pt>
                <c:pt idx="110">
                  <c:v>62.014449782107192</c:v>
                </c:pt>
                <c:pt idx="111">
                  <c:v>61.847286623403562</c:v>
                </c:pt>
                <c:pt idx="112">
                  <c:v>61.677367266253</c:v>
                </c:pt>
                <c:pt idx="113">
                  <c:v>61.504752823662784</c:v>
                </c:pt>
                <c:pt idx="114">
                  <c:v>61.329501555167539</c:v>
                </c:pt>
                <c:pt idx="115">
                  <c:v>61.151669025739182</c:v>
                </c:pt>
                <c:pt idx="116">
                  <c:v>60.971308254924352</c:v>
                </c:pt>
                <c:pt idx="117">
                  <c:v>60.788469856911632</c:v>
                </c:pt>
                <c:pt idx="118">
                  <c:v>60.603202172175486</c:v>
                </c:pt>
                <c:pt idx="119">
                  <c:v>60.415551391289583</c:v>
                </c:pt>
                <c:pt idx="120">
                  <c:v>60.225561671459957</c:v>
                </c:pt>
                <c:pt idx="121">
                  <c:v>60.033275246280752</c:v>
                </c:pt>
                <c:pt idx="122">
                  <c:v>59.838732529180021</c:v>
                </c:pt>
                <c:pt idx="123">
                  <c:v>59.641972210984918</c:v>
                </c:pt>
                <c:pt idx="124">
                  <c:v>59.44303135200353</c:v>
                </c:pt>
                <c:pt idx="125">
                  <c:v>59.241945468991801</c:v>
                </c:pt>
                <c:pt idx="126">
                  <c:v>59.038748617343231</c:v>
                </c:pt>
                <c:pt idx="127">
                  <c:v>58.833473468817871</c:v>
                </c:pt>
                <c:pt idx="128">
                  <c:v>58.626151385100542</c:v>
                </c:pt>
                <c:pt idx="129">
                  <c:v>58.416812487457946</c:v>
                </c:pt>
                <c:pt idx="130">
                  <c:v>58.205485722746346</c:v>
                </c:pt>
                <c:pt idx="131">
                  <c:v>57.992198926000285</c:v>
                </c:pt>
                <c:pt idx="132">
                  <c:v>57.776978879818515</c:v>
                </c:pt>
                <c:pt idx="133">
                  <c:v>57.559851370747438</c:v>
                </c:pt>
                <c:pt idx="134">
                  <c:v>57.340841242847972</c:v>
                </c:pt>
                <c:pt idx="135">
                  <c:v>57.119972448618313</c:v>
                </c:pt>
                <c:pt idx="136">
                  <c:v>56.897268097433866</c:v>
                </c:pt>
                <c:pt idx="137">
                  <c:v>56.672750501654164</c:v>
                </c:pt>
                <c:pt idx="138">
                  <c:v>56.446441220535363</c:v>
                </c:pt>
                <c:pt idx="139">
                  <c:v>56.2183611020792</c:v>
                </c:pt>
                <c:pt idx="140">
                  <c:v>55.988530322938615</c:v>
                </c:pt>
                <c:pt idx="141">
                  <c:v>55.756968426493017</c:v>
                </c:pt>
                <c:pt idx="142">
                  <c:v>55.523694359198473</c:v>
                </c:pt>
                <c:pt idx="143">
                  <c:v>55.288726505311033</c:v>
                </c:pt>
                <c:pt idx="144">
                  <c:v>55.052082720074296</c:v>
                </c:pt>
                <c:pt idx="145">
                  <c:v>54.813780361457418</c:v>
                </c:pt>
                <c:pt idx="146">
                  <c:v>54.573836320522631</c:v>
                </c:pt>
                <c:pt idx="147">
                  <c:v>54.332267050497478</c:v>
                </c:pt>
                <c:pt idx="148">
                  <c:v>54.089088594621387</c:v>
                </c:pt>
                <c:pt idx="149">
                  <c:v>53.844316612830639</c:v>
                </c:pt>
                <c:pt idx="150">
                  <c:v>53.597966407344529</c:v>
                </c:pt>
                <c:pt idx="151">
                  <c:v>53.350052947207445</c:v>
                </c:pt>
                <c:pt idx="152">
                  <c:v>53.100590891841932</c:v>
                </c:pt>
                <c:pt idx="153">
                  <c:v>52.849594613660969</c:v>
                </c:pt>
                <c:pt idx="154">
                  <c:v>52.597078219786866</c:v>
                </c:pt>
                <c:pt idx="155">
                  <c:v>52.343055572920264</c:v>
                </c:pt>
                <c:pt idx="156">
                  <c:v>52.087540311398712</c:v>
                </c:pt>
                <c:pt idx="157">
                  <c:v>51.830545868484819</c:v>
                </c:pt>
                <c:pt idx="158">
                  <c:v>51.572085490917573</c:v>
                </c:pt>
                <c:pt idx="159">
                  <c:v>51.312172256761386</c:v>
                </c:pt>
                <c:pt idx="160">
                  <c:v>51.050819092583055</c:v>
                </c:pt>
                <c:pt idx="161">
                  <c:v>50.788038789986274</c:v>
                </c:pt>
                <c:pt idx="162">
                  <c:v>50.523844021530607</c:v>
                </c:pt>
                <c:pt idx="163">
                  <c:v>50.25824735605994</c:v>
                </c:pt>
                <c:pt idx="164">
                  <c:v>49.991261273464431</c:v>
                </c:pt>
                <c:pt idx="165">
                  <c:v>49.722898178898191</c:v>
                </c:pt>
                <c:pt idx="166">
                  <c:v>49.453170416472489</c:v>
                </c:pt>
                <c:pt idx="167">
                  <c:v>49.182090282444705</c:v>
                </c:pt>
                <c:pt idx="168">
                  <c:v>48.909670037920336</c:v>
                </c:pt>
                <c:pt idx="169">
                  <c:v>48.635921921084588</c:v>
                </c:pt>
                <c:pt idx="170">
                  <c:v>48.360858158979653</c:v>
                </c:pt>
                <c:pt idx="171">
                  <c:v>48.08449097884187</c:v>
                </c:pt>
                <c:pt idx="172">
                  <c:v>47.806832619011828</c:v>
                </c:pt>
                <c:pt idx="173">
                  <c:v>47.527895339430643</c:v>
                </c:pt>
                <c:pt idx="174">
                  <c:v>47.247691431733273</c:v>
                </c:pt>
                <c:pt idx="175">
                  <c:v>46.966233228950443</c:v>
                </c:pt>
                <c:pt idx="176">
                  <c:v>46.683533114828037</c:v>
                </c:pt>
                <c:pt idx="177">
                  <c:v>46.399603532774591</c:v>
                </c:pt>
                <c:pt idx="178">
                  <c:v>46.114456994443998</c:v>
                </c:pt>
                <c:pt idx="179">
                  <c:v>45.828106087962936</c:v>
                </c:pt>
                <c:pt idx="180">
                  <c:v>45.540563485808718</c:v>
                </c:pt>
                <c:pt idx="181">
                  <c:v>45.251841952345302</c:v>
                </c:pt>
                <c:pt idx="182">
                  <c:v>44.961954351023877</c:v>
                </c:pt>
                <c:pt idx="183">
                  <c:v>44.670913651252846</c:v>
                </c:pt>
                <c:pt idx="184">
                  <c:v>44.378732934943372</c:v>
                </c:pt>
                <c:pt idx="185">
                  <c:v>44.085425402734984</c:v>
                </c:pt>
                <c:pt idx="186">
                  <c:v>43.79100437990607</c:v>
                </c:pt>
                <c:pt idx="187">
                  <c:v>43.495483321972756</c:v>
                </c:pt>
                <c:pt idx="188">
                  <c:v>43.198875819980884</c:v>
                </c:pt>
                <c:pt idx="189">
                  <c:v>42.901195605493768</c:v>
                </c:pt>
                <c:pt idx="190">
                  <c:v>42.602456555279986</c:v>
                </c:pt>
                <c:pt idx="191">
                  <c:v>42.302672695703251</c:v>
                </c:pt>
                <c:pt idx="192">
                  <c:v>42.001858206817616</c:v>
                </c:pt>
                <c:pt idx="193">
                  <c:v>41.700027426171033</c:v>
                </c:pt>
                <c:pt idx="194">
                  <c:v>41.397194852318989</c:v>
                </c:pt>
                <c:pt idx="195">
                  <c:v>41.093375148050967</c:v>
                </c:pt>
                <c:pt idx="196">
                  <c:v>40.788583143332033</c:v>
                </c:pt>
                <c:pt idx="197">
                  <c:v>40.482833837961351</c:v>
                </c:pt>
                <c:pt idx="198">
                  <c:v>40.176142403949598</c:v>
                </c:pt>
                <c:pt idx="199">
                  <c:v>39.868524187617624</c:v>
                </c:pt>
                <c:pt idx="200">
                  <c:v>39.559994711417971</c:v>
                </c:pt>
                <c:pt idx="201">
                  <c:v>39.250569675481131</c:v>
                </c:pt>
                <c:pt idx="202">
                  <c:v>38.940264958888434</c:v>
                </c:pt>
                <c:pt idx="203">
                  <c:v>38.629096620673494</c:v>
                </c:pt>
                <c:pt idx="204">
                  <c:v>38.317080900554117</c:v>
                </c:pt>
                <c:pt idx="205">
                  <c:v>38.004234219396636</c:v>
                </c:pt>
                <c:pt idx="206">
                  <c:v>37.690573179414542</c:v>
                </c:pt>
                <c:pt idx="207">
                  <c:v>37.376114564103489</c:v>
                </c:pt>
                <c:pt idx="208">
                  <c:v>37.060875337915064</c:v>
                </c:pt>
                <c:pt idx="209">
                  <c:v>36.744872645671251</c:v>
                </c:pt>
                <c:pt idx="210">
                  <c:v>36.428123811722031</c:v>
                </c:pt>
                <c:pt idx="211">
                  <c:v>36.110646338848625</c:v>
                </c:pt>
                <c:pt idx="212">
                  <c:v>35.792457906915075</c:v>
                </c:pt>
                <c:pt idx="213">
                  <c:v>35.473576371270525</c:v>
                </c:pt>
                <c:pt idx="214">
                  <c:v>35.154019760905385</c:v>
                </c:pt>
                <c:pt idx="215">
                  <c:v>34.833806276364356</c:v>
                </c:pt>
                <c:pt idx="216">
                  <c:v>34.512954287419404</c:v>
                </c:pt>
                <c:pt idx="217">
                  <c:v>34.191482330506147</c:v>
                </c:pt>
                <c:pt idx="218">
                  <c:v>33.869409105926849</c:v>
                </c:pt>
                <c:pt idx="219">
                  <c:v>33.546753474824442</c:v>
                </c:pt>
                <c:pt idx="220">
                  <c:v>33.223534455930519</c:v>
                </c:pt>
                <c:pt idx="221">
                  <c:v>32.899771222092255</c:v>
                </c:pt>
                <c:pt idx="222">
                  <c:v>32.575483096582019</c:v>
                </c:pt>
                <c:pt idx="223">
                  <c:v>32.250689549194021</c:v>
                </c:pt>
                <c:pt idx="224">
                  <c:v>31.925410192133455</c:v>
                </c:pt>
                <c:pt idx="225">
                  <c:v>31.599664775701854</c:v>
                </c:pt>
                <c:pt idx="226">
                  <c:v>28.32101155710663</c:v>
                </c:pt>
                <c:pt idx="227">
                  <c:v>25.018306544189727</c:v>
                </c:pt>
                <c:pt idx="228">
                  <c:v>21.712714570212057</c:v>
                </c:pt>
                <c:pt idx="229">
                  <c:v>18.425432356046855</c:v>
                </c:pt>
                <c:pt idx="230">
                  <c:v>15.176970565225133</c:v>
                </c:pt>
                <c:pt idx="231">
                  <c:v>11.986467964163069</c:v>
                </c:pt>
                <c:pt idx="232">
                  <c:v>8.8711054211705971</c:v>
                </c:pt>
                <c:pt idx="233">
                  <c:v>5.8456685658796914</c:v>
                </c:pt>
                <c:pt idx="234">
                  <c:v>2.922283728974719</c:v>
                </c:pt>
                <c:pt idx="235">
                  <c:v>0.11032753444803234</c:v>
                </c:pt>
                <c:pt idx="236">
                  <c:v>-2.5835093136964247</c:v>
                </c:pt>
                <c:pt idx="237">
                  <c:v>-5.155036339686859</c:v>
                </c:pt>
                <c:pt idx="238">
                  <c:v>-7.6022933568001747</c:v>
                </c:pt>
                <c:pt idx="239">
                  <c:v>-9.9252330245671487</c:v>
                </c:pt>
                <c:pt idx="240">
                  <c:v>-12.125387481489184</c:v>
                </c:pt>
                <c:pt idx="241">
                  <c:v>-14.205543349813098</c:v>
                </c:pt>
                <c:pt idx="242">
                  <c:v>-16.169441751380589</c:v>
                </c:pt>
                <c:pt idx="243">
                  <c:v>-18.021513094202845</c:v>
                </c:pt>
                <c:pt idx="244">
                  <c:v>-19.766650871293535</c:v>
                </c:pt>
                <c:pt idx="245">
                  <c:v>-21.410024704146366</c:v>
                </c:pt>
                <c:pt idx="246">
                  <c:v>-22.956930238456096</c:v>
                </c:pt>
                <c:pt idx="247">
                  <c:v>-24.412672002645593</c:v>
                </c:pt>
                <c:pt idx="248">
                  <c:v>-25.782474680273083</c:v>
                </c:pt>
                <c:pt idx="249">
                  <c:v>-27.071418158934193</c:v>
                </c:pt>
                <c:pt idx="250">
                  <c:v>-28.284391983759008</c:v>
                </c:pt>
                <c:pt idx="251">
                  <c:v>-29.426065301012386</c:v>
                </c:pt>
                <c:pt idx="252">
                  <c:v>-30.500868914412962</c:v>
                </c:pt>
                <c:pt idx="253">
                  <c:v>-31.512986621509043</c:v>
                </c:pt>
                <c:pt idx="254">
                  <c:v>-32.466353507553748</c:v>
                </c:pt>
                <c:pt idx="255">
                  <c:v>-33.364659328304981</c:v>
                </c:pt>
                <c:pt idx="256">
                  <c:v>-34.211355503113225</c:v>
                </c:pt>
                <c:pt idx="257">
                  <c:v>-35.009664565844389</c:v>
                </c:pt>
                <c:pt idx="258">
                  <c:v>-35.762591188498106</c:v>
                </c:pt>
                <c:pt idx="259">
                  <c:v>-36.472934107826887</c:v>
                </c:pt>
                <c:pt idx="260">
                  <c:v>-37.143298456496382</c:v>
                </c:pt>
                <c:pt idx="261">
                  <c:v>-37.776108134763632</c:v>
                </c:pt>
                <c:pt idx="262">
                  <c:v>-38.373617963023491</c:v>
                </c:pt>
                <c:pt idx="263">
                  <c:v>-38.937925435745626</c:v>
                </c:pt>
                <c:pt idx="264">
                  <c:v>-39.470981958236592</c:v>
                </c:pt>
                <c:pt idx="265">
                  <c:v>-39.974603493417419</c:v>
                </c:pt>
                <c:pt idx="266">
                  <c:v>-40.450480579730623</c:v>
                </c:pt>
                <c:pt idx="267">
                  <c:v>-40.900187706057523</c:v>
                </c:pt>
                <c:pt idx="268">
                  <c:v>-41.325192047266626</c:v>
                </c:pt>
                <c:pt idx="269">
                  <c:v>-41.726861576396033</c:v>
                </c:pt>
                <c:pt idx="270">
                  <c:v>-42.106472577813662</c:v>
                </c:pt>
                <c:pt idx="271">
                  <c:v>-42.465216591010915</c:v>
                </c:pt>
                <c:pt idx="272">
                  <c:v>-42.804206817757887</c:v>
                </c:pt>
                <c:pt idx="273">
                  <c:v>-43.124484026782397</c:v>
                </c:pt>
                <c:pt idx="274">
                  <c:v>-43.427021990392689</c:v>
                </c:pt>
                <c:pt idx="275">
                  <c:v>-43.712732486891383</c:v>
                </c:pt>
                <c:pt idx="276">
                  <c:v>-43.982469901494824</c:v>
                </c:pt>
                <c:pt idx="277">
                  <c:v>-44.237035456962616</c:v>
                </c:pt>
                <c:pt idx="278">
                  <c:v>-44.477181103416967</c:v>
                </c:pt>
                <c:pt idx="279">
                  <c:v>-44.703613094984433</c:v>
                </c:pt>
                <c:pt idx="280">
                  <c:v>-44.916995279007011</c:v>
                </c:pt>
                <c:pt idx="281">
                  <c:v>-45.117952121697385</c:v>
                </c:pt>
                <c:pt idx="282">
                  <c:v>-45.307071492295222</c:v>
                </c:pt>
                <c:pt idx="283">
                  <c:v>-45.484907226036626</c:v>
                </c:pt>
                <c:pt idx="284">
                  <c:v>-45.651981484599332</c:v>
                </c:pt>
                <c:pt idx="285">
                  <c:v>-45.808786931136041</c:v>
                </c:pt>
                <c:pt idx="286">
                  <c:v>-45.95578873556326</c:v>
                </c:pt>
                <c:pt idx="287">
                  <c:v>-46.093426424434341</c:v>
                </c:pt>
                <c:pt idx="288">
                  <c:v>-46.222115588485309</c:v>
                </c:pt>
                <c:pt idx="289">
                  <c:v>-46.34224945980759</c:v>
                </c:pt>
                <c:pt idx="290">
                  <c:v>-46.45420036955332</c:v>
                </c:pt>
                <c:pt idx="291">
                  <c:v>-46.558321096125269</c:v>
                </c:pt>
                <c:pt idx="292">
                  <c:v>-46.654946112928172</c:v>
                </c:pt>
                <c:pt idx="293">
                  <c:v>-46.744392743961129</c:v>
                </c:pt>
                <c:pt idx="294">
                  <c:v>-46.826962234803489</c:v>
                </c:pt>
                <c:pt idx="295">
                  <c:v>-46.90294074588536</c:v>
                </c:pt>
                <c:pt idx="296">
                  <c:v>-46.972600274329892</c:v>
                </c:pt>
                <c:pt idx="297">
                  <c:v>-47.036199510108048</c:v>
                </c:pt>
                <c:pt idx="298">
                  <c:v>-47.093984631746139</c:v>
                </c:pt>
                <c:pt idx="299">
                  <c:v>-47.146190046374642</c:v>
                </c:pt>
                <c:pt idx="300">
                  <c:v>-47.193039078494195</c:v>
                </c:pt>
                <c:pt idx="301">
                  <c:v>-47.234744611458893</c:v>
                </c:pt>
                <c:pt idx="302">
                  <c:v>-47.27150968533789</c:v>
                </c:pt>
                <c:pt idx="303">
                  <c:v>-47.303528054504511</c:v>
                </c:pt>
                <c:pt idx="304">
                  <c:v>-47.330984708022271</c:v>
                </c:pt>
                <c:pt idx="305">
                  <c:v>-47.35405635563734</c:v>
                </c:pt>
                <c:pt idx="306">
                  <c:v>-47.372911881956952</c:v>
                </c:pt>
                <c:pt idx="307">
                  <c:v>-47.387712771177377</c:v>
                </c:pt>
                <c:pt idx="308">
                  <c:v>-47.398613504532705</c:v>
                </c:pt>
                <c:pt idx="309">
                  <c:v>-47.405761932459143</c:v>
                </c:pt>
                <c:pt idx="310">
                  <c:v>-47.409299623306367</c:v>
                </c:pt>
                <c:pt idx="311">
                  <c:v>-47.409362190282991</c:v>
                </c:pt>
                <c:pt idx="312">
                  <c:v>-47.406079598186693</c:v>
                </c:pt>
                <c:pt idx="313">
                  <c:v>-47.399576451347713</c:v>
                </c:pt>
                <c:pt idx="314">
                  <c:v>-47.389972264102511</c:v>
                </c:pt>
                <c:pt idx="315">
                  <c:v>-47.377381715010756</c:v>
                </c:pt>
                <c:pt idx="316">
                  <c:v>-47.361914885936301</c:v>
                </c:pt>
                <c:pt idx="317">
                  <c:v>-47.343677487025417</c:v>
                </c:pt>
                <c:pt idx="318">
                  <c:v>-47.322771068538145</c:v>
                </c:pt>
                <c:pt idx="319">
                  <c:v>-47.299293220415052</c:v>
                </c:pt>
                <c:pt idx="320">
                  <c:v>-47.273337760396373</c:v>
                </c:pt>
                <c:pt idx="321">
                  <c:v>-47.244994911449879</c:v>
                </c:pt>
                <c:pt idx="322">
                  <c:v>-47.214351469206832</c:v>
                </c:pt>
                <c:pt idx="323">
                  <c:v>-47.1814909600551</c:v>
                </c:pt>
                <c:pt idx="324">
                  <c:v>-47.146493790491149</c:v>
                </c:pt>
                <c:pt idx="325">
                  <c:v>-47.109437388288882</c:v>
                </c:pt>
                <c:pt idx="326">
                  <c:v>-47.070396336003427</c:v>
                </c:pt>
                <c:pt idx="327">
                  <c:v>-47.029442497291086</c:v>
                </c:pt>
                <c:pt idx="328">
                  <c:v>-46.986645136493365</c:v>
                </c:pt>
                <c:pt idx="329">
                  <c:v>-46.942071031900497</c:v>
                </c:pt>
                <c:pt idx="330">
                  <c:v>-46.895784583082218</c:v>
                </c:pt>
                <c:pt idx="331">
                  <c:v>-46.847847912645221</c:v>
                </c:pt>
                <c:pt idx="332">
                  <c:v>-46.798320962754929</c:v>
                </c:pt>
                <c:pt idx="333">
                  <c:v>-46.747261586732577</c:v>
                </c:pt>
                <c:pt idx="334">
                  <c:v>-46.694725636021019</c:v>
                </c:pt>
                <c:pt idx="335">
                  <c:v>-46.640767042791055</c:v>
                </c:pt>
                <c:pt idx="336">
                  <c:v>-46.585437898442279</c:v>
                </c:pt>
                <c:pt idx="337">
                  <c:v>-46.528788528237328</c:v>
                </c:pt>
                <c:pt idx="338">
                  <c:v>-46.470867562289641</c:v>
                </c:pt>
                <c:pt idx="339">
                  <c:v>-46.411722003114448</c:v>
                </c:pt>
                <c:pt idx="340">
                  <c:v>-46.351397289935363</c:v>
                </c:pt>
                <c:pt idx="341">
                  <c:v>-46.289937359930207</c:v>
                </c:pt>
                <c:pt idx="342">
                  <c:v>-46.227384706584701</c:v>
                </c:pt>
                <c:pt idx="343">
                  <c:v>-46.163780435314948</c:v>
                </c:pt>
                <c:pt idx="344">
                  <c:v>-46.099164316507455</c:v>
                </c:pt>
                <c:pt idx="345">
                  <c:v>-46.033574836117623</c:v>
                </c:pt>
                <c:pt idx="346">
                  <c:v>-45.967049243957774</c:v>
                </c:pt>
                <c:pt idx="347">
                  <c:v>-45.899623599798787</c:v>
                </c:pt>
                <c:pt idx="348">
                  <c:v>-45.831332817401517</c:v>
                </c:pt>
                <c:pt idx="349">
                  <c:v>-45.762210706586131</c:v>
                </c:pt>
                <c:pt idx="350">
                  <c:v>-45.692290013443852</c:v>
                </c:pt>
                <c:pt idx="351">
                  <c:v>-45.621602458785162</c:v>
                </c:pt>
                <c:pt idx="352">
                  <c:v>-45.550178774917583</c:v>
                </c:pt>
                <c:pt idx="353">
                  <c:v>-45.478048740836385</c:v>
                </c:pt>
                <c:pt idx="354">
                  <c:v>-45.405241215910479</c:v>
                </c:pt>
                <c:pt idx="355">
                  <c:v>-45.331784172138299</c:v>
                </c:pt>
                <c:pt idx="356">
                  <c:v>-45.257704725045045</c:v>
                </c:pt>
                <c:pt idx="357">
                  <c:v>-45.18302916328966</c:v>
                </c:pt>
                <c:pt idx="358">
                  <c:v>-45.107782977043854</c:v>
                </c:pt>
                <c:pt idx="359">
                  <c:v>-45.031990885204294</c:v>
                </c:pt>
                <c:pt idx="360">
                  <c:v>-44.955676861493856</c:v>
                </c:pt>
                <c:pt idx="361">
                  <c:v>-44.878864159505838</c:v>
                </c:pt>
                <c:pt idx="362">
                  <c:v>-44.801575336741621</c:v>
                </c:pt>
                <c:pt idx="363">
                  <c:v>-44.723832277689411</c:v>
                </c:pt>
                <c:pt idx="364">
                  <c:v>-44.645656215989362</c:v>
                </c:pt>
                <c:pt idx="365">
                  <c:v>-44.56706775572826</c:v>
                </c:pt>
                <c:pt idx="366">
                  <c:v>-44.488086891903407</c:v>
                </c:pt>
                <c:pt idx="367">
                  <c:v>-44.408733030094339</c:v>
                </c:pt>
                <c:pt idx="368">
                  <c:v>-44.32902500537935</c:v>
                </c:pt>
                <c:pt idx="369">
                  <c:v>-44.24898110052996</c:v>
                </c:pt>
                <c:pt idx="370">
                  <c:v>-44.168619063517269</c:v>
                </c:pt>
                <c:pt idx="371">
                  <c:v>-44.087956124359266</c:v>
                </c:pt>
                <c:pt idx="372">
                  <c:v>-44.007009011340784</c:v>
                </c:pt>
                <c:pt idx="373">
                  <c:v>-43.925793966631659</c:v>
                </c:pt>
                <c:pt idx="374">
                  <c:v>-43.844326761330734</c:v>
                </c:pt>
                <c:pt idx="375">
                  <c:v>-43.76262270996051</c:v>
                </c:pt>
                <c:pt idx="376">
                  <c:v>-43.680696684435958</c:v>
                </c:pt>
                <c:pt idx="377">
                  <c:v>-43.598563127530383</c:v>
                </c:pt>
                <c:pt idx="378">
                  <c:v>-43.516236065859772</c:v>
                </c:pt>
                <c:pt idx="379">
                  <c:v>-43.433729122405822</c:v>
                </c:pt>
                <c:pt idx="380">
                  <c:v>-43.35105552859747</c:v>
                </c:pt>
                <c:pt idx="381">
                  <c:v>-43.268228135968968</c:v>
                </c:pt>
                <c:pt idx="382">
                  <c:v>-43.185259427412461</c:v>
                </c:pt>
                <c:pt idx="383">
                  <c:v>-43.102161528041137</c:v>
                </c:pt>
                <c:pt idx="384">
                  <c:v>-43.018946215680472</c:v>
                </c:pt>
                <c:pt idx="385">
                  <c:v>-42.935624931000291</c:v>
                </c:pt>
                <c:pt idx="386">
                  <c:v>-42.852208787304676</c:v>
                </c:pt>
                <c:pt idx="387">
                  <c:v>-42.768708579991284</c:v>
                </c:pt>
                <c:pt idx="388">
                  <c:v>-42.685134795695063</c:v>
                </c:pt>
                <c:pt idx="389">
                  <c:v>-42.601497621127919</c:v>
                </c:pt>
                <c:pt idx="390">
                  <c:v>-42.517806951625829</c:v>
                </c:pt>
                <c:pt idx="391">
                  <c:v>-42.434072399416408</c:v>
                </c:pt>
                <c:pt idx="392">
                  <c:v>-42.350303301616208</c:v>
                </c:pt>
                <c:pt idx="393">
                  <c:v>-42.266508727968954</c:v>
                </c:pt>
                <c:pt idx="394">
                  <c:v>-42.182697488334725</c:v>
                </c:pt>
                <c:pt idx="395">
                  <c:v>-42.098878139938989</c:v>
                </c:pt>
                <c:pt idx="396">
                  <c:v>-42.015058994391381</c:v>
                </c:pt>
                <c:pt idx="397">
                  <c:v>-41.931248124482067</c:v>
                </c:pt>
                <c:pt idx="398">
                  <c:v>-41.847453370764413</c:v>
                </c:pt>
                <c:pt idx="399">
                  <c:v>-41.76368234793236</c:v>
                </c:pt>
                <c:pt idx="400">
                  <c:v>-41.679942450998709</c:v>
                </c:pt>
                <c:pt idx="401">
                  <c:v>-41.596240861283206</c:v>
                </c:pt>
                <c:pt idx="402">
                  <c:v>-41.512584552216197</c:v>
                </c:pt>
                <c:pt idx="403">
                  <c:v>-41.428980294965442</c:v>
                </c:pt>
                <c:pt idx="404">
                  <c:v>-41.345434663891012</c:v>
                </c:pt>
                <c:pt idx="405">
                  <c:v>-41.261954041836447</c:v>
                </c:pt>
                <c:pt idx="406">
                  <c:v>-41.178544625260116</c:v>
                </c:pt>
                <c:pt idx="407">
                  <c:v>-41.095212429213547</c:v>
                </c:pt>
                <c:pt idx="408">
                  <c:v>-41.0119632921716</c:v>
                </c:pt>
                <c:pt idx="409">
                  <c:v>-40.928802880719957</c:v>
                </c:pt>
                <c:pt idx="410">
                  <c:v>-40.845736694104289</c:v>
                </c:pt>
                <c:pt idx="411">
                  <c:v>-40.762770068646802</c:v>
                </c:pt>
                <c:pt idx="412">
                  <c:v>-40.67990818203387</c:v>
                </c:pt>
                <c:pt idx="413">
                  <c:v>-40.597156057479367</c:v>
                </c:pt>
                <c:pt idx="414">
                  <c:v>-40.514518567768192</c:v>
                </c:pt>
                <c:pt idx="415">
                  <c:v>-40.432000439183781</c:v>
                </c:pt>
                <c:pt idx="416">
                  <c:v>-40.349606255323124</c:v>
                </c:pt>
                <c:pt idx="417">
                  <c:v>-40.267340460804007</c:v>
                </c:pt>
                <c:pt idx="418">
                  <c:v>-40.185207364866898</c:v>
                </c:pt>
                <c:pt idx="419">
                  <c:v>-40.103211144875786</c:v>
                </c:pt>
                <c:pt idx="420">
                  <c:v>-40.021355849720806</c:v>
                </c:pt>
                <c:pt idx="421">
                  <c:v>-39.939645403125809</c:v>
                </c:pt>
                <c:pt idx="422">
                  <c:v>-39.858083606864653</c:v>
                </c:pt>
                <c:pt idx="423">
                  <c:v>-39.776674143888187</c:v>
                </c:pt>
                <c:pt idx="424">
                  <c:v>-39.695420581364999</c:v>
                </c:pt>
                <c:pt idx="425">
                  <c:v>-39.614326373639528</c:v>
                </c:pt>
                <c:pt idx="426">
                  <c:v>-39.533394865108932</c:v>
                </c:pt>
                <c:pt idx="427">
                  <c:v>-39.452629293021943</c:v>
                </c:pt>
                <c:pt idx="428">
                  <c:v>-39.37203279020207</c:v>
                </c:pt>
                <c:pt idx="429">
                  <c:v>-39.291608387697465</c:v>
                </c:pt>
                <c:pt idx="430">
                  <c:v>-39.211359017359712</c:v>
                </c:pt>
                <c:pt idx="431">
                  <c:v>-39.131287514353573</c:v>
                </c:pt>
                <c:pt idx="432">
                  <c:v>-39.051396619599842</c:v>
                </c:pt>
                <c:pt idx="433">
                  <c:v>-38.971688982153751</c:v>
                </c:pt>
                <c:pt idx="434">
                  <c:v>-38.89216716152049</c:v>
                </c:pt>
                <c:pt idx="435">
                  <c:v>-38.812833629909335</c:v>
                </c:pt>
                <c:pt idx="436">
                  <c:v>-38.733690774429277</c:v>
                </c:pt>
                <c:pt idx="437">
                  <c:v>-38.654740899226908</c:v>
                </c:pt>
                <c:pt idx="438">
                  <c:v>-38.575986227568933</c:v>
                </c:pt>
                <c:pt idx="439">
                  <c:v>-38.497428903870258</c:v>
                </c:pt>
                <c:pt idx="440">
                  <c:v>-38.41907099567004</c:v>
                </c:pt>
                <c:pt idx="441">
                  <c:v>-38.340914495556802</c:v>
                </c:pt>
                <c:pt idx="442">
                  <c:v>-38.262961323043925</c:v>
                </c:pt>
                <c:pt idx="443">
                  <c:v>-38.185213326397104</c:v>
                </c:pt>
                <c:pt idx="444">
                  <c:v>-38.107672284415543</c:v>
                </c:pt>
                <c:pt idx="445">
                  <c:v>-38.030339908167491</c:v>
                </c:pt>
                <c:pt idx="446">
                  <c:v>-37.953217842682221</c:v>
                </c:pt>
                <c:pt idx="447">
                  <c:v>-37.876307668598457</c:v>
                </c:pt>
                <c:pt idx="448">
                  <c:v>-37.799610903772333</c:v>
                </c:pt>
                <c:pt idx="449">
                  <c:v>-37.723129004844054</c:v>
                </c:pt>
                <c:pt idx="450">
                  <c:v>-37.646863368765935</c:v>
                </c:pt>
                <c:pt idx="451">
                  <c:v>-37.570815334292007</c:v>
                </c:pt>
                <c:pt idx="452">
                  <c:v>-37.494986183430285</c:v>
                </c:pt>
                <c:pt idx="453">
                  <c:v>-37.419377142859673</c:v>
                </c:pt>
                <c:pt idx="454">
                  <c:v>-37.34398938531109</c:v>
                </c:pt>
                <c:pt idx="455">
                  <c:v>-37.268824030914658</c:v>
                </c:pt>
                <c:pt idx="456">
                  <c:v>-37.193882148514206</c:v>
                </c:pt>
                <c:pt idx="457">
                  <c:v>-37.119164756948493</c:v>
                </c:pt>
                <c:pt idx="458">
                  <c:v>-37.044672826301991</c:v>
                </c:pt>
                <c:pt idx="459">
                  <c:v>-36.970407279124544</c:v>
                </c:pt>
                <c:pt idx="460">
                  <c:v>-36.89636899162133</c:v>
                </c:pt>
                <c:pt idx="461">
                  <c:v>-36.822558794814114</c:v>
                </c:pt>
                <c:pt idx="462">
                  <c:v>-36.748977475673911</c:v>
                </c:pt>
                <c:pt idx="463">
                  <c:v>-36.675625778226561</c:v>
                </c:pt>
                <c:pt idx="464">
                  <c:v>-36.602504404631418</c:v>
                </c:pt>
                <c:pt idx="465">
                  <c:v>-36.529614016234007</c:v>
                </c:pt>
                <c:pt idx="466">
                  <c:v>-36.456955234593408</c:v>
                </c:pt>
                <c:pt idx="467">
                  <c:v>-36.384528642484867</c:v>
                </c:pt>
                <c:pt idx="468">
                  <c:v>-36.312334784878516</c:v>
                </c:pt>
                <c:pt idx="469">
                  <c:v>-36.240374169894551</c:v>
                </c:pt>
                <c:pt idx="470">
                  <c:v>-36.168647269735516</c:v>
                </c:pt>
                <c:pt idx="471">
                  <c:v>-36.097154521596707</c:v>
                </c:pt>
                <c:pt idx="472">
                  <c:v>-36.025896328554552</c:v>
                </c:pt>
                <c:pt idx="473">
                  <c:v>-35.954873060433926</c:v>
                </c:pt>
                <c:pt idx="474">
                  <c:v>-35.884085054655316</c:v>
                </c:pt>
                <c:pt idx="475">
                  <c:v>-35.813532617061156</c:v>
                </c:pt>
                <c:pt idx="476">
                  <c:v>-35.743216022723601</c:v>
                </c:pt>
                <c:pt idx="477">
                  <c:v>-35.673135516732259</c:v>
                </c:pt>
                <c:pt idx="478">
                  <c:v>-35.603291314964139</c:v>
                </c:pt>
                <c:pt idx="479">
                  <c:v>-35.533683604835005</c:v>
                </c:pt>
                <c:pt idx="480">
                  <c:v>-35.464312546033426</c:v>
                </c:pt>
                <c:pt idx="481">
                  <c:v>-35.395178271237313</c:v>
                </c:pt>
                <c:pt idx="482">
                  <c:v>-35.326280886813691</c:v>
                </c:pt>
                <c:pt idx="483">
                  <c:v>-35.25762047350247</c:v>
                </c:pt>
                <c:pt idx="484">
                  <c:v>-35.189197087083699</c:v>
                </c:pt>
                <c:pt idx="485">
                  <c:v>-35.12101075902973</c:v>
                </c:pt>
                <c:pt idx="486">
                  <c:v>-35.053061497141698</c:v>
                </c:pt>
                <c:pt idx="487">
                  <c:v>-34.98534928617164</c:v>
                </c:pt>
                <c:pt idx="488">
                  <c:v>-34.917874088429926</c:v>
                </c:pt>
                <c:pt idx="489">
                  <c:v>-34.850635844378701</c:v>
                </c:pt>
                <c:pt idx="490">
                  <c:v>-34.783634473211038</c:v>
                </c:pt>
                <c:pt idx="491">
                  <c:v>-34.716869873417522</c:v>
                </c:pt>
                <c:pt idx="492">
                  <c:v>-34.650341923339056</c:v>
                </c:pt>
                <c:pt idx="493">
                  <c:v>-34.584050481707067</c:v>
                </c:pt>
                <c:pt idx="494">
                  <c:v>-34.517995388171329</c:v>
                </c:pt>
                <c:pt idx="495">
                  <c:v>-34.452176463815277</c:v>
                </c:pt>
                <c:pt idx="496">
                  <c:v>-34.386593511659783</c:v>
                </c:pt>
                <c:pt idx="497">
                  <c:v>-34.321246317155101</c:v>
                </c:pt>
                <c:pt idx="498">
                  <c:v>-34.256134648661515</c:v>
                </c:pt>
                <c:pt idx="499">
                  <c:v>-34.191258257918918</c:v>
                </c:pt>
                <c:pt idx="500">
                  <c:v>-34.126616880505452</c:v>
                </c:pt>
                <c:pt idx="501">
                  <c:v>-34.062210236285978</c:v>
                </c:pt>
                <c:pt idx="502">
                  <c:v>-33.998038029849539</c:v>
                </c:pt>
                <c:pt idx="503">
                  <c:v>-33.934099950937537</c:v>
                </c:pt>
                <c:pt idx="504">
                  <c:v>-33.870395674861413</c:v>
                </c:pt>
                <c:pt idx="505">
                  <c:v>-33.80692486291133</c:v>
                </c:pt>
                <c:pt idx="506">
                  <c:v>-33.743687162754782</c:v>
                </c:pt>
                <c:pt idx="507">
                  <c:v>-33.680682208826738</c:v>
                </c:pt>
                <c:pt idx="508">
                  <c:v>-33.617909622710357</c:v>
                </c:pt>
                <c:pt idx="509">
                  <c:v>-33.555369013508994</c:v>
                </c:pt>
                <c:pt idx="510">
                  <c:v>-33.493059978210113</c:v>
                </c:pt>
                <c:pt idx="511">
                  <c:v>-33.430982102040076</c:v>
                </c:pt>
                <c:pt idx="512">
                  <c:v>-33.36913495881177</c:v>
                </c:pt>
                <c:pt idx="513">
                  <c:v>-33.307518111263107</c:v>
                </c:pt>
                <c:pt idx="514">
                  <c:v>-33.246131111388991</c:v>
                </c:pt>
                <c:pt idx="515">
                  <c:v>-33.184973500764556</c:v>
                </c:pt>
                <c:pt idx="516">
                  <c:v>-33.124044810861648</c:v>
                </c:pt>
                <c:pt idx="517">
                  <c:v>-33.063344563357958</c:v>
                </c:pt>
                <c:pt idx="518">
                  <c:v>-33.002872270438957</c:v>
                </c:pt>
                <c:pt idx="519">
                  <c:v>-32.942627435092618</c:v>
                </c:pt>
                <c:pt idx="520">
                  <c:v>-32.882609551398076</c:v>
                </c:pt>
                <c:pt idx="521">
                  <c:v>-32.822818104807055</c:v>
                </c:pt>
                <c:pt idx="522">
                  <c:v>-32.763252572418793</c:v>
                </c:pt>
                <c:pt idx="523">
                  <c:v>-32.70391242324925</c:v>
                </c:pt>
                <c:pt idx="524">
                  <c:v>-32.644797118493557</c:v>
                </c:pt>
                <c:pt idx="525">
                  <c:v>-32.585906111782521</c:v>
                </c:pt>
                <c:pt idx="526">
                  <c:v>-32.527238849433445</c:v>
                </c:pt>
                <c:pt idx="527">
                  <c:v>-32.468794770694927</c:v>
                </c:pt>
                <c:pt idx="528">
                  <c:v>-32.410573307986226</c:v>
                </c:pt>
                <c:pt idx="529">
                  <c:v>-32.352573887130973</c:v>
                </c:pt>
                <c:pt idx="530">
                  <c:v>-32.294795927585398</c:v>
                </c:pt>
                <c:pt idx="531">
                  <c:v>-32.237238842661498</c:v>
                </c:pt>
                <c:pt idx="532">
                  <c:v>-32.179902039745173</c:v>
                </c:pt>
                <c:pt idx="533">
                  <c:v>-32.122784920508479</c:v>
                </c:pt>
                <c:pt idx="534">
                  <c:v>-32.065886881118274</c:v>
                </c:pt>
                <c:pt idx="535">
                  <c:v>-32.009207312438804</c:v>
                </c:pt>
                <c:pt idx="536">
                  <c:v>-31.952745600230571</c:v>
                </c:pt>
                <c:pt idx="537">
                  <c:v>-31.896501125343661</c:v>
                </c:pt>
                <c:pt idx="538">
                  <c:v>-31.840473263907398</c:v>
                </c:pt>
                <c:pt idx="539">
                  <c:v>-31.784661387514944</c:v>
                </c:pt>
                <c:pt idx="540">
                  <c:v>-31.729064863404233</c:v>
                </c:pt>
                <c:pt idx="541">
                  <c:v>-31.673683054634012</c:v>
                </c:pt>
                <c:pt idx="542">
                  <c:v>-31.618515320256137</c:v>
                </c:pt>
                <c:pt idx="543">
                  <c:v>-31.563561015483998</c:v>
                </c:pt>
                <c:pt idx="544">
                  <c:v>-31.508819491856457</c:v>
                </c:pt>
                <c:pt idx="545">
                  <c:v>-31.454290097398626</c:v>
                </c:pt>
                <c:pt idx="546">
                  <c:v>-31.399972176778249</c:v>
                </c:pt>
                <c:pt idx="547">
                  <c:v>-31.345865071458832</c:v>
                </c:pt>
                <c:pt idx="548">
                  <c:v>-31.291968119848718</c:v>
                </c:pt>
                <c:pt idx="549">
                  <c:v>-31.238280657447348</c:v>
                </c:pt>
                <c:pt idx="550">
                  <c:v>-31.184802016987305</c:v>
                </c:pt>
                <c:pt idx="551">
                  <c:v>-31.131531528573419</c:v>
                </c:pt>
                <c:pt idx="552">
                  <c:v>-31.078468519818557</c:v>
                </c:pt>
                <c:pt idx="553">
                  <c:v>-31.025612315975962</c:v>
                </c:pt>
                <c:pt idx="554">
                  <c:v>-30.972962240068739</c:v>
                </c:pt>
                <c:pt idx="555">
                  <c:v>-30.920517613015846</c:v>
                </c:pt>
                <c:pt idx="556">
                  <c:v>-30.868277753755649</c:v>
                </c:pt>
                <c:pt idx="557">
                  <c:v>-30.816241979365998</c:v>
                </c:pt>
                <c:pt idx="558">
                  <c:v>-30.764409605181356</c:v>
                </c:pt>
                <c:pt idx="559">
                  <c:v>-30.712779944907965</c:v>
                </c:pt>
                <c:pt idx="560">
                  <c:v>-30.661352310735083</c:v>
                </c:pt>
                <c:pt idx="561">
                  <c:v>-30.61012601344413</c:v>
                </c:pt>
                <c:pt idx="562">
                  <c:v>-30.559100362515494</c:v>
                </c:pt>
                <c:pt idx="563">
                  <c:v>-30.508274666231841</c:v>
                </c:pt>
                <c:pt idx="564">
                  <c:v>-30.457648231779956</c:v>
                </c:pt>
                <c:pt idx="565">
                  <c:v>-30.407220365349104</c:v>
                </c:pt>
                <c:pt idx="566">
                  <c:v>-30.356990372227841</c:v>
                </c:pt>
                <c:pt idx="567">
                  <c:v>-30.306957556897686</c:v>
                </c:pt>
                <c:pt idx="568">
                  <c:v>-30.257121223125267</c:v>
                </c:pt>
                <c:pt idx="569">
                  <c:v>-30.207480674051368</c:v>
                </c:pt>
                <c:pt idx="570">
                  <c:v>-30.158035212278463</c:v>
                </c:pt>
                <c:pt idx="571">
                  <c:v>-30.108784139955532</c:v>
                </c:pt>
                <c:pt idx="572">
                  <c:v>-30.059726758861274</c:v>
                </c:pt>
                <c:pt idx="573">
                  <c:v>-30.010862370484745</c:v>
                </c:pt>
                <c:pt idx="574">
                  <c:v>-29.962190276104366</c:v>
                </c:pt>
                <c:pt idx="575">
                  <c:v>-29.913709776864749</c:v>
                </c:pt>
                <c:pt idx="576">
                  <c:v>-29.865420173851248</c:v>
                </c:pt>
                <c:pt idx="577">
                  <c:v>-29.817320768163569</c:v>
                </c:pt>
                <c:pt idx="578">
                  <c:v>-29.769410860986426</c:v>
                </c:pt>
                <c:pt idx="579">
                  <c:v>-29.721689753659092</c:v>
                </c:pt>
                <c:pt idx="580">
                  <c:v>-29.674156747742757</c:v>
                </c:pt>
                <c:pt idx="581">
                  <c:v>-29.626811145086577</c:v>
                </c:pt>
                <c:pt idx="582">
                  <c:v>-29.57965224789146</c:v>
                </c:pt>
                <c:pt idx="583">
                  <c:v>-29.532679358772782</c:v>
                </c:pt>
                <c:pt idx="584">
                  <c:v>-29.485891780820879</c:v>
                </c:pt>
                <c:pt idx="585">
                  <c:v>-29.439288817660469</c:v>
                </c:pt>
                <c:pt idx="586">
                  <c:v>-29.392869773508295</c:v>
                </c:pt>
                <c:pt idx="587">
                  <c:v>-29.346633953228974</c:v>
                </c:pt>
                <c:pt idx="588">
                  <c:v>-29.300580662389876</c:v>
                </c:pt>
                <c:pt idx="589">
                  <c:v>-29.254709207314221</c:v>
                </c:pt>
                <c:pt idx="590">
                  <c:v>-29.209018895132544</c:v>
                </c:pt>
                <c:pt idx="591">
                  <c:v>-29.163509033833463</c:v>
                </c:pt>
                <c:pt idx="592">
                  <c:v>-29.118178932312219</c:v>
                </c:pt>
                <c:pt idx="593">
                  <c:v>-29.073027900418481</c:v>
                </c:pt>
                <c:pt idx="594">
                  <c:v>-29.028055249002762</c:v>
                </c:pt>
                <c:pt idx="595">
                  <c:v>-28.983260289961066</c:v>
                </c:pt>
                <c:pt idx="596">
                  <c:v>-28.938642336279173</c:v>
                </c:pt>
                <c:pt idx="597">
                  <c:v>-28.894200702074727</c:v>
                </c:pt>
                <c:pt idx="598">
                  <c:v>-28.849934702638762</c:v>
                </c:pt>
                <c:pt idx="599">
                  <c:v>-28.805843654475979</c:v>
                </c:pt>
                <c:pt idx="600">
                  <c:v>-28.761926875343619</c:v>
                </c:pt>
                <c:pt idx="601">
                  <c:v>-28.718183684289414</c:v>
                </c:pt>
                <c:pt idx="602">
                  <c:v>-28.674613401688447</c:v>
                </c:pt>
                <c:pt idx="603">
                  <c:v>-28.631215349278847</c:v>
                </c:pt>
                <c:pt idx="604">
                  <c:v>-28.587988850196325</c:v>
                </c:pt>
                <c:pt idx="605">
                  <c:v>-28.544933229008251</c:v>
                </c:pt>
                <c:pt idx="606">
                  <c:v>-26.595594876767109</c:v>
                </c:pt>
                <c:pt idx="607">
                  <c:v>-24.994537918173478</c:v>
                </c:pt>
                <c:pt idx="608">
                  <c:v>-23.67670002798863</c:v>
                </c:pt>
                <c:pt idx="609">
                  <c:v>-22.589740421561345</c:v>
                </c:pt>
                <c:pt idx="610">
                  <c:v>-21.692084967467395</c:v>
                </c:pt>
                <c:pt idx="611">
                  <c:v>-20.950775011535171</c:v>
                </c:pt>
                <c:pt idx="612">
                  <c:v>-20.339594679371942</c:v>
                </c:pt>
                <c:pt idx="613">
                  <c:v>-19.837567048586465</c:v>
                </c:pt>
                <c:pt idx="614">
                  <c:v>-19.427786112606555</c:v>
                </c:pt>
                <c:pt idx="615">
                  <c:v>-19.096521575505534</c:v>
                </c:pt>
                <c:pt idx="616">
                  <c:v>-18.83253520069411</c:v>
                </c:pt>
                <c:pt idx="617">
                  <c:v>-18.626557902478226</c:v>
                </c:pt>
                <c:pt idx="618">
                  <c:v>-18.570323463564563</c:v>
                </c:pt>
                <c:pt idx="619">
                  <c:v>-18.521279570087273</c:v>
                </c:pt>
                <c:pt idx="620">
                  <c:v>-18.479046838406731</c:v>
                </c:pt>
                <c:pt idx="621">
                  <c:v>-18.443271002346762</c:v>
                </c:pt>
                <c:pt idx="622">
                  <c:v>-18.413620914032464</c:v>
                </c:pt>
                <c:pt idx="623">
                  <c:v>-18.389786726933494</c:v>
                </c:pt>
                <c:pt idx="624">
                  <c:v>-18.371478242759991</c:v>
                </c:pt>
                <c:pt idx="625">
                  <c:v>-18.358423405834117</c:v>
                </c:pt>
                <c:pt idx="626">
                  <c:v>-18.350366930320689</c:v>
                </c:pt>
                <c:pt idx="627">
                  <c:v>-18.347069047259509</c:v>
                </c:pt>
                <c:pt idx="628">
                  <c:v>-18.348304359733532</c:v>
                </c:pt>
                <c:pt idx="629">
                  <c:v>-18.35386079573766</c:v>
                </c:pt>
                <c:pt idx="630">
                  <c:v>-18.363538649410543</c:v>
                </c:pt>
                <c:pt idx="631">
                  <c:v>-18.377149702264404</c:v>
                </c:pt>
                <c:pt idx="632">
                  <c:v>-18.394516416914882</c:v>
                </c:pt>
                <c:pt idx="633">
                  <c:v>-18.415471196581706</c:v>
                </c:pt>
                <c:pt idx="634">
                  <c:v>-18.439855704317409</c:v>
                </c:pt>
                <c:pt idx="635">
                  <c:v>-18.467520236531811</c:v>
                </c:pt>
                <c:pt idx="636">
                  <c:v>-18.498323145923166</c:v>
                </c:pt>
                <c:pt idx="637">
                  <c:v>-18.532130309413333</c:v>
                </c:pt>
                <c:pt idx="638">
                  <c:v>-18.568814637117242</c:v>
                </c:pt>
                <c:pt idx="639">
                  <c:v>-18.608255618763081</c:v>
                </c:pt>
                <c:pt idx="640">
                  <c:v>-18.650338904328237</c:v>
                </c:pt>
                <c:pt idx="641">
                  <c:v>-18.694955915962311</c:v>
                </c:pt>
                <c:pt idx="642">
                  <c:v>-18.742003488550097</c:v>
                </c:pt>
                <c:pt idx="643">
                  <c:v>-18.79138353651345</c:v>
                </c:pt>
                <c:pt idx="644">
                  <c:v>-18.843002744674891</c:v>
                </c:pt>
                <c:pt idx="645">
                  <c:v>-18.896772281208484</c:v>
                </c:pt>
                <c:pt idx="646">
                  <c:v>-18.95260753088138</c:v>
                </c:pt>
                <c:pt idx="647">
                  <c:v>-19.010427846953405</c:v>
                </c:pt>
                <c:pt idx="648">
                  <c:v>-19.070156320248572</c:v>
                </c:pt>
                <c:pt idx="649">
                  <c:v>-19.131719564043806</c:v>
                </c:pt>
                <c:pt idx="650">
                  <c:v>-19.195047513539379</c:v>
                </c:pt>
                <c:pt idx="651">
                  <c:v>-19.26007323878386</c:v>
                </c:pt>
                <c:pt idx="652">
                  <c:v>-19.326732770022971</c:v>
                </c:pt>
                <c:pt idx="653">
                  <c:v>-19.394964934530663</c:v>
                </c:pt>
                <c:pt idx="654">
                  <c:v>-19.464711204059739</c:v>
                </c:pt>
                <c:pt idx="655">
                  <c:v>-19.535915552122418</c:v>
                </c:pt>
                <c:pt idx="656">
                  <c:v>-19.608524320376688</c:v>
                </c:pt>
                <c:pt idx="657">
                  <c:v>-19.682486093454372</c:v>
                </c:pt>
                <c:pt idx="658">
                  <c:v>-19.757751581619829</c:v>
                </c:pt>
                <c:pt idx="659">
                  <c:v>-19.8342735107002</c:v>
                </c:pt>
                <c:pt idx="660">
                  <c:v>-19.912006518769402</c:v>
                </c:pt>
                <c:pt idx="661">
                  <c:v>-19.990907059113255</c:v>
                </c:pt>
                <c:pt idx="662">
                  <c:v>-20.070933309036576</c:v>
                </c:pt>
                <c:pt idx="663">
                  <c:v>-20.152045084110739</c:v>
                </c:pt>
                <c:pt idx="664">
                  <c:v>-20.234203757488302</c:v>
                </c:pt>
                <c:pt idx="665">
                  <c:v>-20.31737218394241</c:v>
                </c:pt>
                <c:pt idx="666">
                  <c:v>-20.401514628312924</c:v>
                </c:pt>
                <c:pt idx="667">
                  <c:v>-20.48659669806662</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62.613407527682241</c:v>
                </c:pt>
                <c:pt idx="1">
                  <c:v>60.122583158902721</c:v>
                </c:pt>
                <c:pt idx="2">
                  <c:v>57.748533156199699</c:v>
                </c:pt>
                <c:pt idx="3">
                  <c:v>55.735777616531543</c:v>
                </c:pt>
                <c:pt idx="4">
                  <c:v>54.042379896313413</c:v>
                </c:pt>
                <c:pt idx="5">
                  <c:v>52.597757668305853</c:v>
                </c:pt>
                <c:pt idx="6">
                  <c:v>51.34484166500269</c:v>
                </c:pt>
                <c:pt idx="7">
                  <c:v>50.241762462876707</c:v>
                </c:pt>
                <c:pt idx="8">
                  <c:v>49.258063299358277</c:v>
                </c:pt>
                <c:pt idx="9">
                  <c:v>48.371285569719753</c:v>
                </c:pt>
                <c:pt idx="10">
                  <c:v>42.442808035337087</c:v>
                </c:pt>
                <c:pt idx="11">
                  <c:v>38.938524333700968</c:v>
                </c:pt>
                <c:pt idx="12">
                  <c:v>36.44621962988797</c:v>
                </c:pt>
                <c:pt idx="13">
                  <c:v>34.511361734332738</c:v>
                </c:pt>
                <c:pt idx="14">
                  <c:v>32.929918971128018</c:v>
                </c:pt>
                <c:pt idx="15">
                  <c:v>31.592680296663698</c:v>
                </c:pt>
                <c:pt idx="16">
                  <c:v>30.434335670639289</c:v>
                </c:pt>
                <c:pt idx="17">
                  <c:v>29.41271160624925</c:v>
                </c:pt>
                <c:pt idx="18">
                  <c:v>28.498991288172576</c:v>
                </c:pt>
                <c:pt idx="19">
                  <c:v>22.497258043185671</c:v>
                </c:pt>
                <c:pt idx="20">
                  <c:v>19.005408830213351</c:v>
                </c:pt>
                <c:pt idx="21">
                  <c:v>16.548246995655724</c:v>
                </c:pt>
                <c:pt idx="22">
                  <c:v>14.663207952164555</c:v>
                </c:pt>
                <c:pt idx="23">
                  <c:v>13.144099381724663</c:v>
                </c:pt>
                <c:pt idx="24">
                  <c:v>11.880787426182192</c:v>
                </c:pt>
                <c:pt idx="25">
                  <c:v>10.80738999778205</c:v>
                </c:pt>
                <c:pt idx="26">
                  <c:v>9.8812728478354259</c:v>
                </c:pt>
                <c:pt idx="27">
                  <c:v>9.0731909121818681</c:v>
                </c:pt>
                <c:pt idx="28">
                  <c:v>6.2245808667254003</c:v>
                </c:pt>
                <c:pt idx="29">
                  <c:v>4.5882835664564512</c:v>
                </c:pt>
                <c:pt idx="30">
                  <c:v>3.6461847828577874</c:v>
                </c:pt>
                <c:pt idx="31">
                  <c:v>3.142642842160325</c:v>
                </c:pt>
                <c:pt idx="32">
                  <c:v>2.927909995097032</c:v>
                </c:pt>
                <c:pt idx="33">
                  <c:v>2.9067412684273473</c:v>
                </c:pt>
                <c:pt idx="34">
                  <c:v>3.0160502753088227</c:v>
                </c:pt>
                <c:pt idx="35">
                  <c:v>3.2131432680482441</c:v>
                </c:pt>
                <c:pt idx="36">
                  <c:v>3.468753449780392</c:v>
                </c:pt>
                <c:pt idx="37">
                  <c:v>3.7626428724868131</c:v>
                </c:pt>
                <c:pt idx="38">
                  <c:v>4.0807282989845843</c:v>
                </c:pt>
                <c:pt idx="39">
                  <c:v>4.4131655973850688</c:v>
                </c:pt>
                <c:pt idx="40">
                  <c:v>4.7530561408868719</c:v>
                </c:pt>
                <c:pt idx="41">
                  <c:v>5.0955641774815987</c:v>
                </c:pt>
                <c:pt idx="42">
                  <c:v>5.4373090622479472</c:v>
                </c:pt>
                <c:pt idx="43">
                  <c:v>5.7759431322058461</c:v>
                </c:pt>
                <c:pt idx="44">
                  <c:v>6.1098560867634149</c:v>
                </c:pt>
                <c:pt idx="45">
                  <c:v>6.4379663188727907</c:v>
                </c:pt>
                <c:pt idx="46">
                  <c:v>6.7595725160151936</c:v>
                </c:pt>
                <c:pt idx="47">
                  <c:v>7.0742473844505316</c:v>
                </c:pt>
                <c:pt idx="48">
                  <c:v>7.3817610522052233</c:v>
                </c:pt>
                <c:pt idx="49">
                  <c:v>7.6820255459728042</c:v>
                </c:pt>
                <c:pt idx="50">
                  <c:v>7.9750543433560752</c:v>
                </c:pt>
                <c:pt idx="51">
                  <c:v>8.2609327851757772</c:v>
                </c:pt>
                <c:pt idx="52">
                  <c:v>8.5397963626173485</c:v>
                </c:pt>
                <c:pt idx="53">
                  <c:v>8.8118147492130898</c:v>
                </c:pt>
                <c:pt idx="54">
                  <c:v>9.0771800469519839</c:v>
                </c:pt>
                <c:pt idx="55">
                  <c:v>9.3360981389796844</c:v>
                </c:pt>
                <c:pt idx="56">
                  <c:v>9.5887823423742429</c:v>
                </c:pt>
                <c:pt idx="57">
                  <c:v>9.8354487701456463</c:v>
                </c:pt>
                <c:pt idx="58">
                  <c:v>10.076312967171784</c:v>
                </c:pt>
                <c:pt idx="59">
                  <c:v>10.311587497728459</c:v>
                </c:pt>
                <c:pt idx="60">
                  <c:v>10.541480244781772</c:v>
                </c:pt>
                <c:pt idx="61">
                  <c:v>10.766193241839693</c:v>
                </c:pt>
                <c:pt idx="62">
                  <c:v>10.985921902956118</c:v>
                </c:pt>
                <c:pt idx="63">
                  <c:v>11.200854549748861</c:v>
                </c:pt>
                <c:pt idx="64">
                  <c:v>11.411172159119312</c:v>
                </c:pt>
                <c:pt idx="65">
                  <c:v>11.617048273969859</c:v>
                </c:pt>
                <c:pt idx="66">
                  <c:v>11.818649033220304</c:v>
                </c:pt>
                <c:pt idx="67">
                  <c:v>12.016133288003704</c:v>
                </c:pt>
                <c:pt idx="68">
                  <c:v>12.209652778940557</c:v>
                </c:pt>
                <c:pt idx="69">
                  <c:v>12.399352355485128</c:v>
                </c:pt>
                <c:pt idx="70">
                  <c:v>12.585370222982345</c:v>
                </c:pt>
                <c:pt idx="71">
                  <c:v>12.767838206620191</c:v>
                </c:pt>
                <c:pt idx="72">
                  <c:v>12.946882024175128</c:v>
                </c:pt>
                <c:pt idx="73">
                  <c:v>13.122621561524513</c:v>
                </c:pt>
                <c:pt idx="74">
                  <c:v>13.295171146490832</c:v>
                </c:pt>
                <c:pt idx="75">
                  <c:v>13.464639817800538</c:v>
                </c:pt>
                <c:pt idx="76">
                  <c:v>13.631131586872034</c:v>
                </c:pt>
                <c:pt idx="77">
                  <c:v>13.794745690859145</c:v>
                </c:pt>
                <c:pt idx="78">
                  <c:v>13.955576835917991</c:v>
                </c:pt>
                <c:pt idx="79">
                  <c:v>14.11371543007583</c:v>
                </c:pt>
                <c:pt idx="80">
                  <c:v>14.269247805389789</c:v>
                </c:pt>
                <c:pt idx="81">
                  <c:v>14.422256429314466</c:v>
                </c:pt>
                <c:pt idx="82">
                  <c:v>14.57282010536826</c:v>
                </c:pt>
                <c:pt idx="83">
                  <c:v>14.721014163312026</c:v>
                </c:pt>
                <c:pt idx="84">
                  <c:v>14.866910639142008</c:v>
                </c:pt>
                <c:pt idx="85">
                  <c:v>15.010578445259545</c:v>
                </c:pt>
                <c:pt idx="86">
                  <c:v>15.152083531219294</c:v>
                </c:pt>
                <c:pt idx="87">
                  <c:v>15.291489035481201</c:v>
                </c:pt>
                <c:pt idx="88">
                  <c:v>15.428855428602592</c:v>
                </c:pt>
                <c:pt idx="89">
                  <c:v>15.564240648308761</c:v>
                </c:pt>
                <c:pt idx="90">
                  <c:v>15.697700226875806</c:v>
                </c:pt>
                <c:pt idx="91">
                  <c:v>15.829287411249846</c:v>
                </c:pt>
                <c:pt idx="92">
                  <c:v>15.959053276313744</c:v>
                </c:pt>
                <c:pt idx="93">
                  <c:v>16.087046831697002</c:v>
                </c:pt>
                <c:pt idx="94">
                  <c:v>16.213315122507439</c:v>
                </c:pt>
                <c:pt idx="95">
                  <c:v>16.337903324345607</c:v>
                </c:pt>
                <c:pt idx="96">
                  <c:v>16.460854832944435</c:v>
                </c:pt>
                <c:pt idx="97">
                  <c:v>16.582211348758435</c:v>
                </c:pt>
                <c:pt idx="98">
                  <c:v>16.70201295680868</c:v>
                </c:pt>
                <c:pt idx="99">
                  <c:v>16.820298202072262</c:v>
                </c:pt>
                <c:pt idx="100">
                  <c:v>16.937104160687781</c:v>
                </c:pt>
                <c:pt idx="101">
                  <c:v>17.052466507232062</c:v>
                </c:pt>
                <c:pt idx="102">
                  <c:v>17.166419578307885</c:v>
                </c:pt>
                <c:pt idx="103">
                  <c:v>17.278996432667256</c:v>
                </c:pt>
                <c:pt idx="104">
                  <c:v>17.390228908081124</c:v>
                </c:pt>
                <c:pt idx="105">
                  <c:v>17.500147675152689</c:v>
                </c:pt>
                <c:pt idx="106">
                  <c:v>17.608782288259302</c:v>
                </c:pt>
                <c:pt idx="107">
                  <c:v>17.716161233795965</c:v>
                </c:pt>
                <c:pt idx="108">
                  <c:v>17.822311975882318</c:v>
                </c:pt>
                <c:pt idx="109">
                  <c:v>17.927260999684854</c:v>
                </c:pt>
                <c:pt idx="110">
                  <c:v>18.031033852496144</c:v>
                </c:pt>
                <c:pt idx="111">
                  <c:v>18.133655182703933</c:v>
                </c:pt>
                <c:pt idx="112">
                  <c:v>18.23514877677432</c:v>
                </c:pt>
                <c:pt idx="113">
                  <c:v>18.335537594365515</c:v>
                </c:pt>
                <c:pt idx="114">
                  <c:v>18.434843801680966</c:v>
                </c:pt>
                <c:pt idx="115">
                  <c:v>18.533088803163981</c:v>
                </c:pt>
                <c:pt idx="116">
                  <c:v>18.630293271629334</c:v>
                </c:pt>
                <c:pt idx="117">
                  <c:v>18.726477176921438</c:v>
                </c:pt>
                <c:pt idx="118">
                  <c:v>18.821659813182986</c:v>
                </c:pt>
                <c:pt idx="119">
                  <c:v>18.915859824812614</c:v>
                </c:pt>
                <c:pt idx="120">
                  <c:v>19.009095231185555</c:v>
                </c:pt>
                <c:pt idx="121">
                  <c:v>19.101383450206242</c:v>
                </c:pt>
                <c:pt idx="122">
                  <c:v>19.192741320757943</c:v>
                </c:pt>
                <c:pt idx="123">
                  <c:v>19.283185124110346</c:v>
                </c:pt>
                <c:pt idx="124">
                  <c:v>19.372730604342323</c:v>
                </c:pt>
                <c:pt idx="125">
                  <c:v>19.461392987833573</c:v>
                </c:pt>
                <c:pt idx="126">
                  <c:v>19.54918700187585</c:v>
                </c:pt>
                <c:pt idx="127">
                  <c:v>19.636126892451099</c:v>
                </c:pt>
                <c:pt idx="128">
                  <c:v>19.722226441221281</c:v>
                </c:pt>
                <c:pt idx="129">
                  <c:v>19.807498981771889</c:v>
                </c:pt>
                <c:pt idx="130">
                  <c:v>19.891957415148823</c:v>
                </c:pt>
                <c:pt idx="131">
                  <c:v>19.975614224725685</c:v>
                </c:pt>
                <c:pt idx="132">
                  <c:v>20.058481490436819</c:v>
                </c:pt>
                <c:pt idx="133">
                  <c:v>20.140570902409024</c:v>
                </c:pt>
                <c:pt idx="134">
                  <c:v>20.221893774023219</c:v>
                </c:pt>
                <c:pt idx="135">
                  <c:v>20.302461054435383</c:v>
                </c:pt>
                <c:pt idx="136">
                  <c:v>20.382283340584625</c:v>
                </c:pt>
                <c:pt idx="137">
                  <c:v>20.461370888714502</c:v>
                </c:pt>
                <c:pt idx="138">
                  <c:v>20.539733625432405</c:v>
                </c:pt>
                <c:pt idx="139">
                  <c:v>20.617381158330264</c:v>
                </c:pt>
                <c:pt idx="140">
                  <c:v>20.694322786188735</c:v>
                </c:pt>
                <c:pt idx="141">
                  <c:v>20.770567508785817</c:v>
                </c:pt>
                <c:pt idx="142">
                  <c:v>20.846124036329421</c:v>
                </c:pt>
                <c:pt idx="143">
                  <c:v>20.921000798532852</c:v>
                </c:pt>
                <c:pt idx="144">
                  <c:v>20.995205953350627</c:v>
                </c:pt>
                <c:pt idx="145">
                  <c:v>21.068747395391551</c:v>
                </c:pt>
                <c:pt idx="146">
                  <c:v>21.141632764024845</c:v>
                </c:pt>
                <c:pt idx="147">
                  <c:v>21.213869451194221</c:v>
                </c:pt>
                <c:pt idx="148">
                  <c:v>21.28546460895442</c:v>
                </c:pt>
                <c:pt idx="149">
                  <c:v>21.356425156743374</c:v>
                </c:pt>
                <c:pt idx="150">
                  <c:v>21.426757788403023</c:v>
                </c:pt>
                <c:pt idx="151">
                  <c:v>21.496468978960877</c:v>
                </c:pt>
                <c:pt idx="152">
                  <c:v>21.565564991183734</c:v>
                </c:pt>
                <c:pt idx="153">
                  <c:v>21.634051881914598</c:v>
                </c:pt>
                <c:pt idx="154">
                  <c:v>21.70193550820315</c:v>
                </c:pt>
                <c:pt idx="155">
                  <c:v>21.769221533239566</c:v>
                </c:pt>
                <c:pt idx="156">
                  <c:v>21.8359154321011</c:v>
                </c:pt>
                <c:pt idx="157">
                  <c:v>21.902022497320321</c:v>
                </c:pt>
                <c:pt idx="158">
                  <c:v>21.967547844283352</c:v>
                </c:pt>
                <c:pt idx="159">
                  <c:v>22.032496416466259</c:v>
                </c:pt>
                <c:pt idx="160">
                  <c:v>22.096872990517205</c:v>
                </c:pt>
                <c:pt idx="161">
                  <c:v>22.160682181191408</c:v>
                </c:pt>
                <c:pt idx="162">
                  <c:v>22.223928446146143</c:v>
                </c:pt>
                <c:pt idx="163">
                  <c:v>22.286616090601985</c:v>
                </c:pt>
                <c:pt idx="164">
                  <c:v>22.34874927187677</c:v>
                </c:pt>
                <c:pt idx="165">
                  <c:v>22.410332003798</c:v>
                </c:pt>
                <c:pt idx="166">
                  <c:v>22.471368160999479</c:v>
                </c:pt>
                <c:pt idx="167">
                  <c:v>22.531861483107363</c:v>
                </c:pt>
                <c:pt idx="168">
                  <c:v>22.591815578820807</c:v>
                </c:pt>
                <c:pt idx="169">
                  <c:v>22.651233929891976</c:v>
                </c:pt>
                <c:pt idx="170">
                  <c:v>22.710119895010003</c:v>
                </c:pt>
                <c:pt idx="171">
                  <c:v>22.768476713593291</c:v>
                </c:pt>
                <c:pt idx="172">
                  <c:v>22.826307509494153</c:v>
                </c:pt>
                <c:pt idx="173">
                  <c:v>22.883615294619876</c:v>
                </c:pt>
                <c:pt idx="174">
                  <c:v>22.94040297247378</c:v>
                </c:pt>
                <c:pt idx="175">
                  <c:v>22.996673341619832</c:v>
                </c:pt>
                <c:pt idx="176">
                  <c:v>23.0524290990742</c:v>
                </c:pt>
                <c:pt idx="177">
                  <c:v>23.107672843626798</c:v>
                </c:pt>
                <c:pt idx="178">
                  <c:v>23.162407079095878</c:v>
                </c:pt>
                <c:pt idx="179">
                  <c:v>23.216634217518504</c:v>
                </c:pt>
                <c:pt idx="180">
                  <c:v>23.270356582279419</c:v>
                </c:pt>
                <c:pt idx="181">
                  <c:v>23.323576411181076</c:v>
                </c:pt>
                <c:pt idx="182">
                  <c:v>23.376295859456921</c:v>
                </c:pt>
                <c:pt idx="183">
                  <c:v>23.428517002730356</c:v>
                </c:pt>
                <c:pt idx="184">
                  <c:v>23.480241839921337</c:v>
                </c:pt>
                <c:pt idx="185">
                  <c:v>23.531472296102649</c:v>
                </c:pt>
                <c:pt idx="186">
                  <c:v>23.582210225307662</c:v>
                </c:pt>
                <c:pt idx="187">
                  <c:v>23.632457413291284</c:v>
                </c:pt>
                <c:pt idx="188">
                  <c:v>23.682215580245725</c:v>
                </c:pt>
                <c:pt idx="189">
                  <c:v>23.73148638347249</c:v>
                </c:pt>
                <c:pt idx="190">
                  <c:v>23.780271420012124</c:v>
                </c:pt>
                <c:pt idx="191">
                  <c:v>23.828572229232797</c:v>
                </c:pt>
                <c:pt idx="192">
                  <c:v>23.876390295379103</c:v>
                </c:pt>
                <c:pt idx="193">
                  <c:v>23.923727050081975</c:v>
                </c:pt>
                <c:pt idx="194">
                  <c:v>23.970583874830808</c:v>
                </c:pt>
                <c:pt idx="195">
                  <c:v>24.016962103408687</c:v>
                </c:pt>
                <c:pt idx="196">
                  <c:v>24.062863024291445</c:v>
                </c:pt>
                <c:pt idx="197">
                  <c:v>24.108287883011442</c:v>
                </c:pt>
                <c:pt idx="198">
                  <c:v>24.153237884486487</c:v>
                </c:pt>
                <c:pt idx="199">
                  <c:v>24.197714195314685</c:v>
                </c:pt>
                <c:pt idx="200">
                  <c:v>24.241717946035628</c:v>
                </c:pt>
                <c:pt idx="201">
                  <c:v>24.285250233358301</c:v>
                </c:pt>
                <c:pt idx="202">
                  <c:v>24.328312122356188</c:v>
                </c:pt>
                <c:pt idx="203">
                  <c:v>24.370904648629747</c:v>
                </c:pt>
                <c:pt idx="204">
                  <c:v>24.413028820436615</c:v>
                </c:pt>
                <c:pt idx="205">
                  <c:v>24.454685620789594</c:v>
                </c:pt>
                <c:pt idx="206">
                  <c:v>24.495876009522636</c:v>
                </c:pt>
                <c:pt idx="207">
                  <c:v>24.536600925324908</c:v>
                </c:pt>
                <c:pt idx="208">
                  <c:v>24.576861287742791</c:v>
                </c:pt>
                <c:pt idx="209">
                  <c:v>24.616657999150043</c:v>
                </c:pt>
                <c:pt idx="210">
                  <c:v>24.655991946685823</c:v>
                </c:pt>
                <c:pt idx="211">
                  <c:v>24.694864004160543</c:v>
                </c:pt>
                <c:pt idx="212">
                  <c:v>24.733275033929502</c:v>
                </c:pt>
                <c:pt idx="213">
                  <c:v>24.771225888733888</c:v>
                </c:pt>
                <c:pt idx="214">
                  <c:v>24.808717413509132</c:v>
                </c:pt>
                <c:pt idx="215">
                  <c:v>24.845750447160249</c:v>
                </c:pt>
                <c:pt idx="216">
                  <c:v>24.882325824303891</c:v>
                </c:pt>
                <c:pt idx="217">
                  <c:v>24.918444376976836</c:v>
                </c:pt>
                <c:pt idx="218">
                  <c:v>24.954106936310581</c:v>
                </c:pt>
                <c:pt idx="219">
                  <c:v>24.989314334171631</c:v>
                </c:pt>
                <c:pt idx="220">
                  <c:v>25.024067404767223</c:v>
                </c:pt>
                <c:pt idx="221">
                  <c:v>25.058366986215944</c:v>
                </c:pt>
                <c:pt idx="222">
                  <c:v>25.09221392208303</c:v>
                </c:pt>
                <c:pt idx="223">
                  <c:v>25.125609062879786</c:v>
                </c:pt>
                <c:pt idx="224">
                  <c:v>25.15855326752682</c:v>
                </c:pt>
                <c:pt idx="225">
                  <c:v>25.191047404780594</c:v>
                </c:pt>
                <c:pt idx="226">
                  <c:v>25.491435897579425</c:v>
                </c:pt>
                <c:pt idx="227">
                  <c:v>25.747894856617819</c:v>
                </c:pt>
                <c:pt idx="228">
                  <c:v>25.961635906886194</c:v>
                </c:pt>
                <c:pt idx="229">
                  <c:v>26.134175757665702</c:v>
                </c:pt>
                <c:pt idx="230">
                  <c:v>26.267367109609623</c:v>
                </c:pt>
                <c:pt idx="231">
                  <c:v>26.363390758853875</c:v>
                </c:pt>
                <c:pt idx="232">
                  <c:v>26.424715062725895</c:v>
                </c:pt>
                <c:pt idx="233">
                  <c:v>26.454031595621792</c:v>
                </c:pt>
                <c:pt idx="234">
                  <c:v>26.454177078219114</c:v>
                </c:pt>
                <c:pt idx="235">
                  <c:v>26.428051371166919</c:v>
                </c:pt>
                <c:pt idx="236">
                  <c:v>26.378539758936931</c:v>
                </c:pt>
                <c:pt idx="237">
                  <c:v>26.308445429104705</c:v>
                </c:pt>
                <c:pt idx="238">
                  <c:v>26.220435539834241</c:v>
                </c:pt>
                <c:pt idx="239">
                  <c:v>26.117002014635844</c:v>
                </c:pt>
                <c:pt idx="240">
                  <c:v>26.000436473656741</c:v>
                </c:pt>
                <c:pt idx="241">
                  <c:v>25.872817587167638</c:v>
                </c:pt>
                <c:pt idx="242">
                  <c:v>25.736008568166085</c:v>
                </c:pt>
                <c:pt idx="243">
                  <c:v>25.591662384094775</c:v>
                </c:pt>
                <c:pt idx="244">
                  <c:v>25.441232420265205</c:v>
                </c:pt>
                <c:pt idx="245">
                  <c:v>25.285986641779985</c:v>
                </c:pt>
                <c:pt idx="246">
                  <c:v>25.127023678595567</c:v>
                </c:pt>
                <c:pt idx="247">
                  <c:v>24.965289634407135</c:v>
                </c:pt>
                <c:pt idx="248">
                  <c:v>24.801594756739426</c:v>
                </c:pt>
                <c:pt idx="249">
                  <c:v>24.636629386158791</c:v>
                </c:pt>
                <c:pt idx="250">
                  <c:v>24.470978823604199</c:v>
                </c:pt>
                <c:pt idx="251">
                  <c:v>24.305136920960251</c:v>
                </c:pt>
                <c:pt idx="252">
                  <c:v>24.139518319306067</c:v>
                </c:pt>
                <c:pt idx="253">
                  <c:v>23.974469340939152</c:v>
                </c:pt>
                <c:pt idx="254">
                  <c:v>23.810277594000361</c:v>
                </c:pt>
                <c:pt idx="255">
                  <c:v>23.647180379852159</c:v>
                </c:pt>
                <c:pt idx="256">
                  <c:v>23.485372009427522</c:v>
                </c:pt>
                <c:pt idx="257">
                  <c:v>23.32501014035396</c:v>
                </c:pt>
                <c:pt idx="258">
                  <c:v>23.166221245361179</c:v>
                </c:pt>
                <c:pt idx="259">
                  <c:v>23.009105316921882</c:v>
                </c:pt>
                <c:pt idx="260">
                  <c:v>22.853739905105638</c:v>
                </c:pt>
                <c:pt idx="261">
                  <c:v>22.700183576517684</c:v>
                </c:pt>
                <c:pt idx="262">
                  <c:v>22.548478872789701</c:v>
                </c:pt>
                <c:pt idx="263">
                  <c:v>22.398654837922606</c:v>
                </c:pt>
                <c:pt idx="264">
                  <c:v>22.25072917516815</c:v>
                </c:pt>
                <c:pt idx="265">
                  <c:v>22.104710086245355</c:v>
                </c:pt>
                <c:pt idx="266">
                  <c:v>21.960597838588754</c:v>
                </c:pt>
                <c:pt idx="267">
                  <c:v>21.818386100023709</c:v>
                </c:pt>
                <c:pt idx="268">
                  <c:v>21.67806307472684</c:v>
                </c:pt>
                <c:pt idx="269">
                  <c:v>21.539612469501947</c:v>
                </c:pt>
                <c:pt idx="270">
                  <c:v>21.403014315217614</c:v>
                </c:pt>
                <c:pt idx="271">
                  <c:v>21.268245664643551</c:v>
                </c:pt>
                <c:pt idx="272">
                  <c:v>21.135281184820748</c:v>
                </c:pt>
                <c:pt idx="273">
                  <c:v>21.004093659441487</c:v>
                </c:pt>
                <c:pt idx="274">
                  <c:v>20.874654414441167</c:v>
                </c:pt>
                <c:pt idx="275">
                  <c:v>20.746933678062007</c:v>
                </c:pt>
                <c:pt idx="276">
                  <c:v>20.620900884991968</c:v>
                </c:pt>
                <c:pt idx="277">
                  <c:v>20.496524932770694</c:v>
                </c:pt>
                <c:pt idx="278">
                  <c:v>20.373774397451207</c:v>
                </c:pt>
                <c:pt idx="279">
                  <c:v>20.25261771448216</c:v>
                </c:pt>
                <c:pt idx="280">
                  <c:v>20.133023329902699</c:v>
                </c:pt>
                <c:pt idx="281">
                  <c:v>20.01495982619938</c:v>
                </c:pt>
                <c:pt idx="282">
                  <c:v>19.898396026541349</c:v>
                </c:pt>
                <c:pt idx="283">
                  <c:v>19.783301080570752</c:v>
                </c:pt>
                <c:pt idx="284">
                  <c:v>19.669644534465419</c:v>
                </c:pt>
                <c:pt idx="285">
                  <c:v>19.557396387598459</c:v>
                </c:pt>
                <c:pt idx="286">
                  <c:v>19.446527137784795</c:v>
                </c:pt>
                <c:pt idx="287">
                  <c:v>19.33700781681852</c:v>
                </c:pt>
                <c:pt idx="288">
                  <c:v>19.228810017760864</c:v>
                </c:pt>
                <c:pt idx="289">
                  <c:v>19.121905915229359</c:v>
                </c:pt>
                <c:pt idx="290">
                  <c:v>19.016268279760329</c:v>
                </c:pt>
                <c:pt idx="291">
                  <c:v>18.911870487163604</c:v>
                </c:pt>
                <c:pt idx="292">
                  <c:v>18.808686523657215</c:v>
                </c:pt>
                <c:pt idx="293">
                  <c:v>18.706690987457591</c:v>
                </c:pt>
                <c:pt idx="294">
                  <c:v>18.605859087404209</c:v>
                </c:pt>
                <c:pt idx="295">
                  <c:v>18.506166639114959</c:v>
                </c:pt>
                <c:pt idx="296">
                  <c:v>18.407590059097352</c:v>
                </c:pt>
                <c:pt idx="297">
                  <c:v>18.310106357179802</c:v>
                </c:pt>
                <c:pt idx="298">
                  <c:v>18.213693127574476</c:v>
                </c:pt>
                <c:pt idx="299">
                  <c:v>18.118328538838291</c:v>
                </c:pt>
                <c:pt idx="300">
                  <c:v>18.023991322959702</c:v>
                </c:pt>
                <c:pt idx="301">
                  <c:v>17.930660763765424</c:v>
                </c:pt>
                <c:pt idx="302">
                  <c:v>17.838316684812717</c:v>
                </c:pt>
                <c:pt idx="303">
                  <c:v>17.746939436907766</c:v>
                </c:pt>
                <c:pt idx="304">
                  <c:v>17.656509885369612</c:v>
                </c:pt>
                <c:pt idx="305">
                  <c:v>17.567009397140641</c:v>
                </c:pt>
                <c:pt idx="306">
                  <c:v>17.478419827828816</c:v>
                </c:pt>
                <c:pt idx="307">
                  <c:v>17.390723508753215</c:v>
                </c:pt>
                <c:pt idx="308">
                  <c:v>17.303903234052779</c:v>
                </c:pt>
                <c:pt idx="309">
                  <c:v>17.217942247908084</c:v>
                </c:pt>
                <c:pt idx="310">
                  <c:v>17.132824231917223</c:v>
                </c:pt>
                <c:pt idx="311">
                  <c:v>17.048533292659531</c:v>
                </c:pt>
                <c:pt idx="312">
                  <c:v>16.965053949474449</c:v>
                </c:pt>
                <c:pt idx="313">
                  <c:v>16.882371122477366</c:v>
                </c:pt>
                <c:pt idx="314">
                  <c:v>16.800470120829548</c:v>
                </c:pt>
                <c:pt idx="315">
                  <c:v>16.71933663127535</c:v>
                </c:pt>
                <c:pt idx="316">
                  <c:v>16.638956706956293</c:v>
                </c:pt>
                <c:pt idx="317">
                  <c:v>16.559316756508984</c:v>
                </c:pt>
                <c:pt idx="318">
                  <c:v>16.480403533451032</c:v>
                </c:pt>
                <c:pt idx="319">
                  <c:v>16.402204125857267</c:v>
                </c:pt>
                <c:pt idx="320">
                  <c:v>16.324705946326748</c:v>
                </c:pt>
                <c:pt idx="321">
                  <c:v>16.247896722239471</c:v>
                </c:pt>
                <c:pt idx="322">
                  <c:v>16.171764486300603</c:v>
                </c:pt>
                <c:pt idx="323">
                  <c:v>16.096297567368854</c:v>
                </c:pt>
                <c:pt idx="324">
                  <c:v>16.02148458156497</c:v>
                </c:pt>
                <c:pt idx="325">
                  <c:v>15.947314423655454</c:v>
                </c:pt>
                <c:pt idx="326">
                  <c:v>15.873776258706213</c:v>
                </c:pt>
                <c:pt idx="327">
                  <c:v>15.800859514000225</c:v>
                </c:pt>
                <c:pt idx="328">
                  <c:v>15.728553871213183</c:v>
                </c:pt>
                <c:pt idx="329">
                  <c:v>15.656849258840673</c:v>
                </c:pt>
                <c:pt idx="330">
                  <c:v>15.585735844870293</c:v>
                </c:pt>
                <c:pt idx="331">
                  <c:v>15.515204029692043</c:v>
                </c:pt>
                <c:pt idx="332">
                  <c:v>15.445244439240216</c:v>
                </c:pt>
                <c:pt idx="333">
                  <c:v>15.37584791835998</c:v>
                </c:pt>
                <c:pt idx="334">
                  <c:v>15.307005524391894</c:v>
                </c:pt>
                <c:pt idx="335">
                  <c:v>15.238708520967668</c:v>
                </c:pt>
                <c:pt idx="336">
                  <c:v>15.170948372010404</c:v>
                </c:pt>
                <c:pt idx="337">
                  <c:v>15.103716735932913</c:v>
                </c:pt>
                <c:pt idx="338">
                  <c:v>15.037005460027508</c:v>
                </c:pt>
                <c:pt idx="339">
                  <c:v>14.970806575041058</c:v>
                </c:pt>
                <c:pt idx="340">
                  <c:v>14.905112289929052</c:v>
                </c:pt>
                <c:pt idx="341">
                  <c:v>14.839914986782665</c:v>
                </c:pt>
                <c:pt idx="342">
                  <c:v>14.775207215922926</c:v>
                </c:pt>
                <c:pt idx="343">
                  <c:v>14.71098169115624</c:v>
                </c:pt>
                <c:pt idx="344">
                  <c:v>14.64723128518574</c:v>
                </c:pt>
                <c:pt idx="345">
                  <c:v>14.583949025173</c:v>
                </c:pt>
                <c:pt idx="346">
                  <c:v>14.521128088444899</c:v>
                </c:pt>
                <c:pt idx="347">
                  <c:v>14.458761798340539</c:v>
                </c:pt>
                <c:pt idx="348">
                  <c:v>14.396843620193343</c:v>
                </c:pt>
                <c:pt idx="349">
                  <c:v>14.335367157443448</c:v>
                </c:pt>
                <c:pt idx="350">
                  <c:v>14.274326147875973</c:v>
                </c:pt>
                <c:pt idx="351">
                  <c:v>14.213714459980524</c:v>
                </c:pt>
                <c:pt idx="352">
                  <c:v>14.153526089427809</c:v>
                </c:pt>
                <c:pt idx="353">
                  <c:v>14.093755155659078</c:v>
                </c:pt>
                <c:pt idx="354">
                  <c:v>14.034395898584506</c:v>
                </c:pt>
                <c:pt idx="355">
                  <c:v>13.975442675386567</c:v>
                </c:pt>
                <c:pt idx="356">
                  <c:v>13.916889957424761</c:v>
                </c:pt>
                <c:pt idx="357">
                  <c:v>13.858732327238005</c:v>
                </c:pt>
                <c:pt idx="358">
                  <c:v>13.800964475641388</c:v>
                </c:pt>
                <c:pt idx="359">
                  <c:v>13.743581198913779</c:v>
                </c:pt>
                <c:pt idx="360">
                  <c:v>13.686577396073234</c:v>
                </c:pt>
                <c:pt idx="361">
                  <c:v>13.629948066237032</c:v>
                </c:pt>
                <c:pt idx="362">
                  <c:v>13.573688306063392</c:v>
                </c:pt>
                <c:pt idx="363">
                  <c:v>13.517793307271983</c:v>
                </c:pt>
                <c:pt idx="364">
                  <c:v>13.462258354240538</c:v>
                </c:pt>
                <c:pt idx="365">
                  <c:v>13.407078821674812</c:v>
                </c:pt>
                <c:pt idx="366">
                  <c:v>13.352250172349439</c:v>
                </c:pt>
                <c:pt idx="367">
                  <c:v>13.297767954917145</c:v>
                </c:pt>
                <c:pt idx="368">
                  <c:v>13.243627801783997</c:v>
                </c:pt>
                <c:pt idx="369">
                  <c:v>13.189825427048394</c:v>
                </c:pt>
                <c:pt idx="370">
                  <c:v>13.136356624501598</c:v>
                </c:pt>
                <c:pt idx="371">
                  <c:v>13.083217265687729</c:v>
                </c:pt>
                <c:pt idx="372">
                  <c:v>13.03040329802112</c:v>
                </c:pt>
                <c:pt idx="373">
                  <c:v>12.977910742959189</c:v>
                </c:pt>
                <c:pt idx="374">
                  <c:v>12.925735694228809</c:v>
                </c:pt>
                <c:pt idx="375">
                  <c:v>12.873874316104477</c:v>
                </c:pt>
                <c:pt idx="376">
                  <c:v>12.822322841736472</c:v>
                </c:pt>
                <c:pt idx="377">
                  <c:v>12.771077571527371</c:v>
                </c:pt>
                <c:pt idx="378">
                  <c:v>12.720134871555214</c:v>
                </c:pt>
                <c:pt idx="379">
                  <c:v>12.669491172041891</c:v>
                </c:pt>
                <c:pt idx="380">
                  <c:v>12.619142965865151</c:v>
                </c:pt>
                <c:pt idx="381">
                  <c:v>12.569086807112788</c:v>
                </c:pt>
                <c:pt idx="382">
                  <c:v>12.51931930967771</c:v>
                </c:pt>
                <c:pt idx="383">
                  <c:v>12.469837145892416</c:v>
                </c:pt>
                <c:pt idx="384">
                  <c:v>12.420637045201708</c:v>
                </c:pt>
                <c:pt idx="385">
                  <c:v>12.371715792872298</c:v>
                </c:pt>
                <c:pt idx="386">
                  <c:v>12.323070228738196</c:v>
                </c:pt>
                <c:pt idx="387">
                  <c:v>12.27469724598064</c:v>
                </c:pt>
                <c:pt idx="388">
                  <c:v>12.226593789941552</c:v>
                </c:pt>
                <c:pt idx="389">
                  <c:v>12.178756856969342</c:v>
                </c:pt>
                <c:pt idx="390">
                  <c:v>12.131183493296083</c:v>
                </c:pt>
                <c:pt idx="391">
                  <c:v>12.083870793945092</c:v>
                </c:pt>
                <c:pt idx="392">
                  <c:v>12.03681590166787</c:v>
                </c:pt>
                <c:pt idx="393">
                  <c:v>11.99001600590954</c:v>
                </c:pt>
                <c:pt idx="394">
                  <c:v>11.943468341801866</c:v>
                </c:pt>
                <c:pt idx="395">
                  <c:v>11.897170189182996</c:v>
                </c:pt>
                <c:pt idx="396">
                  <c:v>11.851118871643083</c:v>
                </c:pt>
                <c:pt idx="397">
                  <c:v>11.80531175559501</c:v>
                </c:pt>
                <c:pt idx="398">
                  <c:v>11.759746249369385</c:v>
                </c:pt>
                <c:pt idx="399">
                  <c:v>11.714419802333179</c:v>
                </c:pt>
                <c:pt idx="400">
                  <c:v>11.669329904031098</c:v>
                </c:pt>
                <c:pt idx="401">
                  <c:v>11.624474083349215</c:v>
                </c:pt>
                <c:pt idx="402">
                  <c:v>11.579849907699973</c:v>
                </c:pt>
                <c:pt idx="403">
                  <c:v>11.535454982228089</c:v>
                </c:pt>
                <c:pt idx="404">
                  <c:v>11.491286949036603</c:v>
                </c:pt>
                <c:pt idx="405">
                  <c:v>11.447343486432571</c:v>
                </c:pt>
                <c:pt idx="406">
                  <c:v>11.403622308191707</c:v>
                </c:pt>
                <c:pt idx="407">
                  <c:v>11.360121162841523</c:v>
                </c:pt>
                <c:pt idx="408">
                  <c:v>11.316837832962314</c:v>
                </c:pt>
                <c:pt idx="409">
                  <c:v>11.273770134505558</c:v>
                </c:pt>
                <c:pt idx="410">
                  <c:v>11.230915916129167</c:v>
                </c:pt>
                <c:pt idx="411">
                  <c:v>11.188273058549061</c:v>
                </c:pt>
                <c:pt idx="412">
                  <c:v>11.145839473906705</c:v>
                </c:pt>
                <c:pt idx="413">
                  <c:v>11.103613105152032</c:v>
                </c:pt>
                <c:pt idx="414">
                  <c:v>11.061591925441354</c:v>
                </c:pt>
                <c:pt idx="415">
                  <c:v>11.01977393754985</c:v>
                </c:pt>
                <c:pt idx="416">
                  <c:v>10.978157173298158</c:v>
                </c:pt>
                <c:pt idx="417">
                  <c:v>10.936739692992761</c:v>
                </c:pt>
                <c:pt idx="418">
                  <c:v>10.895519584879668</c:v>
                </c:pt>
                <c:pt idx="419">
                  <c:v>10.854494964611092</c:v>
                </c:pt>
                <c:pt idx="420">
                  <c:v>10.813663974724715</c:v>
                </c:pt>
                <c:pt idx="421">
                  <c:v>10.773024784135238</c:v>
                </c:pt>
                <c:pt idx="422">
                  <c:v>10.732575587637809</c:v>
                </c:pt>
                <c:pt idx="423">
                  <c:v>10.692314605423064</c:v>
                </c:pt>
                <c:pt idx="424">
                  <c:v>10.652240082603397</c:v>
                </c:pt>
                <c:pt idx="425">
                  <c:v>10.612350288750205</c:v>
                </c:pt>
                <c:pt idx="426">
                  <c:v>10.572643517441772</c:v>
                </c:pt>
                <c:pt idx="427">
                  <c:v>10.533118085821517</c:v>
                </c:pt>
                <c:pt idx="428">
                  <c:v>10.493772334166334</c:v>
                </c:pt>
                <c:pt idx="429">
                  <c:v>10.454604625464693</c:v>
                </c:pt>
                <c:pt idx="430">
                  <c:v>10.415613345004349</c:v>
                </c:pt>
                <c:pt idx="431">
                  <c:v>10.37679689996928</c:v>
                </c:pt>
                <c:pt idx="432">
                  <c:v>10.338153719045691</c:v>
                </c:pt>
                <c:pt idx="433">
                  <c:v>10.299682252036796</c:v>
                </c:pt>
                <c:pt idx="434">
                  <c:v>10.261380969486193</c:v>
                </c:pt>
                <c:pt idx="435">
                  <c:v>10.22324836230954</c:v>
                </c:pt>
                <c:pt idx="436">
                  <c:v>10.185282941434373</c:v>
                </c:pt>
                <c:pt idx="437">
                  <c:v>10.147483237447815</c:v>
                </c:pt>
                <c:pt idx="438">
                  <c:v>10.109847800252016</c:v>
                </c:pt>
                <c:pt idx="439">
                  <c:v>10.072375198727022</c:v>
                </c:pt>
                <c:pt idx="440">
                  <c:v>10.035064020401041</c:v>
                </c:pt>
                <c:pt idx="441">
                  <c:v>9.997912871127749</c:v>
                </c:pt>
                <c:pt idx="442">
                  <c:v>9.9609203747705788</c:v>
                </c:pt>
                <c:pt idx="443">
                  <c:v>9.9240851728937223</c:v>
                </c:pt>
                <c:pt idx="444">
                  <c:v>9.8874059244597863</c:v>
                </c:pt>
                <c:pt idx="445">
                  <c:v>9.8508813055337683</c:v>
                </c:pt>
                <c:pt idx="446">
                  <c:v>9.8145100089933894</c:v>
                </c:pt>
                <c:pt idx="447">
                  <c:v>9.778290744245453</c:v>
                </c:pt>
                <c:pt idx="448">
                  <c:v>9.7422222369481819</c:v>
                </c:pt>
                <c:pt idx="449">
                  <c:v>9.7063032287393494</c:v>
                </c:pt>
                <c:pt idx="450">
                  <c:v>9.6705324769700507</c:v>
                </c:pt>
                <c:pt idx="451">
                  <c:v>9.6349087544440195</c:v>
                </c:pt>
                <c:pt idx="452">
                  <c:v>9.5994308491622711</c:v>
                </c:pt>
                <c:pt idx="453">
                  <c:v>9.5640975640730428</c:v>
                </c:pt>
                <c:pt idx="454">
                  <c:v>9.5289077168268115</c:v>
                </c:pt>
                <c:pt idx="455">
                  <c:v>9.493860139536336</c:v>
                </c:pt>
                <c:pt idx="456">
                  <c:v>9.4589536785415422</c:v>
                </c:pt>
                <c:pt idx="457">
                  <c:v>9.4241871941791793</c:v>
                </c:pt>
                <c:pt idx="458">
                  <c:v>9.3895595605571014</c:v>
                </c:pt>
                <c:pt idx="459">
                  <c:v>9.3550696653331045</c:v>
                </c:pt>
                <c:pt idx="460">
                  <c:v>9.3207164094981305</c:v>
                </c:pt>
                <c:pt idx="461">
                  <c:v>9.2864987071638545</c:v>
                </c:pt>
                <c:pt idx="462">
                  <c:v>9.2524154853544101</c:v>
                </c:pt>
                <c:pt idx="463">
                  <c:v>9.2184656838022967</c:v>
                </c:pt>
                <c:pt idx="464">
                  <c:v>9.1846482547482378</c:v>
                </c:pt>
                <c:pt idx="465">
                  <c:v>9.1509621627450102</c:v>
                </c:pt>
                <c:pt idx="466">
                  <c:v>9.1174063844650828</c:v>
                </c:pt>
                <c:pt idx="467">
                  <c:v>9.0839799085119814</c:v>
                </c:pt>
                <c:pt idx="468">
                  <c:v>9.0506817352353419</c:v>
                </c:pt>
                <c:pt idx="469">
                  <c:v>9.0175108765494887</c:v>
                </c:pt>
                <c:pt idx="470">
                  <c:v>8.9844663557555648</c:v>
                </c:pt>
                <c:pt idx="471">
                  <c:v>8.951547207366966</c:v>
                </c:pt>
                <c:pt idx="472">
                  <c:v>8.9187524769382325</c:v>
                </c:pt>
                <c:pt idx="473">
                  <c:v>8.8860812208970792</c:v>
                </c:pt>
                <c:pt idx="474">
                  <c:v>8.8535325063796844</c:v>
                </c:pt>
                <c:pt idx="475">
                  <c:v>8.8211054110690323</c:v>
                </c:pt>
                <c:pt idx="476">
                  <c:v>8.7887990230363382</c:v>
                </c:pt>
                <c:pt idx="477">
                  <c:v>8.7566124405854104</c:v>
                </c:pt>
                <c:pt idx="478">
                  <c:v>8.7245447720999252</c:v>
                </c:pt>
                <c:pt idx="479">
                  <c:v>8.6925951358935603</c:v>
                </c:pt>
                <c:pt idx="480">
                  <c:v>8.6607626600628578</c:v>
                </c:pt>
                <c:pt idx="481">
                  <c:v>8.6290464823428579</c:v>
                </c:pt>
                <c:pt idx="482">
                  <c:v>8.5974457499653418</c:v>
                </c:pt>
                <c:pt idx="483">
                  <c:v>8.5659596195196901</c:v>
                </c:pt>
                <c:pt idx="484">
                  <c:v>8.5345872568162839</c:v>
                </c:pt>
                <c:pt idx="485">
                  <c:v>8.503327836752387</c:v>
                </c:pt>
                <c:pt idx="486">
                  <c:v>8.4721805431804409</c:v>
                </c:pt>
                <c:pt idx="487">
                  <c:v>8.4411445687787783</c:v>
                </c:pt>
                <c:pt idx="488">
                  <c:v>8.4102191149246011</c:v>
                </c:pt>
                <c:pt idx="489">
                  <c:v>8.379403391569312</c:v>
                </c:pt>
                <c:pt idx="490">
                  <c:v>8.3486966171159889</c:v>
                </c:pt>
                <c:pt idx="491">
                  <c:v>8.3180980182991231</c:v>
                </c:pt>
                <c:pt idx="492">
                  <c:v>8.2876068300664265</c:v>
                </c:pt>
                <c:pt idx="493">
                  <c:v>8.2572222954627588</c:v>
                </c:pt>
                <c:pt idx="494">
                  <c:v>8.2269436655160852</c:v>
                </c:pt>
                <c:pt idx="495">
                  <c:v>8.1967701991254511</c:v>
                </c:pt>
                <c:pt idx="496">
                  <c:v>8.1667011629509076</c:v>
                </c:pt>
                <c:pt idx="497">
                  <c:v>8.1367358313053426</c:v>
                </c:pt>
                <c:pt idx="498">
                  <c:v>8.1068734860482152</c:v>
                </c:pt>
                <c:pt idx="499">
                  <c:v>8.0771134164811169</c:v>
                </c:pt>
                <c:pt idx="500">
                  <c:v>8.0474549192451192</c:v>
                </c:pt>
                <c:pt idx="501">
                  <c:v>8.0178972982199213</c:v>
                </c:pt>
                <c:pt idx="502">
                  <c:v>7.988439864424695</c:v>
                </c:pt>
                <c:pt idx="503">
                  <c:v>7.9590819359206231</c:v>
                </c:pt>
                <c:pt idx="504">
                  <c:v>7.9298228377151325</c:v>
                </c:pt>
                <c:pt idx="505">
                  <c:v>7.9006619016676893</c:v>
                </c:pt>
                <c:pt idx="506">
                  <c:v>7.8715984663972556</c:v>
                </c:pt>
                <c:pt idx="507">
                  <c:v>7.8426318771912387</c:v>
                </c:pt>
                <c:pt idx="508">
                  <c:v>7.8137614859160269</c:v>
                </c:pt>
                <c:pt idx="509">
                  <c:v>7.7849866509289729</c:v>
                </c:pt>
                <c:pt idx="510">
                  <c:v>7.7563067369918945</c:v>
                </c:pt>
                <c:pt idx="511">
                  <c:v>7.7277211151859548</c:v>
                </c:pt>
                <c:pt idx="512">
                  <c:v>7.6992291628280007</c:v>
                </c:pt>
                <c:pt idx="513">
                  <c:v>7.6708302633882752</c:v>
                </c:pt>
                <c:pt idx="514">
                  <c:v>7.6425238064094483</c:v>
                </c:pt>
                <c:pt idx="515">
                  <c:v>7.6143091874270237</c:v>
                </c:pt>
                <c:pt idx="516">
                  <c:v>7.5861858078910149</c:v>
                </c:pt>
                <c:pt idx="517">
                  <c:v>7.5581530750889101</c:v>
                </c:pt>
                <c:pt idx="518">
                  <c:v>7.5302104020698852</c:v>
                </c:pt>
                <c:pt idx="519">
                  <c:v>7.5023572075702427</c:v>
                </c:pt>
                <c:pt idx="520">
                  <c:v>7.4745929159400539</c:v>
                </c:pt>
                <c:pt idx="521">
                  <c:v>7.446916957070993</c:v>
                </c:pt>
                <c:pt idx="522">
                  <c:v>7.419328766325302</c:v>
                </c:pt>
                <c:pt idx="523">
                  <c:v>7.3918277844659226</c:v>
                </c:pt>
                <c:pt idx="524">
                  <c:v>7.3644134575877107</c:v>
                </c:pt>
                <c:pt idx="525">
                  <c:v>7.3370852370497639</c:v>
                </c:pt>
                <c:pt idx="526">
                  <c:v>7.3098425794088229</c:v>
                </c:pt>
                <c:pt idx="527">
                  <c:v>7.2826849463537009</c:v>
                </c:pt>
                <c:pt idx="528">
                  <c:v>7.2556118046407745</c:v>
                </c:pt>
                <c:pt idx="529">
                  <c:v>7.2286226260304467</c:v>
                </c:pt>
                <c:pt idx="530">
                  <c:v>7.201716887224654</c:v>
                </c:pt>
                <c:pt idx="531">
                  <c:v>7.1748940698053065</c:v>
                </c:pt>
                <c:pt idx="532">
                  <c:v>7.1481536601737039</c:v>
                </c:pt>
                <c:pt idx="533">
                  <c:v>7.1214951494908698</c:v>
                </c:pt>
                <c:pt idx="534">
                  <c:v>7.09491803361884</c:v>
                </c:pt>
                <c:pt idx="535">
                  <c:v>7.0684218130628338</c:v>
                </c:pt>
                <c:pt idx="536">
                  <c:v>7.0420059929142962</c:v>
                </c:pt>
                <c:pt idx="537">
                  <c:v>7.0156700827948573</c:v>
                </c:pt>
                <c:pt idx="538">
                  <c:v>6.9894135968010982</c:v>
                </c:pt>
                <c:pt idx="539">
                  <c:v>6.9632360534501849</c:v>
                </c:pt>
                <c:pt idx="540">
                  <c:v>6.9371369756263164</c:v>
                </c:pt>
                <c:pt idx="541">
                  <c:v>6.9111158905280003</c:v>
                </c:pt>
                <c:pt idx="542">
                  <c:v>6.8851723296160809</c:v>
                </c:pt>
                <c:pt idx="543">
                  <c:v>6.8593058285625927</c:v>
                </c:pt>
                <c:pt idx="544">
                  <c:v>6.8335159272003541</c:v>
                </c:pt>
                <c:pt idx="545">
                  <c:v>6.8078021694733231</c:v>
                </c:pt>
                <c:pt idx="546">
                  <c:v>6.7821641033876983</c:v>
                </c:pt>
                <c:pt idx="547">
                  <c:v>6.7566012809637224</c:v>
                </c:pt>
                <c:pt idx="548">
                  <c:v>6.7311132581882127</c:v>
                </c:pt>
                <c:pt idx="549">
                  <c:v>6.7056995949678235</c:v>
                </c:pt>
                <c:pt idx="550">
                  <c:v>6.6803598550829157</c:v>
                </c:pt>
                <c:pt idx="551">
                  <c:v>6.655093606142203</c:v>
                </c:pt>
                <c:pt idx="552">
                  <c:v>6.6299004195379823</c:v>
                </c:pt>
                <c:pt idx="553">
                  <c:v>6.6047798704020453</c:v>
                </c:pt>
                <c:pt idx="554">
                  <c:v>6.5797315375622478</c:v>
                </c:pt>
                <c:pt idx="555">
                  <c:v>6.5547550034996824</c:v>
                </c:pt>
                <c:pt idx="556">
                  <c:v>6.5298498543064865</c:v>
                </c:pt>
                <c:pt idx="557">
                  <c:v>6.5050156796442407</c:v>
                </c:pt>
                <c:pt idx="558">
                  <c:v>6.4802520727029842</c:v>
                </c:pt>
                <c:pt idx="559">
                  <c:v>6.4555586301608194</c:v>
                </c:pt>
                <c:pt idx="560">
                  <c:v>6.4309349521440708</c:v>
                </c:pt>
                <c:pt idx="561">
                  <c:v>6.4063806421880285</c:v>
                </c:pt>
                <c:pt idx="562">
                  <c:v>6.3818953071982527</c:v>
                </c:pt>
                <c:pt idx="563">
                  <c:v>6.3574785574124117</c:v>
                </c:pt>
                <c:pt idx="564">
                  <c:v>6.3331300063626657</c:v>
                </c:pt>
                <c:pt idx="565">
                  <c:v>6.308849270838599</c:v>
                </c:pt>
                <c:pt idx="566">
                  <c:v>6.2846359708506316</c:v>
                </c:pt>
                <c:pt idx="567">
                  <c:v>6.2604897295939841</c:v>
                </c:pt>
                <c:pt idx="568">
                  <c:v>6.2364101734131347</c:v>
                </c:pt>
                <c:pt idx="569">
                  <c:v>6.2123969317667429</c:v>
                </c:pt>
                <c:pt idx="570">
                  <c:v>6.1884496371931093</c:v>
                </c:pt>
                <c:pt idx="571">
                  <c:v>6.164567925276061</c:v>
                </c:pt>
                <c:pt idx="572">
                  <c:v>6.1407514346113707</c:v>
                </c:pt>
                <c:pt idx="573">
                  <c:v>6.1169998067735731</c:v>
                </c:pt>
                <c:pt idx="574">
                  <c:v>6.0933126862832756</c:v>
                </c:pt>
                <c:pt idx="575">
                  <c:v>6.0696897205749138</c:v>
                </c:pt>
                <c:pt idx="576">
                  <c:v>6.0461305599649409</c:v>
                </c:pt>
                <c:pt idx="577">
                  <c:v>6.0226348576204458</c:v>
                </c:pt>
                <c:pt idx="578">
                  <c:v>5.9992022695282143</c:v>
                </c:pt>
                <c:pt idx="579">
                  <c:v>5.9758324544641805</c:v>
                </c:pt>
                <c:pt idx="580">
                  <c:v>5.95252507396334</c:v>
                </c:pt>
                <c:pt idx="581">
                  <c:v>5.9292797922899965</c:v>
                </c:pt>
                <c:pt idx="582">
                  <c:v>5.906096276408487</c:v>
                </c:pt>
                <c:pt idx="583">
                  <c:v>5.8829741959542456</c:v>
                </c:pt>
                <c:pt idx="584">
                  <c:v>5.8599132232052735</c:v>
                </c:pt>
                <c:pt idx="585">
                  <c:v>5.83691303305398</c:v>
                </c:pt>
                <c:pt idx="586">
                  <c:v>5.8139733029794147</c:v>
                </c:pt>
                <c:pt idx="587">
                  <c:v>5.7910937130198539</c:v>
                </c:pt>
                <c:pt idx="588">
                  <c:v>5.7682739457457535</c:v>
                </c:pt>
                <c:pt idx="589">
                  <c:v>5.7455136862330525</c:v>
                </c:pt>
                <c:pt idx="590">
                  <c:v>5.7228126220368534</c:v>
                </c:pt>
                <c:pt idx="591">
                  <c:v>5.7001704431653941</c:v>
                </c:pt>
                <c:pt idx="592">
                  <c:v>5.677586842054434</c:v>
                </c:pt>
                <c:pt idx="593">
                  <c:v>5.6550615135419093</c:v>
                </c:pt>
                <c:pt idx="594">
                  <c:v>5.6325941548429492</c:v>
                </c:pt>
                <c:pt idx="595">
                  <c:v>5.6101844655252178</c:v>
                </c:pt>
                <c:pt idx="596">
                  <c:v>5.5878321474845638</c:v>
                </c:pt>
                <c:pt idx="597">
                  <c:v>5.5655369049209984</c:v>
                </c:pt>
                <c:pt idx="598">
                  <c:v>5.5432984443149502</c:v>
                </c:pt>
                <c:pt idx="599">
                  <c:v>5.5211164744038861</c:v>
                </c:pt>
                <c:pt idx="600">
                  <c:v>5.4989907061591659</c:v>
                </c:pt>
                <c:pt idx="601">
                  <c:v>5.4769208527632269</c:v>
                </c:pt>
                <c:pt idx="602">
                  <c:v>5.4549066295870743</c:v>
                </c:pt>
                <c:pt idx="603">
                  <c:v>5.4329477541680067</c:v>
                </c:pt>
                <c:pt idx="604">
                  <c:v>5.4110439461876858</c:v>
                </c:pt>
                <c:pt idx="605">
                  <c:v>5.3891949274504336</c:v>
                </c:pt>
                <c:pt idx="606">
                  <c:v>4.3610123238722807</c:v>
                </c:pt>
                <c:pt idx="607">
                  <c:v>3.4409663995393296</c:v>
                </c:pt>
                <c:pt idx="608">
                  <c:v>2.6082507780729931</c:v>
                </c:pt>
                <c:pt idx="609">
                  <c:v>1.8475299519375497</c:v>
                </c:pt>
                <c:pt idx="610">
                  <c:v>1.1471736505862993</c:v>
                </c:pt>
                <c:pt idx="611">
                  <c:v>0.4981510197373219</c:v>
                </c:pt>
                <c:pt idx="612">
                  <c:v>-0.10669093370565043</c:v>
                </c:pt>
                <c:pt idx="613">
                  <c:v>-0.6731145731922874</c:v>
                </c:pt>
                <c:pt idx="614">
                  <c:v>-1.2058303487302415</c:v>
                </c:pt>
                <c:pt idx="615">
                  <c:v>-1.7087382337596164</c:v>
                </c:pt>
                <c:pt idx="616">
                  <c:v>-2.1851036070923606</c:v>
                </c:pt>
                <c:pt idx="617">
                  <c:v>-2.6376878503843044</c:v>
                </c:pt>
                <c:pt idx="618">
                  <c:v>-2.8121222499170964</c:v>
                </c:pt>
                <c:pt idx="619">
                  <c:v>-2.9832536478549949</c:v>
                </c:pt>
                <c:pt idx="620">
                  <c:v>-3.1512107617254466</c:v>
                </c:pt>
                <c:pt idx="621">
                  <c:v>-3.3161150173322769</c:v>
                </c:pt>
                <c:pt idx="622">
                  <c:v>-3.4780810899681738</c:v>
                </c:pt>
                <c:pt idx="623">
                  <c:v>-3.6372173962072427</c:v>
                </c:pt>
                <c:pt idx="624">
                  <c:v>-3.7936265416068045</c:v>
                </c:pt>
                <c:pt idx="625">
                  <c:v>-3.9474057289880289</c:v>
                </c:pt>
                <c:pt idx="626">
                  <c:v>-4.0986471313968229</c:v>
                </c:pt>
                <c:pt idx="627">
                  <c:v>-4.2474382333561431</c:v>
                </c:pt>
                <c:pt idx="628">
                  <c:v>-4.3938621435966922</c:v>
                </c:pt>
                <c:pt idx="629">
                  <c:v>-4.5379978820847544</c:v>
                </c:pt>
                <c:pt idx="630">
                  <c:v>-4.6799206438456578</c:v>
                </c:pt>
                <c:pt idx="631">
                  <c:v>-4.8197020418019934</c:v>
                </c:pt>
                <c:pt idx="632">
                  <c:v>-4.9574103306018085</c:v>
                </c:pt>
                <c:pt idx="633">
                  <c:v>-5.0931106131979096</c:v>
                </c:pt>
                <c:pt idx="634">
                  <c:v>-5.2268650317517462</c:v>
                </c:pt>
                <c:pt idx="635">
                  <c:v>-5.3587329442702512</c:v>
                </c:pt>
                <c:pt idx="636">
                  <c:v>-5.4887710882381713</c:v>
                </c:pt>
                <c:pt idx="637">
                  <c:v>-5.617033732379979</c:v>
                </c:pt>
                <c:pt idx="638">
                  <c:v>-5.7435728175714127</c:v>
                </c:pt>
                <c:pt idx="639">
                  <c:v>-5.868438087819861</c:v>
                </c:pt>
                <c:pt idx="640">
                  <c:v>-5.9916772121429931</c:v>
                </c:pt>
                <c:pt idx="641">
                  <c:v>-6.1133358980954018</c:v>
                </c:pt>
                <c:pt idx="642">
                  <c:v>-6.2334579976215778</c:v>
                </c:pt>
                <c:pt idx="643">
                  <c:v>-6.3520856058503794</c:v>
                </c:pt>
                <c:pt idx="644">
                  <c:v>-6.4692591533890464</c:v>
                </c:pt>
                <c:pt idx="645">
                  <c:v>-6.5850174926241092</c:v>
                </c:pt>
                <c:pt idx="646">
                  <c:v>-6.6993979784907776</c:v>
                </c:pt>
                <c:pt idx="647">
                  <c:v>-6.8124365441315193</c:v>
                </c:pt>
                <c:pt idx="648">
                  <c:v>-6.9241677718274977</c:v>
                </c:pt>
                <c:pt idx="649">
                  <c:v>-7.0346249595534314</c:v>
                </c:pt>
                <c:pt idx="650">
                  <c:v>-7.1438401834764012</c:v>
                </c:pt>
                <c:pt idx="651">
                  <c:v>-7.2518443566919988</c:v>
                </c:pt>
                <c:pt idx="652">
                  <c:v>-7.3586672844668666</c:v>
                </c:pt>
                <c:pt idx="653">
                  <c:v>-7.4643377162342546</c:v>
                </c:pt>
                <c:pt idx="654">
                  <c:v>-7.5688833945693625</c:v>
                </c:pt>
                <c:pt idx="655">
                  <c:v>-7.6723311013527695</c:v>
                </c:pt>
                <c:pt idx="656">
                  <c:v>-7.774706701313808</c:v>
                </c:pt>
                <c:pt idx="657">
                  <c:v>-7.8760351831304849</c:v>
                </c:pt>
                <c:pt idx="658">
                  <c:v>-7.9763406982489364</c:v>
                </c:pt>
                <c:pt idx="659">
                  <c:v>-8.0756465975727636</c:v>
                </c:pt>
                <c:pt idx="660">
                  <c:v>-8.1739754661611936</c:v>
                </c:pt>
                <c:pt idx="661">
                  <c:v>-8.2713491560645345</c:v>
                </c:pt>
                <c:pt idx="662">
                  <c:v>-8.3677888174157538</c:v>
                </c:pt>
                <c:pt idx="663">
                  <c:v>-8.4633149278883817</c:v>
                </c:pt>
                <c:pt idx="664">
                  <c:v>-8.5579473206227838</c:v>
                </c:pt>
                <c:pt idx="665">
                  <c:v>-8.6517052107154662</c:v>
                </c:pt>
                <c:pt idx="666">
                  <c:v>-8.7446072203595069</c:v>
                </c:pt>
                <c:pt idx="667">
                  <c:v>-8.836671402717645</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-210.50844124668089</c:v>
                </c:pt>
                <c:pt idx="1">
                  <c:v>-229.65807222990631</c:v>
                </c:pt>
                <c:pt idx="2">
                  <c:v>-240.44352666195107</c:v>
                </c:pt>
                <c:pt idx="3">
                  <c:v>-246.91581195268571</c:v>
                </c:pt>
                <c:pt idx="4">
                  <c:v>-251.12455210745713</c:v>
                </c:pt>
                <c:pt idx="5">
                  <c:v>-254.04678291104656</c:v>
                </c:pt>
                <c:pt idx="6">
                  <c:v>-256.18053100457399</c:v>
                </c:pt>
                <c:pt idx="7">
                  <c:v>-257.80017289450899</c:v>
                </c:pt>
                <c:pt idx="8">
                  <c:v>-259.06752405967734</c:v>
                </c:pt>
                <c:pt idx="9">
                  <c:v>-260.08357807369458</c:v>
                </c:pt>
                <c:pt idx="10">
                  <c:v>-264.56406862315225</c:v>
                </c:pt>
                <c:pt idx="11">
                  <c:v>-265.87891564233138</c:v>
                </c:pt>
                <c:pt idx="12">
                  <c:v>-266.39058140699177</c:v>
                </c:pt>
                <c:pt idx="13">
                  <c:v>-266.57980385633277</c:v>
                </c:pt>
                <c:pt idx="14">
                  <c:v>-266.60757286489809</c:v>
                </c:pt>
                <c:pt idx="15">
                  <c:v>-266.54302393935802</c:v>
                </c:pt>
                <c:pt idx="16">
                  <c:v>-266.42076349297702</c:v>
                </c:pt>
                <c:pt idx="17">
                  <c:v>-266.26003134948701</c:v>
                </c:pt>
                <c:pt idx="18">
                  <c:v>-266.07237781373942</c:v>
                </c:pt>
                <c:pt idx="19">
                  <c:v>-263.60554679869557</c:v>
                </c:pt>
                <c:pt idx="20">
                  <c:v>-260.82330175848239</c:v>
                </c:pt>
                <c:pt idx="21">
                  <c:v>-257.97242020553222</c:v>
                </c:pt>
                <c:pt idx="22">
                  <c:v>-255.10539875500893</c:v>
                </c:pt>
                <c:pt idx="23">
                  <c:v>-252.24223412290047</c:v>
                </c:pt>
                <c:pt idx="24">
                  <c:v>-249.39351634875973</c:v>
                </c:pt>
                <c:pt idx="25">
                  <c:v>-246.56618480147017</c:v>
                </c:pt>
                <c:pt idx="26">
                  <c:v>-243.76543391384735</c:v>
                </c:pt>
                <c:pt idx="27">
                  <c:v>-240.99546640550921</c:v>
                </c:pt>
                <c:pt idx="28">
                  <c:v>-227.71600125164201</c:v>
                </c:pt>
                <c:pt idx="29">
                  <c:v>-215.57334357863573</c:v>
                </c:pt>
                <c:pt idx="30">
                  <c:v>-204.68806644933366</c:v>
                </c:pt>
                <c:pt idx="31">
                  <c:v>-195.05863425163534</c:v>
                </c:pt>
                <c:pt idx="32">
                  <c:v>-186.60790275191903</c:v>
                </c:pt>
                <c:pt idx="33">
                  <c:v>-179.22080042749133</c:v>
                </c:pt>
                <c:pt idx="34">
                  <c:v>-172.77018785946655</c:v>
                </c:pt>
                <c:pt idx="35">
                  <c:v>-167.1320776465011</c:v>
                </c:pt>
                <c:pt idx="36">
                  <c:v>-162.19322908859547</c:v>
                </c:pt>
                <c:pt idx="37">
                  <c:v>-157.85401512535105</c:v>
                </c:pt>
                <c:pt idx="38">
                  <c:v>-154.02867703737994</c:v>
                </c:pt>
                <c:pt idx="39">
                  <c:v>-150.64430561566675</c:v>
                </c:pt>
                <c:pt idx="40">
                  <c:v>-147.63931830752671</c:v>
                </c:pt>
                <c:pt idx="41">
                  <c:v>-144.9618393558558</c:v>
                </c:pt>
                <c:pt idx="42">
                  <c:v>-142.56817793900649</c:v>
                </c:pt>
                <c:pt idx="43">
                  <c:v>-140.42148303854162</c:v>
                </c:pt>
                <c:pt idx="44">
                  <c:v>-138.49059386869317</c:v>
                </c:pt>
                <c:pt idx="45">
                  <c:v>-136.74907630039067</c:v>
                </c:pt>
                <c:pt idx="46">
                  <c:v>-135.17442411629702</c:v>
                </c:pt>
                <c:pt idx="47">
                  <c:v>-133.74740086159048</c:v>
                </c:pt>
                <c:pt idx="48">
                  <c:v>-132.45149900420407</c:v>
                </c:pt>
                <c:pt idx="49">
                  <c:v>-131.27249572171701</c:v>
                </c:pt>
                <c:pt idx="50">
                  <c:v>-130.19808769975492</c:v>
                </c:pt>
                <c:pt idx="51">
                  <c:v>-129.21759029850756</c:v>
                </c:pt>
                <c:pt idx="52">
                  <c:v>-128.32168908798783</c:v>
                </c:pt>
                <c:pt idx="53">
                  <c:v>-127.50223400154471</c:v>
                </c:pt>
                <c:pt idx="54">
                  <c:v>-126.75206822083626</c:v>
                </c:pt>
                <c:pt idx="55">
                  <c:v>-126.06488542604357</c:v>
                </c:pt>
                <c:pt idx="56">
                  <c:v>-125.43511027420517</c:v>
                </c:pt>
                <c:pt idx="57">
                  <c:v>-124.85779795674392</c:v>
                </c:pt>
                <c:pt idx="58">
                  <c:v>-124.32854947963403</c:v>
                </c:pt>
                <c:pt idx="59">
                  <c:v>-123.84343994445672</c:v>
                </c:pt>
                <c:pt idx="60">
                  <c:v>-123.39895761736335</c:v>
                </c:pt>
                <c:pt idx="61">
                  <c:v>-122.99195198125145</c:v>
                </c:pt>
                <c:pt idx="62">
                  <c:v>-122.61958929474379</c:v>
                </c:pt>
                <c:pt idx="63">
                  <c:v>-122.27931444615183</c:v>
                </c:pt>
                <c:pt idx="64">
                  <c:v>-121.96881810443905</c:v>
                </c:pt>
                <c:pt idx="65">
                  <c:v>-121.68600834251814</c:v>
                </c:pt>
                <c:pt idx="66">
                  <c:v>-121.42898604913489</c:v>
                </c:pt>
                <c:pt idx="67">
                  <c:v>-121.19602356052339</c:v>
                </c:pt>
                <c:pt idx="68">
                  <c:v>-120.98554603706461</c:v>
                </c:pt>
                <c:pt idx="69">
                  <c:v>-120.79611518738358</c:v>
                </c:pt>
                <c:pt idx="70">
                  <c:v>-120.62641500590286</c:v>
                </c:pt>
                <c:pt idx="71">
                  <c:v>-120.47523924240609</c:v>
                </c:pt>
                <c:pt idx="72">
                  <c:v>-120.34148036570747</c:v>
                </c:pt>
                <c:pt idx="73">
                  <c:v>-120.224119819731</c:v>
                </c:pt>
                <c:pt idx="74">
                  <c:v>-120.12221940049866</c:v>
                </c:pt>
                <c:pt idx="75">
                  <c:v>-120.03491360778926</c:v>
                </c:pt>
                <c:pt idx="76">
                  <c:v>-119.96140284642618</c:v>
                </c:pt>
                <c:pt idx="77">
                  <c:v>-119.90094736998651</c:v>
                </c:pt>
                <c:pt idx="78">
                  <c:v>-119.85286187477828</c:v>
                </c:pt>
                <c:pt idx="79">
                  <c:v>-119.81651066466614</c:v>
                </c:pt>
                <c:pt idx="80">
                  <c:v>-119.79130331813479</c:v>
                </c:pt>
                <c:pt idx="81">
                  <c:v>-119.77669079817272</c:v>
                </c:pt>
                <c:pt idx="82">
                  <c:v>-119.77216195339975</c:v>
                </c:pt>
                <c:pt idx="83">
                  <c:v>-119.77724036556742</c:v>
                </c:pt>
                <c:pt idx="84">
                  <c:v>-119.79148150430831</c:v>
                </c:pt>
                <c:pt idx="85">
                  <c:v>-119.81447015494705</c:v>
                </c:pt>
                <c:pt idx="86">
                  <c:v>-119.84581808943875</c:v>
                </c:pt>
                <c:pt idx="87">
                  <c:v>-119.88516195417034</c:v>
                </c:pt>
                <c:pt idx="88">
                  <c:v>-119.9321613515344</c:v>
                </c:pt>
                <c:pt idx="89">
                  <c:v>-119.98649709493696</c:v>
                </c:pt>
                <c:pt idx="90">
                  <c:v>-120.04786961929108</c:v>
                </c:pt>
                <c:pt idx="91">
                  <c:v>-120.11599753112878</c:v>
                </c:pt>
                <c:pt idx="92">
                  <c:v>-120.19061628427805</c:v>
                </c:pt>
                <c:pt idx="93">
                  <c:v>-120.27147696863673</c:v>
                </c:pt>
                <c:pt idx="94">
                  <c:v>-120.35834520096442</c:v>
                </c:pt>
                <c:pt idx="95">
                  <c:v>-120.45100010782984</c:v>
                </c:pt>
                <c:pt idx="96">
                  <c:v>-120.54923339192081</c:v>
                </c:pt>
                <c:pt idx="97">
                  <c:v>-120.65284847386596</c:v>
                </c:pt>
                <c:pt idx="98">
                  <c:v>-120.76165970254684</c:v>
                </c:pt>
                <c:pt idx="99">
                  <c:v>-120.87549162761238</c:v>
                </c:pt>
                <c:pt idx="100">
                  <c:v>-120.99417832855553</c:v>
                </c:pt>
                <c:pt idx="101">
                  <c:v>-121.11756279528694</c:v>
                </c:pt>
                <c:pt idx="102">
                  <c:v>-121.24549635564988</c:v>
                </c:pt>
                <c:pt idx="103">
                  <c:v>-121.37783814577311</c:v>
                </c:pt>
                <c:pt idx="104">
                  <c:v>-121.51445461956246</c:v>
                </c:pt>
                <c:pt idx="105">
                  <c:v>-121.65521909398967</c:v>
                </c:pt>
                <c:pt idx="106">
                  <c:v>-121.80001132715938</c:v>
                </c:pt>
                <c:pt idx="107">
                  <c:v>-121.94871712641972</c:v>
                </c:pt>
                <c:pt idx="108">
                  <c:v>-122.10122798404001</c:v>
                </c:pt>
                <c:pt idx="109">
                  <c:v>-122.25744073820763</c:v>
                </c:pt>
                <c:pt idx="110">
                  <c:v>-122.41725725730299</c:v>
                </c:pt>
                <c:pt idx="111">
                  <c:v>-122.58058414559639</c:v>
                </c:pt>
                <c:pt idx="112">
                  <c:v>-122.74733246867649</c:v>
                </c:pt>
                <c:pt idx="113">
                  <c:v>-122.91741749707205</c:v>
                </c:pt>
                <c:pt idx="114">
                  <c:v>-123.09075846666073</c:v>
                </c:pt>
                <c:pt idx="115">
                  <c:v>-123.26727835458389</c:v>
                </c:pt>
                <c:pt idx="116">
                  <c:v>-123.44690366949452</c:v>
                </c:pt>
                <c:pt idx="117">
                  <c:v>-123.6295642550661</c:v>
                </c:pt>
                <c:pt idx="118">
                  <c:v>-123.81519310578011</c:v>
                </c:pt>
                <c:pt idx="119">
                  <c:v>-124.00372619409254</c:v>
                </c:pt>
                <c:pt idx="120">
                  <c:v>-124.19510230815283</c:v>
                </c:pt>
                <c:pt idx="121">
                  <c:v>-124.38926289931752</c:v>
                </c:pt>
                <c:pt idx="122">
                  <c:v>-124.58615193876136</c:v>
                </c:pt>
                <c:pt idx="123">
                  <c:v>-124.78571578254508</c:v>
                </c:pt>
                <c:pt idx="124">
                  <c:v>-124.98790304454943</c:v>
                </c:pt>
                <c:pt idx="125">
                  <c:v>-125.19266447673203</c:v>
                </c:pt>
                <c:pt idx="126">
                  <c:v>-125.3999528562058</c:v>
                </c:pt>
                <c:pt idx="127">
                  <c:v>-125.60972287867614</c:v>
                </c:pt>
                <c:pt idx="128">
                  <c:v>-125.82193105780986</c:v>
                </c:pt>
                <c:pt idx="129">
                  <c:v>-126.03653563014166</c:v>
                </c:pt>
                <c:pt idx="130">
                  <c:v>-126.25349646515187</c:v>
                </c:pt>
                <c:pt idx="131">
                  <c:v>-126.47277498017922</c:v>
                </c:pt>
                <c:pt idx="132">
                  <c:v>-126.69433405985467</c:v>
                </c:pt>
                <c:pt idx="133">
                  <c:v>-126.91813797976704</c:v>
                </c:pt>
                <c:pt idx="134">
                  <c:v>-127.14415233409133</c:v>
                </c:pt>
                <c:pt idx="135">
                  <c:v>-127.37234396693088</c:v>
                </c:pt>
                <c:pt idx="136">
                  <c:v>-127.60268090714132</c:v>
                </c:pt>
                <c:pt idx="137">
                  <c:v>-127.83513230642154</c:v>
                </c:pt>
                <c:pt idx="138">
                  <c:v>-128.069668380472</c:v>
                </c:pt>
                <c:pt idx="139">
                  <c:v>-128.30626035303402</c:v>
                </c:pt>
                <c:pt idx="140">
                  <c:v>-128.54488040263797</c:v>
                </c:pt>
                <c:pt idx="141">
                  <c:v>-128.78550161189821</c:v>
                </c:pt>
                <c:pt idx="142">
                  <c:v>-129.02809791920606</c:v>
                </c:pt>
                <c:pt idx="143">
                  <c:v>-129.27264407268041</c:v>
                </c:pt>
                <c:pt idx="144">
                  <c:v>-129.51911558624568</c:v>
                </c:pt>
                <c:pt idx="145">
                  <c:v>-129.76748869771646</c:v>
                </c:pt>
                <c:pt idx="146">
                  <c:v>-130.01774032877429</c:v>
                </c:pt>
                <c:pt idx="147">
                  <c:v>-130.26984804673219</c:v>
                </c:pt>
                <c:pt idx="148">
                  <c:v>-130.52379002798705</c:v>
                </c:pt>
                <c:pt idx="149">
                  <c:v>-130.77954502306849</c:v>
                </c:pt>
                <c:pt idx="150">
                  <c:v>-131.03709232319764</c:v>
                </c:pt>
                <c:pt idx="151">
                  <c:v>-131.29641172827539</c:v>
                </c:pt>
                <c:pt idx="152">
                  <c:v>-131.55748351622475</c:v>
                </c:pt>
                <c:pt idx="153">
                  <c:v>-131.82028841361733</c:v>
                </c:pt>
                <c:pt idx="154">
                  <c:v>-132.08480756751786</c:v>
                </c:pt>
                <c:pt idx="155">
                  <c:v>-132.35102251848477</c:v>
                </c:pt>
                <c:pt idx="156">
                  <c:v>-132.61891517467052</c:v>
                </c:pt>
                <c:pt idx="157">
                  <c:v>-132.88846778696615</c:v>
                </c:pt>
                <c:pt idx="158">
                  <c:v>-133.15966292514105</c:v>
                </c:pt>
                <c:pt idx="159">
                  <c:v>-133.43248345492989</c:v>
                </c:pt>
                <c:pt idx="160">
                  <c:v>-133.70691251602295</c:v>
                </c:pt>
                <c:pt idx="161">
                  <c:v>-133.98293350091836</c:v>
                </c:pt>
                <c:pt idx="162">
                  <c:v>-134.26053003459776</c:v>
                </c:pt>
                <c:pt idx="163">
                  <c:v>-134.53968595498907</c:v>
                </c:pt>
                <c:pt idx="164">
                  <c:v>-134.82038529418236</c:v>
                </c:pt>
                <c:pt idx="165">
                  <c:v>-135.10261226036727</c:v>
                </c:pt>
                <c:pt idx="166">
                  <c:v>-135.38635122046281</c:v>
                </c:pt>
                <c:pt idx="167">
                  <c:v>-135.67158668341065</c:v>
                </c:pt>
                <c:pt idx="168">
                  <c:v>-135.95830328410693</c:v>
                </c:pt>
                <c:pt idx="169">
                  <c:v>-136.2464857679484</c:v>
                </c:pt>
                <c:pt idx="170">
                  <c:v>-136.53611897596926</c:v>
                </c:pt>
                <c:pt idx="171">
                  <c:v>-136.82718783054861</c:v>
                </c:pt>
                <c:pt idx="172">
                  <c:v>-137.11967732166787</c:v>
                </c:pt>
                <c:pt idx="173">
                  <c:v>-137.41357249370037</c:v>
                </c:pt>
                <c:pt idx="174">
                  <c:v>-137.70885843271495</c:v>
                </c:pt>
                <c:pt idx="175">
                  <c:v>-138.00552025427854</c:v>
                </c:pt>
                <c:pt idx="176">
                  <c:v>-138.3035430917418</c:v>
                </c:pt>
                <c:pt idx="177">
                  <c:v>-138.60291208499396</c:v>
                </c:pt>
                <c:pt idx="178">
                  <c:v>-138.90361236967422</c:v>
                </c:pt>
                <c:pt idx="179">
                  <c:v>-139.20562906682682</c:v>
                </c:pt>
                <c:pt idx="180">
                  <c:v>-139.50894727298882</c:v>
                </c:pt>
                <c:pt idx="181">
                  <c:v>-139.81355205070003</c:v>
                </c:pt>
                <c:pt idx="182">
                  <c:v>-140.11942841942474</c:v>
                </c:pt>
                <c:pt idx="183">
                  <c:v>-140.42656134687667</c:v>
                </c:pt>
                <c:pt idx="184">
                  <c:v>-140.73493574073794</c:v>
                </c:pt>
                <c:pt idx="185">
                  <c:v>-141.04453644076443</c:v>
                </c:pt>
                <c:pt idx="186">
                  <c:v>-141.35534821126987</c:v>
                </c:pt>
                <c:pt idx="187">
                  <c:v>-141.66735573398199</c:v>
                </c:pt>
                <c:pt idx="188">
                  <c:v>-141.98054360126361</c:v>
                </c:pt>
                <c:pt idx="189">
                  <c:v>-142.29489630969374</c:v>
                </c:pt>
                <c:pt idx="190">
                  <c:v>-142.6103982540011</c:v>
                </c:pt>
                <c:pt idx="191">
                  <c:v>-142.92703372134716</c:v>
                </c:pt>
                <c:pt idx="192">
                  <c:v>-143.24478688595156</c:v>
                </c:pt>
                <c:pt idx="193">
                  <c:v>-143.5636418040564</c:v>
                </c:pt>
                <c:pt idx="194">
                  <c:v>-143.8835824092248</c:v>
                </c:pt>
                <c:pt idx="195">
                  <c:v>-144.20459250796921</c:v>
                </c:pt>
                <c:pt idx="196">
                  <c:v>-144.52665577570562</c:v>
                </c:pt>
                <c:pt idx="197">
                  <c:v>-144.84975575303014</c:v>
                </c:pt>
                <c:pt idx="198">
                  <c:v>-145.173875842314</c:v>
                </c:pt>
                <c:pt idx="199">
                  <c:v>-145.49899930461379</c:v>
                </c:pt>
                <c:pt idx="200">
                  <c:v>-145.82510925689286</c:v>
                </c:pt>
                <c:pt idx="201">
                  <c:v>-146.15218866955178</c:v>
                </c:pt>
                <c:pt idx="202">
                  <c:v>-146.48022036426343</c:v>
                </c:pt>
                <c:pt idx="203">
                  <c:v>-146.80918701211067</c:v>
                </c:pt>
                <c:pt idx="204">
                  <c:v>-147.13907113202225</c:v>
                </c:pt>
                <c:pt idx="205">
                  <c:v>-147.46985508950507</c:v>
                </c:pt>
                <c:pt idx="206">
                  <c:v>-147.80152109566896</c:v>
                </c:pt>
                <c:pt idx="207">
                  <c:v>-148.13405120654093</c:v>
                </c:pt>
                <c:pt idx="208">
                  <c:v>-148.467427322666</c:v>
                </c:pt>
                <c:pt idx="209">
                  <c:v>-148.80163118899131</c:v>
                </c:pt>
                <c:pt idx="210">
                  <c:v>-149.13664439502975</c:v>
                </c:pt>
                <c:pt idx="211">
                  <c:v>-149.47244837530087</c:v>
                </c:pt>
                <c:pt idx="212">
                  <c:v>-149.80902441004429</c:v>
                </c:pt>
                <c:pt idx="213">
                  <c:v>-150.14635362620328</c:v>
                </c:pt>
                <c:pt idx="214">
                  <c:v>-150.48441699867405</c:v>
                </c:pt>
                <c:pt idx="215">
                  <c:v>-150.82319535181728</c:v>
                </c:pt>
                <c:pt idx="216">
                  <c:v>-151.16266936122821</c:v>
                </c:pt>
                <c:pt idx="217">
                  <c:v>-151.50281955576085</c:v>
                </c:pt>
                <c:pt idx="218">
                  <c:v>-151.84362631980235</c:v>
                </c:pt>
                <c:pt idx="219">
                  <c:v>-152.18506989579333</c:v>
                </c:pt>
                <c:pt idx="220">
                  <c:v>-152.52713038698931</c:v>
                </c:pt>
                <c:pt idx="221">
                  <c:v>-152.86978776045896</c:v>
                </c:pt>
                <c:pt idx="222">
                  <c:v>-153.21302185031436</c:v>
                </c:pt>
                <c:pt idx="223">
                  <c:v>-153.55681236116763</c:v>
                </c:pt>
                <c:pt idx="224">
                  <c:v>-153.90113887180974</c:v>
                </c:pt>
                <c:pt idx="225">
                  <c:v>-154.24598083910553</c:v>
                </c:pt>
                <c:pt idx="226">
                  <c:v>-157.71815277626013</c:v>
                </c:pt>
                <c:pt idx="227">
                  <c:v>-161.21854996412978</c:v>
                </c:pt>
                <c:pt idx="228">
                  <c:v>-164.72542779570571</c:v>
                </c:pt>
                <c:pt idx="229">
                  <c:v>-168.21710575018827</c:v>
                </c:pt>
                <c:pt idx="230">
                  <c:v>-171.67266599640922</c:v>
                </c:pt>
                <c:pt idx="231">
                  <c:v>-175.07262439465589</c:v>
                </c:pt>
                <c:pt idx="232">
                  <c:v>-178.39950498452222</c:v>
                </c:pt>
                <c:pt idx="233">
                  <c:v>-181.63826829857737</c:v>
                </c:pt>
                <c:pt idx="234">
                  <c:v>-184.77656827689964</c:v>
                </c:pt>
                <c:pt idx="235">
                  <c:v>-187.80483696794778</c:v>
                </c:pt>
                <c:pt idx="236">
                  <c:v>-190.71621614661359</c:v>
                </c:pt>
                <c:pt idx="237">
                  <c:v>-193.50636789405291</c:v>
                </c:pt>
                <c:pt idx="238">
                  <c:v>-196.17320161188783</c:v>
                </c:pt>
                <c:pt idx="239">
                  <c:v>-198.71655407339483</c:v>
                </c:pt>
                <c:pt idx="240">
                  <c:v>-201.13785398207787</c:v>
                </c:pt>
                <c:pt idx="241">
                  <c:v>-203.4397952497531</c:v>
                </c:pt>
                <c:pt idx="242">
                  <c:v>-205.62603556709749</c:v>
                </c:pt>
                <c:pt idx="243">
                  <c:v>-207.70092997423052</c:v>
                </c:pt>
                <c:pt idx="244">
                  <c:v>-209.66930363151602</c:v>
                </c:pt>
                <c:pt idx="245">
                  <c:v>-211.53626398993421</c:v>
                </c:pt>
                <c:pt idx="246">
                  <c:v>-213.30704994206138</c:v>
                </c:pt>
                <c:pt idx="247">
                  <c:v>-214.98691404273904</c:v>
                </c:pt>
                <c:pt idx="248">
                  <c:v>-216.58103323303968</c:v>
                </c:pt>
                <c:pt idx="249">
                  <c:v>-218.09444341586337</c:v>
                </c:pt>
                <c:pt idx="250">
                  <c:v>-219.53199349953493</c:v>
                </c:pt>
                <c:pt idx="251">
                  <c:v>-220.89831498522551</c:v>
                </c:pt>
                <c:pt idx="252">
                  <c:v>-222.1978037127837</c:v>
                </c:pt>
                <c:pt idx="253">
                  <c:v>-223.43461092562791</c:v>
                </c:pt>
                <c:pt idx="254">
                  <c:v>-224.61264132654901</c:v>
                </c:pt>
                <c:pt idx="255">
                  <c:v>-225.7355562511554</c:v>
                </c:pt>
                <c:pt idx="256">
                  <c:v>-226.8067804763661</c:v>
                </c:pt>
                <c:pt idx="257">
                  <c:v>-227.82951150815424</c:v>
                </c:pt>
                <c:pt idx="258">
                  <c:v>-228.80673046056103</c:v>
                </c:pt>
                <c:pt idx="259">
                  <c:v>-229.7412138538686</c:v>
                </c:pt>
                <c:pt idx="260">
                  <c:v>-230.63554583140609</c:v>
                </c:pt>
                <c:pt idx="261">
                  <c:v>-231.49213042919672</c:v>
                </c:pt>
                <c:pt idx="262">
                  <c:v>-232.31320363727593</c:v>
                </c:pt>
                <c:pt idx="263">
                  <c:v>-233.100845071892</c:v>
                </c:pt>
                <c:pt idx="264">
                  <c:v>-233.85698913889144</c:v>
                </c:pt>
                <c:pt idx="265">
                  <c:v>-234.58343561449956</c:v>
                </c:pt>
                <c:pt idx="266">
                  <c:v>-235.28185960375674</c:v>
                </c:pt>
                <c:pt idx="267">
                  <c:v>-235.95382086175084</c:v>
                </c:pt>
                <c:pt idx="268">
                  <c:v>-236.60077248061782</c:v>
                </c:pt>
                <c:pt idx="269">
                  <c:v>-237.2240689577485</c:v>
                </c:pt>
                <c:pt idx="270">
                  <c:v>-237.82497366904764</c:v>
                </c:pt>
                <c:pt idx="271">
                  <c:v>-238.40466577646566</c:v>
                </c:pt>
                <c:pt idx="272">
                  <c:v>-238.96424660214677</c:v>
                </c:pt>
                <c:pt idx="273">
                  <c:v>-239.50474550301738</c:v>
                </c:pt>
                <c:pt idx="274">
                  <c:v>-240.02712527993492</c:v>
                </c:pt>
                <c:pt idx="275">
                  <c:v>-240.53228715498068</c:v>
                </c:pt>
                <c:pt idx="276">
                  <c:v>-241.02107534937429</c:v>
                </c:pt>
                <c:pt idx="277">
                  <c:v>-241.49428129300711</c:v>
                </c:pt>
                <c:pt idx="278">
                  <c:v>-241.95264749488814</c:v>
                </c:pt>
                <c:pt idx="279">
                  <c:v>-242.39687110196832</c:v>
                </c:pt>
                <c:pt idx="280">
                  <c:v>-242.8276071719433</c:v>
                </c:pt>
                <c:pt idx="281">
                  <c:v>-243.24547168377708</c:v>
                </c:pt>
                <c:pt idx="282">
                  <c:v>-243.65104430788423</c:v>
                </c:pt>
                <c:pt idx="283">
                  <c:v>-244.04487095617736</c:v>
                </c:pt>
                <c:pt idx="284">
                  <c:v>-244.42746613054652</c:v>
                </c:pt>
                <c:pt idx="285">
                  <c:v>-244.7993150867969</c:v>
                </c:pt>
                <c:pt idx="286">
                  <c:v>-245.16087582963598</c:v>
                </c:pt>
                <c:pt idx="287">
                  <c:v>-245.51258095296737</c:v>
                </c:pt>
                <c:pt idx="288">
                  <c:v>-245.85483933851899</c:v>
                </c:pt>
                <c:pt idx="289">
                  <c:v>-246.18803772470096</c:v>
                </c:pt>
                <c:pt idx="290">
                  <c:v>-246.5125421565493</c:v>
                </c:pt>
                <c:pt idx="291">
                  <c:v>-246.82869932665886</c:v>
                </c:pt>
                <c:pt idx="292">
                  <c:v>-247.13683781614208</c:v>
                </c:pt>
                <c:pt idx="293">
                  <c:v>-247.43726924385291</c:v>
                </c:pt>
                <c:pt idx="294">
                  <c:v>-247.73028933139528</c:v>
                </c:pt>
                <c:pt idx="295">
                  <c:v>-248.01617889077392</c:v>
                </c:pt>
                <c:pt idx="296">
                  <c:v>-248.29520474094693</c:v>
                </c:pt>
                <c:pt idx="297">
                  <c:v>-248.56762055899384</c:v>
                </c:pt>
                <c:pt idx="298">
                  <c:v>-248.8336676711161</c:v>
                </c:pt>
                <c:pt idx="299">
                  <c:v>-249.093575788236</c:v>
                </c:pt>
                <c:pt idx="300">
                  <c:v>-249.34756369054986</c:v>
                </c:pt>
                <c:pt idx="301">
                  <c:v>-249.59583986501826</c:v>
                </c:pt>
                <c:pt idx="302">
                  <c:v>-249.83860309943626</c:v>
                </c:pt>
                <c:pt idx="303">
                  <c:v>-250.07604303641872</c:v>
                </c:pt>
                <c:pt idx="304">
                  <c:v>-250.3083406903549</c:v>
                </c:pt>
                <c:pt idx="305">
                  <c:v>-250.53566893013016</c:v>
                </c:pt>
                <c:pt idx="306">
                  <c:v>-250.75819293018162</c:v>
                </c:pt>
                <c:pt idx="307">
                  <c:v>-250.97607059224072</c:v>
                </c:pt>
                <c:pt idx="308">
                  <c:v>-251.18945293992473</c:v>
                </c:pt>
                <c:pt idx="309">
                  <c:v>-251.39848448816116</c:v>
                </c:pt>
                <c:pt idx="310">
                  <c:v>-251.6033035892699</c:v>
                </c:pt>
                <c:pt idx="311">
                  <c:v>-251.80404275738155</c:v>
                </c:pt>
                <c:pt idx="312">
                  <c:v>-252.00082897273535</c:v>
                </c:pt>
                <c:pt idx="313">
                  <c:v>-252.19378396727899</c:v>
                </c:pt>
                <c:pt idx="314">
                  <c:v>-252.38302449288119</c:v>
                </c:pt>
                <c:pt idx="315">
                  <c:v>-252.56866257336458</c:v>
                </c:pt>
                <c:pt idx="316">
                  <c:v>-252.7508057414741</c:v>
                </c:pt>
                <c:pt idx="317">
                  <c:v>-252.92955726181017</c:v>
                </c:pt>
                <c:pt idx="318">
                  <c:v>-253.10501634067714</c:v>
                </c:pt>
                <c:pt idx="319">
                  <c:v>-253.27727832372619</c:v>
                </c:pt>
                <c:pt idx="320">
                  <c:v>-253.44643488220566</c:v>
                </c:pt>
                <c:pt idx="321">
                  <c:v>-253.61257418857124</c:v>
                </c:pt>
                <c:pt idx="322">
                  <c:v>-253.775781082153</c:v>
                </c:pt>
                <c:pt idx="323">
                  <c:v>-253.93613722552465</c:v>
                </c:pt>
                <c:pt idx="324">
                  <c:v>-254.09372125217507</c:v>
                </c:pt>
                <c:pt idx="325">
                  <c:v>-254.248608906036</c:v>
                </c:pt>
                <c:pt idx="326">
                  <c:v>-254.40087317338356</c:v>
                </c:pt>
                <c:pt idx="327">
                  <c:v>-254.55058440759103</c:v>
                </c:pt>
                <c:pt idx="328">
                  <c:v>-254.6978104471801</c:v>
                </c:pt>
                <c:pt idx="329">
                  <c:v>-254.84261672758328</c:v>
                </c:pt>
                <c:pt idx="330">
                  <c:v>-254.98506638700388</c:v>
                </c:pt>
                <c:pt idx="331">
                  <c:v>-255.12522036673204</c:v>
                </c:pt>
                <c:pt idx="332">
                  <c:v>-255.26313750625138</c:v>
                </c:pt>
                <c:pt idx="333">
                  <c:v>-255.39887463344832</c:v>
                </c:pt>
                <c:pt idx="334">
                  <c:v>-255.53248665021368</c:v>
                </c:pt>
                <c:pt idx="335">
                  <c:v>-255.66402661370927</c:v>
                </c:pt>
                <c:pt idx="336">
                  <c:v>-255.79354581355139</c:v>
                </c:pt>
                <c:pt idx="337">
                  <c:v>-255.92109384514919</c:v>
                </c:pt>
                <c:pt idx="338">
                  <c:v>-256.04671867941767</c:v>
                </c:pt>
                <c:pt idx="339">
                  <c:v>-256.17046672907361</c:v>
                </c:pt>
                <c:pt idx="340">
                  <c:v>-256.29238291170611</c:v>
                </c:pt>
                <c:pt idx="341">
                  <c:v>-256.41251070980525</c:v>
                </c:pt>
                <c:pt idx="342">
                  <c:v>-256.53089222791613</c:v>
                </c:pt>
                <c:pt idx="343">
                  <c:v>-256.64756824707888</c:v>
                </c:pt>
                <c:pt idx="344">
                  <c:v>-256.76257827670287</c:v>
                </c:pt>
                <c:pt idx="345">
                  <c:v>-256.8759606040158</c:v>
                </c:pt>
                <c:pt idx="346">
                  <c:v>-256.98775234121763</c:v>
                </c:pt>
                <c:pt idx="347">
                  <c:v>-257.0979894704634</c:v>
                </c:pt>
                <c:pt idx="348">
                  <c:v>-257.20670688679064</c:v>
                </c:pt>
                <c:pt idx="349">
                  <c:v>-257.31393843909956</c:v>
                </c:pt>
                <c:pt idx="350">
                  <c:v>-257.4197169692888</c:v>
                </c:pt>
                <c:pt idx="351">
                  <c:v>-257.52407434964232</c:v>
                </c:pt>
                <c:pt idx="352">
                  <c:v>-257.62704151855877</c:v>
                </c:pt>
                <c:pt idx="353">
                  <c:v>-257.72864851470729</c:v>
                </c:pt>
                <c:pt idx="354">
                  <c:v>-257.82892450969126</c:v>
                </c:pt>
                <c:pt idx="355">
                  <c:v>-257.92789783929447</c:v>
                </c:pt>
                <c:pt idx="356">
                  <c:v>-258.02559603338193</c:v>
                </c:pt>
                <c:pt idx="357">
                  <c:v>-258.12204584452167</c:v>
                </c:pt>
                <c:pt idx="358">
                  <c:v>-258.21727327539156</c:v>
                </c:pt>
                <c:pt idx="359">
                  <c:v>-258.31130360503056</c:v>
                </c:pt>
                <c:pt idx="360">
                  <c:v>-258.40416141399123</c:v>
                </c:pt>
                <c:pt idx="361">
                  <c:v>-258.49587060844635</c:v>
                </c:pt>
                <c:pt idx="362">
                  <c:v>-258.58645444330079</c:v>
                </c:pt>
                <c:pt idx="363">
                  <c:v>-258.67593554435587</c:v>
                </c:pt>
                <c:pt idx="364">
                  <c:v>-258.76433592957079</c:v>
                </c:pt>
                <c:pt idx="365">
                  <c:v>-258.85167702946524</c:v>
                </c:pt>
                <c:pt idx="366">
                  <c:v>-258.93797970670153</c:v>
                </c:pt>
                <c:pt idx="367">
                  <c:v>-259.02326427488646</c:v>
                </c:pt>
                <c:pt idx="368">
                  <c:v>-259.10755051662761</c:v>
                </c:pt>
                <c:pt idx="369">
                  <c:v>-259.19085770087918</c:v>
                </c:pt>
                <c:pt idx="370">
                  <c:v>-259.27320459960924</c:v>
                </c:pt>
                <c:pt idx="371">
                  <c:v>-259.35460950381986</c:v>
                </c:pt>
                <c:pt idx="372">
                  <c:v>-259.43509023894899</c:v>
                </c:pt>
                <c:pt idx="373">
                  <c:v>-259.51466417968157</c:v>
                </c:pt>
                <c:pt idx="374">
                  <c:v>-259.59334826419672</c:v>
                </c:pt>
                <c:pt idx="375">
                  <c:v>-259.67115900787559</c:v>
                </c:pt>
                <c:pt idx="376">
                  <c:v>-259.74811251649339</c:v>
                </c:pt>
                <c:pt idx="377">
                  <c:v>-259.82422449891908</c:v>
                </c:pt>
                <c:pt idx="378">
                  <c:v>-259.89951027934273</c:v>
                </c:pt>
                <c:pt idx="379">
                  <c:v>-259.97398480905235</c:v>
                </c:pt>
                <c:pt idx="380">
                  <c:v>-260.04766267777831</c:v>
                </c:pt>
                <c:pt idx="381">
                  <c:v>-260.12055812462472</c:v>
                </c:pt>
                <c:pt idx="382">
                  <c:v>-260.19268504860435</c:v>
                </c:pt>
                <c:pt idx="383">
                  <c:v>-260.26405701879514</c:v>
                </c:pt>
                <c:pt idx="384">
                  <c:v>-260.33468728413231</c:v>
                </c:pt>
                <c:pt idx="385">
                  <c:v>-260.40458878285301</c:v>
                </c:pt>
                <c:pt idx="386">
                  <c:v>-260.47377415160673</c:v>
                </c:pt>
                <c:pt idx="387">
                  <c:v>-260.54225573424571</c:v>
                </c:pt>
                <c:pt idx="388">
                  <c:v>-260.61004559030812</c:v>
                </c:pt>
                <c:pt idx="389">
                  <c:v>-260.67715550320708</c:v>
                </c:pt>
                <c:pt idx="390">
                  <c:v>-260.7435969881364</c:v>
                </c:pt>
                <c:pt idx="391">
                  <c:v>-260.80938129970559</c:v>
                </c:pt>
                <c:pt idx="392">
                  <c:v>-260.87451943931421</c:v>
                </c:pt>
                <c:pt idx="393">
                  <c:v>-260.93902216227571</c:v>
                </c:pt>
                <c:pt idx="394">
                  <c:v>-261.00289998470163</c:v>
                </c:pt>
                <c:pt idx="395">
                  <c:v>-261.06616319015427</c:v>
                </c:pt>
                <c:pt idx="396">
                  <c:v>-261.12882183607843</c:v>
                </c:pt>
                <c:pt idx="397">
                  <c:v>-261.19088576001877</c:v>
                </c:pt>
                <c:pt idx="398">
                  <c:v>-261.25236458563319</c:v>
                </c:pt>
                <c:pt idx="399">
                  <c:v>-261.31326772850883</c:v>
                </c:pt>
                <c:pt idx="400">
                  <c:v>-261.37360440178782</c:v>
                </c:pt>
                <c:pt idx="401">
                  <c:v>-261.4333836216116</c:v>
                </c:pt>
                <c:pt idx="402">
                  <c:v>-261.49261421238896</c:v>
                </c:pt>
                <c:pt idx="403">
                  <c:v>-261.5513048118957</c:v>
                </c:pt>
                <c:pt idx="404">
                  <c:v>-261.60946387621118</c:v>
                </c:pt>
                <c:pt idx="405">
                  <c:v>-261.66709968449845</c:v>
                </c:pt>
                <c:pt idx="406">
                  <c:v>-261.72422034363382</c:v>
                </c:pt>
                <c:pt idx="407">
                  <c:v>-261.78083379269094</c:v>
                </c:pt>
                <c:pt idx="408">
                  <c:v>-261.83694780728484</c:v>
                </c:pt>
                <c:pt idx="409">
                  <c:v>-261.8925700037812</c:v>
                </c:pt>
                <c:pt idx="410">
                  <c:v>-261.94770784337572</c:v>
                </c:pt>
                <c:pt idx="411">
                  <c:v>-262.002368636048</c:v>
                </c:pt>
                <c:pt idx="412">
                  <c:v>-262.05655954439482</c:v>
                </c:pt>
                <c:pt idx="413">
                  <c:v>-262.11028758734642</c:v>
                </c:pt>
                <c:pt idx="414">
                  <c:v>-262.16355964377112</c:v>
                </c:pt>
                <c:pt idx="415">
                  <c:v>-262.21638245597057</c:v>
                </c:pt>
                <c:pt idx="416">
                  <c:v>-262.26876263307133</c:v>
                </c:pt>
                <c:pt idx="417">
                  <c:v>-262.32070665431456</c:v>
                </c:pt>
                <c:pt idx="418">
                  <c:v>-262.37222087224882</c:v>
                </c:pt>
                <c:pt idx="419">
                  <c:v>-262.42331151582852</c:v>
                </c:pt>
                <c:pt idx="420">
                  <c:v>-262.47398469342147</c:v>
                </c:pt>
                <c:pt idx="421">
                  <c:v>-262.5242463957286</c:v>
                </c:pt>
                <c:pt idx="422">
                  <c:v>-262.57410249861903</c:v>
                </c:pt>
                <c:pt idx="423">
                  <c:v>-262.62355876588316</c:v>
                </c:pt>
                <c:pt idx="424">
                  <c:v>-262.6726208519064</c:v>
                </c:pt>
                <c:pt idx="425">
                  <c:v>-262.72129430426662</c:v>
                </c:pt>
                <c:pt idx="426">
                  <c:v>-262.76958456625755</c:v>
                </c:pt>
                <c:pt idx="427">
                  <c:v>-262.8174969793406</c:v>
                </c:pt>
                <c:pt idx="428">
                  <c:v>-262.86503678552737</c:v>
                </c:pt>
                <c:pt idx="429">
                  <c:v>-262.9122091296959</c:v>
                </c:pt>
                <c:pt idx="430">
                  <c:v>-262.9590190618415</c:v>
                </c:pt>
                <c:pt idx="431">
                  <c:v>-263.00547153926544</c:v>
                </c:pt>
                <c:pt idx="432">
                  <c:v>-263.05157142870269</c:v>
                </c:pt>
                <c:pt idx="433">
                  <c:v>-263.0973235083917</c:v>
                </c:pt>
                <c:pt idx="434">
                  <c:v>-263.14273247008663</c:v>
                </c:pt>
                <c:pt idx="435">
                  <c:v>-263.18780292101542</c:v>
                </c:pt>
                <c:pt idx="436">
                  <c:v>-263.23253938578421</c:v>
                </c:pt>
                <c:pt idx="437">
                  <c:v>-263.27694630823044</c:v>
                </c:pt>
                <c:pt idx="438">
                  <c:v>-263.32102805322609</c:v>
                </c:pt>
                <c:pt idx="439">
                  <c:v>-263.36478890843244</c:v>
                </c:pt>
                <c:pt idx="440">
                  <c:v>-263.40823308600858</c:v>
                </c:pt>
                <c:pt idx="441">
                  <c:v>-263.45136472427384</c:v>
                </c:pt>
                <c:pt idx="442">
                  <c:v>-263.49418788932672</c:v>
                </c:pt>
                <c:pt idx="443">
                  <c:v>-263.53670657662133</c:v>
                </c:pt>
                <c:pt idx="444">
                  <c:v>-263.57892471250233</c:v>
                </c:pt>
                <c:pt idx="445">
                  <c:v>-263.62084615569967</c:v>
                </c:pt>
                <c:pt idx="446">
                  <c:v>-263.66247469878522</c:v>
                </c:pt>
                <c:pt idx="447">
                  <c:v>-263.70381406959075</c:v>
                </c:pt>
                <c:pt idx="448">
                  <c:v>-263.74486793259075</c:v>
                </c:pt>
                <c:pt idx="449">
                  <c:v>-263.78563989024815</c:v>
                </c:pt>
                <c:pt idx="450">
                  <c:v>-263.82613348432756</c:v>
                </c:pt>
                <c:pt idx="451">
                  <c:v>-263.86635219717368</c:v>
                </c:pt>
                <c:pt idx="452">
                  <c:v>-263.90629945295814</c:v>
                </c:pt>
                <c:pt idx="453">
                  <c:v>-263.9459786188948</c:v>
                </c:pt>
                <c:pt idx="454">
                  <c:v>-263.9853930064246</c:v>
                </c:pt>
                <c:pt idx="455">
                  <c:v>-264.02454587237054</c:v>
                </c:pt>
                <c:pt idx="456">
                  <c:v>-264.06344042006481</c:v>
                </c:pt>
                <c:pt idx="457">
                  <c:v>-264.10207980044669</c:v>
                </c:pt>
                <c:pt idx="458">
                  <c:v>-264.14046711313472</c:v>
                </c:pt>
                <c:pt idx="459">
                  <c:v>-264.17860540747182</c:v>
                </c:pt>
                <c:pt idx="460">
                  <c:v>-264.21649768354479</c:v>
                </c:pt>
                <c:pt idx="461">
                  <c:v>-264.25414689317967</c:v>
                </c:pt>
                <c:pt idx="462">
                  <c:v>-264.29155594091208</c:v>
                </c:pt>
                <c:pt idx="463">
                  <c:v>-264.32872768493513</c:v>
                </c:pt>
                <c:pt idx="464">
                  <c:v>-264.36566493802343</c:v>
                </c:pt>
                <c:pt idx="465">
                  <c:v>-264.40237046843617</c:v>
                </c:pt>
                <c:pt idx="466">
                  <c:v>-264.43884700079747</c:v>
                </c:pt>
                <c:pt idx="467">
                  <c:v>-264.47509721695695</c:v>
                </c:pt>
                <c:pt idx="468">
                  <c:v>-264.51112375682914</c:v>
                </c:pt>
                <c:pt idx="469">
                  <c:v>-264.5469292192135</c:v>
                </c:pt>
                <c:pt idx="470">
                  <c:v>-264.58251616259497</c:v>
                </c:pt>
                <c:pt idx="471">
                  <c:v>-264.61788710592623</c:v>
                </c:pt>
                <c:pt idx="472">
                  <c:v>-264.65304452939114</c:v>
                </c:pt>
                <c:pt idx="473">
                  <c:v>-264.68799087515106</c:v>
                </c:pt>
                <c:pt idx="474">
                  <c:v>-264.72272854807363</c:v>
                </c:pt>
                <c:pt idx="475">
                  <c:v>-264.7572599164447</c:v>
                </c:pt>
                <c:pt idx="476">
                  <c:v>-264.79158731266443</c:v>
                </c:pt>
                <c:pt idx="477">
                  <c:v>-264.82571303392689</c:v>
                </c:pt>
                <c:pt idx="478">
                  <c:v>-264.85963934288446</c:v>
                </c:pt>
                <c:pt idx="479">
                  <c:v>-264.89336846829758</c:v>
                </c:pt>
                <c:pt idx="480">
                  <c:v>-264.92690260566911</c:v>
                </c:pt>
                <c:pt idx="481">
                  <c:v>-264.96024391786494</c:v>
                </c:pt>
                <c:pt idx="482">
                  <c:v>-264.99339453572065</c:v>
                </c:pt>
                <c:pt idx="483">
                  <c:v>-265.02635655863457</c:v>
                </c:pt>
                <c:pt idx="484">
                  <c:v>-265.05913205514747</c:v>
                </c:pt>
                <c:pt idx="485">
                  <c:v>-265.09172306350985</c:v>
                </c:pt>
                <c:pt idx="486">
                  <c:v>-265.12413159223627</c:v>
                </c:pt>
                <c:pt idx="487">
                  <c:v>-265.156359620648</c:v>
                </c:pt>
                <c:pt idx="488">
                  <c:v>-265.18840909940326</c:v>
                </c:pt>
                <c:pt idx="489">
                  <c:v>-265.22028195101626</c:v>
                </c:pt>
                <c:pt idx="490">
                  <c:v>-265.25198007036477</c:v>
                </c:pt>
                <c:pt idx="491">
                  <c:v>-265.28350532518687</c:v>
                </c:pt>
                <c:pt idx="492">
                  <c:v>-265.31485955656706</c:v>
                </c:pt>
                <c:pt idx="493">
                  <c:v>-265.3460445794114</c:v>
                </c:pt>
                <c:pt idx="494">
                  <c:v>-265.37706218291322</c:v>
                </c:pt>
                <c:pt idx="495">
                  <c:v>-265.4079141310084</c:v>
                </c:pt>
                <c:pt idx="496">
                  <c:v>-265.43860216282098</c:v>
                </c:pt>
                <c:pt idx="497">
                  <c:v>-265.46912799309968</c:v>
                </c:pt>
                <c:pt idx="498">
                  <c:v>-265.4994933126448</c:v>
                </c:pt>
                <c:pt idx="499">
                  <c:v>-265.52969978872659</c:v>
                </c:pt>
                <c:pt idx="500">
                  <c:v>-265.55974906549432</c:v>
                </c:pt>
                <c:pt idx="501">
                  <c:v>-265.58964276437723</c:v>
                </c:pt>
                <c:pt idx="502">
                  <c:v>-265.61938248447706</c:v>
                </c:pt>
                <c:pt idx="503">
                  <c:v>-265.64896980295231</c:v>
                </c:pt>
                <c:pt idx="504">
                  <c:v>-265.67840627539459</c:v>
                </c:pt>
                <c:pt idx="505">
                  <c:v>-265.70769343619753</c:v>
                </c:pt>
                <c:pt idx="506">
                  <c:v>-265.73683279891748</c:v>
                </c:pt>
                <c:pt idx="507">
                  <c:v>-265.76582585662766</c:v>
                </c:pt>
                <c:pt idx="508">
                  <c:v>-265.79467408226435</c:v>
                </c:pt>
                <c:pt idx="509">
                  <c:v>-265.82337892896646</c:v>
                </c:pt>
                <c:pt idx="510">
                  <c:v>-265.85194183040824</c:v>
                </c:pt>
                <c:pt idx="511">
                  <c:v>-265.88036420112496</c:v>
                </c:pt>
                <c:pt idx="512">
                  <c:v>-265.90864743683267</c:v>
                </c:pt>
                <c:pt idx="513">
                  <c:v>-265.93679291474064</c:v>
                </c:pt>
                <c:pt idx="514">
                  <c:v>-265.96480199385854</c:v>
                </c:pt>
                <c:pt idx="515">
                  <c:v>-265.99267601529687</c:v>
                </c:pt>
                <c:pt idx="516">
                  <c:v>-266.02041630256161</c:v>
                </c:pt>
                <c:pt idx="517">
                  <c:v>-266.04802416184299</c:v>
                </c:pt>
                <c:pt idx="518">
                  <c:v>-266.07550088229902</c:v>
                </c:pt>
                <c:pt idx="519">
                  <c:v>-266.10284773633254</c:v>
                </c:pt>
                <c:pt idx="520">
                  <c:v>-266.13006597986384</c:v>
                </c:pt>
                <c:pt idx="521">
                  <c:v>-266.15715685259744</c:v>
                </c:pt>
                <c:pt idx="522">
                  <c:v>-266.18412157828357</c:v>
                </c:pt>
                <c:pt idx="523">
                  <c:v>-266.21096136497488</c:v>
                </c:pt>
                <c:pt idx="524">
                  <c:v>-266.23767740527848</c:v>
                </c:pt>
                <c:pt idx="525">
                  <c:v>-266.2642708766021</c:v>
                </c:pt>
                <c:pt idx="526">
                  <c:v>-266.29074294139673</c:v>
                </c:pt>
                <c:pt idx="527">
                  <c:v>-266.31709474739392</c:v>
                </c:pt>
                <c:pt idx="528">
                  <c:v>-266.34332742783852</c:v>
                </c:pt>
                <c:pt idx="529">
                  <c:v>-266.36944210171748</c:v>
                </c:pt>
                <c:pt idx="530">
                  <c:v>-266.39543987398412</c:v>
                </c:pt>
                <c:pt idx="531">
                  <c:v>-266.42132183577763</c:v>
                </c:pt>
                <c:pt idx="532">
                  <c:v>-266.44708906463939</c:v>
                </c:pt>
                <c:pt idx="533">
                  <c:v>-266.47274262472456</c:v>
                </c:pt>
                <c:pt idx="534">
                  <c:v>-266.49828356700976</c:v>
                </c:pt>
                <c:pt idx="535">
                  <c:v>-266.52371292949744</c:v>
                </c:pt>
                <c:pt idx="536">
                  <c:v>-266.54903173741559</c:v>
                </c:pt>
                <c:pt idx="537">
                  <c:v>-266.5742410034145</c:v>
                </c:pt>
                <c:pt idx="538">
                  <c:v>-266.59934172775945</c:v>
                </c:pt>
                <c:pt idx="539">
                  <c:v>-266.62433489852003</c:v>
                </c:pt>
                <c:pt idx="540">
                  <c:v>-266.64922149175629</c:v>
                </c:pt>
                <c:pt idx="541">
                  <c:v>-266.67400247170042</c:v>
                </c:pt>
                <c:pt idx="542">
                  <c:v>-266.69867879093658</c:v>
                </c:pt>
                <c:pt idx="543">
                  <c:v>-266.72325139057659</c:v>
                </c:pt>
                <c:pt idx="544">
                  <c:v>-266.74772120043201</c:v>
                </c:pt>
                <c:pt idx="545">
                  <c:v>-266.77208913918469</c:v>
                </c:pt>
                <c:pt idx="546">
                  <c:v>-266.7963561145524</c:v>
                </c:pt>
                <c:pt idx="547">
                  <c:v>-266.82052302345267</c:v>
                </c:pt>
                <c:pt idx="548">
                  <c:v>-266.84459075216341</c:v>
                </c:pt>
                <c:pt idx="549">
                  <c:v>-266.86856017648074</c:v>
                </c:pt>
                <c:pt idx="550">
                  <c:v>-266.89243216187344</c:v>
                </c:pt>
                <c:pt idx="551">
                  <c:v>-266.91620756363557</c:v>
                </c:pt>
                <c:pt idx="552">
                  <c:v>-266.93988722703574</c:v>
                </c:pt>
                <c:pt idx="553">
                  <c:v>-266.96347198746412</c:v>
                </c:pt>
                <c:pt idx="554">
                  <c:v>-266.98696267057642</c:v>
                </c:pt>
                <c:pt idx="555">
                  <c:v>-267.01036009243586</c:v>
                </c:pt>
                <c:pt idx="556">
                  <c:v>-267.03366505965226</c:v>
                </c:pt>
                <c:pt idx="557">
                  <c:v>-267.0568783695191</c:v>
                </c:pt>
                <c:pt idx="558">
                  <c:v>-267.08000081014768</c:v>
                </c:pt>
                <c:pt idx="559">
                  <c:v>-267.10303316059958</c:v>
                </c:pt>
                <c:pt idx="560">
                  <c:v>-267.12597619101615</c:v>
                </c:pt>
                <c:pt idx="561">
                  <c:v>-267.14883066274649</c:v>
                </c:pt>
                <c:pt idx="562">
                  <c:v>-267.17159732847244</c:v>
                </c:pt>
                <c:pt idx="563">
                  <c:v>-267.1942769323324</c:v>
                </c:pt>
                <c:pt idx="564">
                  <c:v>-267.21687021004198</c:v>
                </c:pt>
                <c:pt idx="565">
                  <c:v>-267.23937788901338</c:v>
                </c:pt>
                <c:pt idx="566">
                  <c:v>-267.26180068847253</c:v>
                </c:pt>
                <c:pt idx="567">
                  <c:v>-267.28413931957397</c:v>
                </c:pt>
                <c:pt idx="568">
                  <c:v>-267.30639448551432</c:v>
                </c:pt>
                <c:pt idx="569">
                  <c:v>-267.32856688164321</c:v>
                </c:pt>
                <c:pt idx="570">
                  <c:v>-267.35065719557298</c:v>
                </c:pt>
                <c:pt idx="571">
                  <c:v>-267.37266610728602</c:v>
                </c:pt>
                <c:pt idx="572">
                  <c:v>-267.39459428924067</c:v>
                </c:pt>
                <c:pt idx="573">
                  <c:v>-267.4164424064752</c:v>
                </c:pt>
                <c:pt idx="574">
                  <c:v>-267.43821111671019</c:v>
                </c:pt>
                <c:pt idx="575">
                  <c:v>-267.45990107044889</c:v>
                </c:pt>
                <c:pt idx="576">
                  <c:v>-267.48151291107649</c:v>
                </c:pt>
                <c:pt idx="577">
                  <c:v>-267.503047274957</c:v>
                </c:pt>
                <c:pt idx="578">
                  <c:v>-267.52450479152958</c:v>
                </c:pt>
                <c:pt idx="579">
                  <c:v>-267.54588608340208</c:v>
                </c:pt>
                <c:pt idx="580">
                  <c:v>-267.5671917664439</c:v>
                </c:pt>
                <c:pt idx="581">
                  <c:v>-267.58842244987733</c:v>
                </c:pt>
                <c:pt idx="582">
                  <c:v>-267.6095787363667</c:v>
                </c:pt>
                <c:pt idx="583">
                  <c:v>-267.63066122210705</c:v>
                </c:pt>
                <c:pt idx="584">
                  <c:v>-267.65167049691047</c:v>
                </c:pt>
                <c:pt idx="585">
                  <c:v>-267.67260714429193</c:v>
                </c:pt>
                <c:pt idx="586">
                  <c:v>-267.69347174155263</c:v>
                </c:pt>
                <c:pt idx="587">
                  <c:v>-267.71426485986342</c:v>
                </c:pt>
                <c:pt idx="588">
                  <c:v>-267.73498706434543</c:v>
                </c:pt>
                <c:pt idx="589">
                  <c:v>-267.75563891415061</c:v>
                </c:pt>
                <c:pt idx="590">
                  <c:v>-267.77622096254021</c:v>
                </c:pt>
                <c:pt idx="591">
                  <c:v>-267.7967337569624</c:v>
                </c:pt>
                <c:pt idx="592">
                  <c:v>-267.81717783912859</c:v>
                </c:pt>
                <c:pt idx="593">
                  <c:v>-267.83755374508854</c:v>
                </c:pt>
                <c:pt idx="594">
                  <c:v>-267.85786200530413</c:v>
                </c:pt>
                <c:pt idx="595">
                  <c:v>-267.87810314472222</c:v>
                </c:pt>
                <c:pt idx="596">
                  <c:v>-267.89827768284641</c:v>
                </c:pt>
                <c:pt idx="597">
                  <c:v>-267.9183861338073</c:v>
                </c:pt>
                <c:pt idx="598">
                  <c:v>-267.9384290064321</c:v>
                </c:pt>
                <c:pt idx="599">
                  <c:v>-267.95840680431269</c:v>
                </c:pt>
                <c:pt idx="600">
                  <c:v>-267.9783200258733</c:v>
                </c:pt>
                <c:pt idx="601">
                  <c:v>-267.99816916443643</c:v>
                </c:pt>
                <c:pt idx="602">
                  <c:v>-268.01795470828824</c:v>
                </c:pt>
                <c:pt idx="603">
                  <c:v>-268.03767714074269</c:v>
                </c:pt>
                <c:pt idx="604">
                  <c:v>-268.05733694020478</c:v>
                </c:pt>
                <c:pt idx="605">
                  <c:v>-268.07693458023289</c:v>
                </c:pt>
                <c:pt idx="606">
                  <c:v>-268.98678223948025</c:v>
                </c:pt>
                <c:pt idx="607">
                  <c:v>-269.78718344221699</c:v>
                </c:pt>
                <c:pt idx="608">
                  <c:v>-270.50807168241806</c:v>
                </c:pt>
                <c:pt idx="609">
                  <c:v>-271.16932418577312</c:v>
                </c:pt>
                <c:pt idx="610">
                  <c:v>-271.78465781338377</c:v>
                </c:pt>
                <c:pt idx="611">
                  <c:v>-272.3638427938356</c:v>
                </c:pt>
                <c:pt idx="612">
                  <c:v>-272.91402528942098</c:v>
                </c:pt>
                <c:pt idx="613">
                  <c:v>-273.4405512510674</c:v>
                </c:pt>
                <c:pt idx="614">
                  <c:v>-273.94749809385149</c:v>
                </c:pt>
                <c:pt idx="615">
                  <c:v>-274.4380283928686</c:v>
                </c:pt>
                <c:pt idx="616">
                  <c:v>-274.91463146475792</c:v>
                </c:pt>
                <c:pt idx="617">
                  <c:v>-275.37929223183289</c:v>
                </c:pt>
                <c:pt idx="618">
                  <c:v>-275.57386627836934</c:v>
                </c:pt>
                <c:pt idx="619">
                  <c:v>-275.76646562787607</c:v>
                </c:pt>
                <c:pt idx="620">
                  <c:v>-275.95719608316654</c:v>
                </c:pt>
                <c:pt idx="621">
                  <c:v>-276.14615547995544</c:v>
                </c:pt>
                <c:pt idx="622">
                  <c:v>-276.33343441179284</c:v>
                </c:pt>
                <c:pt idx="623">
                  <c:v>-276.51911687735901</c:v>
                </c:pt>
                <c:pt idx="624">
                  <c:v>-276.70328085965053</c:v>
                </c:pt>
                <c:pt idx="625">
                  <c:v>-276.88599884527264</c:v>
                </c:pt>
                <c:pt idx="626">
                  <c:v>-277.06733829094185</c:v>
                </c:pt>
                <c:pt idx="627">
                  <c:v>-277.24736204335483</c:v>
                </c:pt>
                <c:pt idx="628">
                  <c:v>-277.42612871777283</c:v>
                </c:pt>
                <c:pt idx="629">
                  <c:v>-277.60369303998192</c:v>
                </c:pt>
                <c:pt idx="630">
                  <c:v>-277.7801061556965</c:v>
                </c:pt>
                <c:pt idx="631">
                  <c:v>-277.95541591096651</c:v>
                </c:pt>
                <c:pt idx="632">
                  <c:v>-278.12966710670992</c:v>
                </c:pt>
                <c:pt idx="633">
                  <c:v>-278.30290173011451</c:v>
                </c:pt>
                <c:pt idx="634">
                  <c:v>-278.47515916532484</c:v>
                </c:pt>
                <c:pt idx="635">
                  <c:v>-278.64647638554629</c:v>
                </c:pt>
                <c:pt idx="636">
                  <c:v>-278.8168881284513</c:v>
                </c:pt>
                <c:pt idx="637">
                  <c:v>-278.98642705655772</c:v>
                </c:pt>
                <c:pt idx="638">
                  <c:v>-279.15512390405934</c:v>
                </c:pt>
                <c:pt idx="639">
                  <c:v>-279.3230076114271</c:v>
                </c:pt>
                <c:pt idx="640">
                  <c:v>-279.49010544895293</c:v>
                </c:pt>
                <c:pt idx="641">
                  <c:v>-279.65644313028088</c:v>
                </c:pt>
                <c:pt idx="642">
                  <c:v>-279.82204491686241</c:v>
                </c:pt>
                <c:pt idx="643">
                  <c:v>-279.98693371416908</c:v>
                </c:pt>
                <c:pt idx="644">
                  <c:v>-280.15113116041357</c:v>
                </c:pt>
                <c:pt idx="645">
                  <c:v>-280.31465770845074</c:v>
                </c:pt>
                <c:pt idx="646">
                  <c:v>-280.47753270146245</c:v>
                </c:pt>
                <c:pt idx="647">
                  <c:v>-280.63977444297086</c:v>
                </c:pt>
                <c:pt idx="648">
                  <c:v>-280.80140026166964</c:v>
                </c:pt>
                <c:pt idx="649">
                  <c:v>-280.96242657151544</c:v>
                </c:pt>
                <c:pt idx="650">
                  <c:v>-281.12286892747954</c:v>
                </c:pt>
                <c:pt idx="651">
                  <c:v>-281.28274207732107</c:v>
                </c:pt>
                <c:pt idx="652">
                  <c:v>-281.44206000970911</c:v>
                </c:pt>
                <c:pt idx="653">
                  <c:v>-281.60083599899127</c:v>
                </c:pt>
                <c:pt idx="654">
                  <c:v>-281.75908264687831</c:v>
                </c:pt>
                <c:pt idx="655">
                  <c:v>-281.91681192128954</c:v>
                </c:pt>
                <c:pt idx="656">
                  <c:v>-282.07403519258293</c:v>
                </c:pt>
                <c:pt idx="657">
                  <c:v>-282.23076326737294</c:v>
                </c:pt>
                <c:pt idx="658">
                  <c:v>-282.38700642012128</c:v>
                </c:pt>
                <c:pt idx="659">
                  <c:v>-282.54277442267079</c:v>
                </c:pt>
                <c:pt idx="660">
                  <c:v>-282.69807657187584</c:v>
                </c:pt>
                <c:pt idx="661">
                  <c:v>-282.85292171547223</c:v>
                </c:pt>
                <c:pt idx="662">
                  <c:v>-283.00731827631523</c:v>
                </c:pt>
                <c:pt idx="663">
                  <c:v>-283.16127427510565</c:v>
                </c:pt>
                <c:pt idx="664">
                  <c:v>-283.31479735171195</c:v>
                </c:pt>
                <c:pt idx="665">
                  <c:v>-283.46789478518872</c:v>
                </c:pt>
                <c:pt idx="666">
                  <c:v>-283.62057351258488</c:v>
                </c:pt>
                <c:pt idx="667">
                  <c:v>-283.77284014662416</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23.319811091010546</c:v>
                </c:pt>
                <c:pt idx="1">
                  <c:v>23.319812285093995</c:v>
                </c:pt>
                <c:pt idx="2">
                  <c:v>23.319814275233391</c:v>
                </c:pt>
                <c:pt idx="3">
                  <c:v>23.319817061429177</c:v>
                </c:pt>
                <c:pt idx="4">
                  <c:v>23.319820643681993</c:v>
                </c:pt>
                <c:pt idx="5">
                  <c:v>23.319825021992663</c:v>
                </c:pt>
                <c:pt idx="6">
                  <c:v>23.319830196362183</c:v>
                </c:pt>
                <c:pt idx="7">
                  <c:v>23.319836166791738</c:v>
                </c:pt>
                <c:pt idx="8">
                  <c:v>23.31984293328269</c:v>
                </c:pt>
                <c:pt idx="9">
                  <c:v>23.319850495836597</c:v>
                </c:pt>
                <c:pt idx="10">
                  <c:v>23.319969905308568</c:v>
                </c:pt>
                <c:pt idx="11">
                  <c:v>23.320168924130066</c:v>
                </c:pt>
                <c:pt idx="12">
                  <c:v>23.320447556853594</c:v>
                </c:pt>
                <c:pt idx="13">
                  <c:v>23.320805809852999</c:v>
                </c:pt>
                <c:pt idx="14">
                  <c:v>23.321243691323822</c:v>
                </c:pt>
                <c:pt idx="15">
                  <c:v>23.321761211283764</c:v>
                </c:pt>
                <c:pt idx="16">
                  <c:v>23.322358381573189</c:v>
                </c:pt>
                <c:pt idx="17">
                  <c:v>23.323035215855825</c:v>
                </c:pt>
                <c:pt idx="18">
                  <c:v>23.323791729619462</c:v>
                </c:pt>
                <c:pt idx="19">
                  <c:v>23.335743952238342</c:v>
                </c:pt>
                <c:pt idx="20">
                  <c:v>23.355694748704906</c:v>
                </c:pt>
                <c:pt idx="21">
                  <c:v>23.383689931285801</c:v>
                </c:pt>
                <c:pt idx="22">
                  <c:v>23.419793985442997</c:v>
                </c:pt>
                <c:pt idx="23">
                  <c:v>23.464090418128873</c:v>
                </c:pt>
                <c:pt idx="24">
                  <c:v>23.516682205241498</c:v>
                </c:pt>
                <c:pt idx="25">
                  <c:v>23.577692337301816</c:v>
                </c:pt>
                <c:pt idx="26">
                  <c:v>23.647264461371673</c:v>
                </c:pt>
                <c:pt idx="27">
                  <c:v>23.725563615557771</c:v>
                </c:pt>
                <c:pt idx="28">
                  <c:v>24.255347760847116</c:v>
                </c:pt>
                <c:pt idx="29">
                  <c:v>25.041932908167258</c:v>
                </c:pt>
                <c:pt idx="30">
                  <c:v>26.13475355374716</c:v>
                </c:pt>
                <c:pt idx="31">
                  <c:v>27.593027135600671</c:v>
                </c:pt>
                <c:pt idx="32">
                  <c:v>29.421606637019426</c:v>
                </c:pt>
                <c:pt idx="33">
                  <c:v>31.237379029235047</c:v>
                </c:pt>
                <c:pt idx="34">
                  <c:v>31.561880145560615</c:v>
                </c:pt>
                <c:pt idx="35">
                  <c:v>29.48608989795477</c:v>
                </c:pt>
                <c:pt idx="36">
                  <c:v>26.579982837916699</c:v>
                </c:pt>
                <c:pt idx="37">
                  <c:v>23.877952260621797</c:v>
                </c:pt>
                <c:pt idx="38">
                  <c:v>21.541207836084286</c:v>
                </c:pt>
                <c:pt idx="39">
                  <c:v>19.520957862410217</c:v>
                </c:pt>
                <c:pt idx="40">
                  <c:v>17.75040758621688</c:v>
                </c:pt>
                <c:pt idx="41">
                  <c:v>16.175896276287787</c:v>
                </c:pt>
                <c:pt idx="42">
                  <c:v>14.757628995491325</c:v>
                </c:pt>
                <c:pt idx="43">
                  <c:v>13.466253326826433</c:v>
                </c:pt>
                <c:pt idx="44">
                  <c:v>12.279814227136026</c:v>
                </c:pt>
                <c:pt idx="45">
                  <c:v>11.18157651683369</c:v>
                </c:pt>
                <c:pt idx="46">
                  <c:v>10.158536639453175</c:v>
                </c:pt>
                <c:pt idx="47">
                  <c:v>9.2004073475517814</c:v>
                </c:pt>
                <c:pt idx="48">
                  <c:v>8.2989163832323349</c:v>
                </c:pt>
                <c:pt idx="49">
                  <c:v>7.4473136778303086</c:v>
                </c:pt>
                <c:pt idx="50">
                  <c:v>6.6400187015361443</c:v>
                </c:pt>
                <c:pt idx="51">
                  <c:v>5.8723635576871214</c:v>
                </c:pt>
                <c:pt idx="52">
                  <c:v>5.1404026389806177</c:v>
                </c:pt>
                <c:pt idx="53">
                  <c:v>4.4407693661803034</c:v>
                </c:pt>
                <c:pt idx="54">
                  <c:v>3.7705667873535105</c:v>
                </c:pt>
                <c:pt idx="55">
                  <c:v>3.1272829116893504</c:v>
                </c:pt>
                <c:pt idx="56">
                  <c:v>2.5087243765029776</c:v>
                </c:pt>
                <c:pt idx="57">
                  <c:v>1.9129638877872013</c:v>
                </c:pt>
                <c:pt idx="58">
                  <c:v>1.338298139340891</c:v>
                </c:pt>
                <c:pt idx="59">
                  <c:v>0.78321379701855887</c:v>
                </c:pt>
                <c:pt idx="60">
                  <c:v>0.24635975787498471</c:v>
                </c:pt>
                <c:pt idx="61">
                  <c:v>-0.27347565946537472</c:v>
                </c:pt>
                <c:pt idx="62">
                  <c:v>-0.7773836128701912</c:v>
                </c:pt>
                <c:pt idx="63">
                  <c:v>-1.2663505049572921</c:v>
                </c:pt>
                <c:pt idx="64">
                  <c:v>-1.7412712267092376</c:v>
                </c:pt>
                <c:pt idx="65">
                  <c:v>-2.2029603491272565</c:v>
                </c:pt>
                <c:pt idx="66">
                  <c:v>-2.6521616352559314</c:v>
                </c:pt>
                <c:pt idx="67">
                  <c:v>-3.0895561681928836</c:v>
                </c:pt>
                <c:pt idx="68">
                  <c:v>-3.5157693315393477</c:v>
                </c:pt>
                <c:pt idx="69">
                  <c:v>-3.9313768327563725</c:v>
                </c:pt>
                <c:pt idx="70">
                  <c:v>-4.3369099238608211</c:v>
                </c:pt>
                <c:pt idx="71">
                  <c:v>-4.7328599454628622</c:v>
                </c:pt>
                <c:pt idx="72">
                  <c:v>-5.1196822975551139</c:v>
                </c:pt>
                <c:pt idx="73">
                  <c:v>-5.4977999223966814</c:v>
                </c:pt>
                <c:pt idx="74">
                  <c:v>-5.867606370296973</c:v>
                </c:pt>
                <c:pt idx="75">
                  <c:v>-6.2294685073373746</c:v>
                </c:pt>
                <c:pt idx="76">
                  <c:v>-6.5837289144916102</c:v>
                </c:pt>
                <c:pt idx="77">
                  <c:v>-6.9307080197697868</c:v>
                </c:pt>
                <c:pt idx="78">
                  <c:v>-7.2707059985674132</c:v>
                </c:pt>
                <c:pt idx="79">
                  <c:v>-7.6040044720765367</c:v>
                </c:pt>
                <c:pt idx="80">
                  <c:v>-7.9308680291967963</c:v>
                </c:pt>
                <c:pt idx="81">
                  <c:v>-8.2515455937000581</c:v>
                </c:pt>
                <c:pt idx="82">
                  <c:v>-8.5662716553178253</c:v>
                </c:pt>
                <c:pt idx="83">
                  <c:v>-8.8752673808284719</c:v>
                </c:pt>
                <c:pt idx="84">
                  <c:v>-9.1787416190340707</c:v>
                </c:pt>
                <c:pt idx="85">
                  <c:v>-9.4768918116645384</c:v>
                </c:pt>
                <c:pt idx="86">
                  <c:v>-9.7699048206729682</c:v>
                </c:pt>
                <c:pt idx="87">
                  <c:v>-10.057957681044115</c:v>
                </c:pt>
                <c:pt idx="88">
                  <c:v>-10.341218287090131</c:v>
                </c:pt>
                <c:pt idx="89">
                  <c:v>-10.619846019222734</c:v>
                </c:pt>
                <c:pt idx="90">
                  <c:v>-10.893992317343404</c:v>
                </c:pt>
                <c:pt idx="91">
                  <c:v>-11.163801206261523</c:v>
                </c:pt>
                <c:pt idx="92">
                  <c:v>-11.42940977791736</c:v>
                </c:pt>
                <c:pt idx="93">
                  <c:v>-11.690948634637158</c:v>
                </c:pt>
                <c:pt idx="94">
                  <c:v>-11.948542297169771</c:v>
                </c:pt>
                <c:pt idx="95">
                  <c:v>-12.202309580837143</c:v>
                </c:pt>
                <c:pt idx="96">
                  <c:v>-12.452363942766628</c:v>
                </c:pt>
                <c:pt idx="97">
                  <c:v>-12.698813802853481</c:v>
                </c:pt>
                <c:pt idx="98">
                  <c:v>-12.941762840821692</c:v>
                </c:pt>
                <c:pt idx="99">
                  <c:v>-13.181310271503948</c:v>
                </c:pt>
                <c:pt idx="100">
                  <c:v>-13.417551100244232</c:v>
                </c:pt>
                <c:pt idx="101">
                  <c:v>-13.650576360133739</c:v>
                </c:pt>
                <c:pt idx="102">
                  <c:v>-13.880473332620586</c:v>
                </c:pt>
                <c:pt idx="103">
                  <c:v>-14.107325752882474</c:v>
                </c:pt>
                <c:pt idx="104">
                  <c:v>-14.331214001217203</c:v>
                </c:pt>
                <c:pt idx="105">
                  <c:v>-14.552215281586099</c:v>
                </c:pt>
                <c:pt idx="106">
                  <c:v>-14.770403788338893</c:v>
                </c:pt>
                <c:pt idx="107">
                  <c:v>-14.98585086205307</c:v>
                </c:pt>
                <c:pt idx="108">
                  <c:v>-15.19862513533548</c:v>
                </c:pt>
                <c:pt idx="109">
                  <c:v>-15.408792669357418</c:v>
                </c:pt>
                <c:pt idx="110">
                  <c:v>-15.61641708182588</c:v>
                </c:pt>
                <c:pt idx="111">
                  <c:v>-15.821559667031707</c:v>
                </c:pt>
                <c:pt idx="112">
                  <c:v>-16.024279508560067</c:v>
                </c:pt>
                <c:pt idx="113">
                  <c:v>-16.224633585198379</c:v>
                </c:pt>
                <c:pt idx="114">
                  <c:v>-16.422676870531578</c:v>
                </c:pt>
                <c:pt idx="115">
                  <c:v>-16.618462426673872</c:v>
                </c:pt>
                <c:pt idx="116">
                  <c:v>-16.81204149254884</c:v>
                </c:pt>
                <c:pt idx="117">
                  <c:v>-17.003463567096439</c:v>
                </c:pt>
                <c:pt idx="118">
                  <c:v>-17.192776487754841</c:v>
                </c:pt>
                <c:pt idx="119">
                  <c:v>-17.380026504537373</c:v>
                </c:pt>
                <c:pt idx="120">
                  <c:v>-17.565258349999755</c:v>
                </c:pt>
                <c:pt idx="121">
                  <c:v>-17.748515305369729</c:v>
                </c:pt>
                <c:pt idx="122">
                  <c:v>-17.929839263090475</c:v>
                </c:pt>
                <c:pt idx="123">
                  <c:v>-18.109270786009851</c:v>
                </c:pt>
                <c:pt idx="124">
                  <c:v>-18.286849163430428</c:v>
                </c:pt>
                <c:pt idx="125">
                  <c:v>-18.462612464218893</c:v>
                </c:pt>
                <c:pt idx="126">
                  <c:v>-18.636597587159187</c:v>
                </c:pt>
                <c:pt idx="127">
                  <c:v>-18.808840308720121</c:v>
                </c:pt>
                <c:pt idx="128">
                  <c:v>-18.979375328396017</c:v>
                </c:pt>
                <c:pt idx="129">
                  <c:v>-19.148236311767572</c:v>
                </c:pt>
                <c:pt idx="130">
                  <c:v>-19.315455931419979</c:v>
                </c:pt>
                <c:pt idx="131">
                  <c:v>-19.481065905845433</c:v>
                </c:pt>
                <c:pt idx="132">
                  <c:v>-19.645097036448782</c:v>
                </c:pt>
                <c:pt idx="133">
                  <c:v>-19.807579242766675</c:v>
                </c:pt>
                <c:pt idx="134">
                  <c:v>-19.968541596003266</c:v>
                </c:pt>
                <c:pt idx="135">
                  <c:v>-20.128012350978558</c:v>
                </c:pt>
                <c:pt idx="136">
                  <c:v>-20.28601897657914</c:v>
                </c:pt>
                <c:pt idx="137">
                  <c:v>-20.442588184795142</c:v>
                </c:pt>
                <c:pt idx="138">
                  <c:v>-20.597745958421889</c:v>
                </c:pt>
                <c:pt idx="139">
                  <c:v>-20.751517577499499</c:v>
                </c:pt>
                <c:pt idx="140">
                  <c:v>-20.903927644559168</c:v>
                </c:pt>
                <c:pt idx="141">
                  <c:v>-21.055000108740494</c:v>
                </c:pt>
                <c:pt idx="142">
                  <c:v>-21.204758288840107</c:v>
                </c:pt>
                <c:pt idx="143">
                  <c:v>-21.353224895348202</c:v>
                </c:pt>
                <c:pt idx="144">
                  <c:v>-21.500422051526051</c:v>
                </c:pt>
                <c:pt idx="145">
                  <c:v>-21.646371313574381</c:v>
                </c:pt>
                <c:pt idx="146">
                  <c:v>-21.791093689939437</c:v>
                </c:pt>
                <c:pt idx="147">
                  <c:v>-21.934609659800806</c:v>
                </c:pt>
                <c:pt idx="148">
                  <c:v>-22.076939190782426</c:v>
                </c:pt>
                <c:pt idx="149">
                  <c:v>-22.218101755925737</c:v>
                </c:pt>
                <c:pt idx="150">
                  <c:v>-22.358116349961776</c:v>
                </c:pt>
                <c:pt idx="151">
                  <c:v>-22.49700150491676</c:v>
                </c:pt>
                <c:pt idx="152">
                  <c:v>-22.634775305083792</c:v>
                </c:pt>
                <c:pt idx="153">
                  <c:v>-22.771455401391471</c:v>
                </c:pt>
                <c:pt idx="154">
                  <c:v>-22.907059025198375</c:v>
                </c:pt>
                <c:pt idx="155">
                  <c:v>-23.04160300154091</c:v>
                </c:pt>
                <c:pt idx="156">
                  <c:v>-23.175103761860377</c:v>
                </c:pt>
                <c:pt idx="157">
                  <c:v>-23.307577356233686</c:v>
                </c:pt>
                <c:pt idx="158">
                  <c:v>-23.439039465130879</c:v>
                </c:pt>
                <c:pt idx="159">
                  <c:v>-23.569505410721369</c:v>
                </c:pt>
                <c:pt idx="160">
                  <c:v>-23.698990167749514</c:v>
                </c:pt>
                <c:pt idx="161">
                  <c:v>-23.827508373999251</c:v>
                </c:pt>
                <c:pt idx="162">
                  <c:v>-23.955074340366185</c:v>
                </c:pt>
                <c:pt idx="163">
                  <c:v>-24.081702060554875</c:v>
                </c:pt>
                <c:pt idx="164">
                  <c:v>-24.207405220417936</c:v>
                </c:pt>
                <c:pt idx="165">
                  <c:v>-24.332197206952721</c:v>
                </c:pt>
                <c:pt idx="166">
                  <c:v>-24.456091116970669</c:v>
                </c:pt>
                <c:pt idx="167">
                  <c:v>-24.579099765453481</c:v>
                </c:pt>
                <c:pt idx="168">
                  <c:v>-24.7012356936097</c:v>
                </c:pt>
                <c:pt idx="169">
                  <c:v>-24.8225111766445</c:v>
                </c:pt>
                <c:pt idx="170">
                  <c:v>-24.942938231254889</c:v>
                </c:pt>
                <c:pt idx="171">
                  <c:v>-25.06252862286194</c:v>
                </c:pt>
                <c:pt idx="172">
                  <c:v>-25.18129387259107</c:v>
                </c:pt>
                <c:pt idx="173">
                  <c:v>-25.29924526401086</c:v>
                </c:pt>
                <c:pt idx="174">
                  <c:v>-25.416393849640361</c:v>
                </c:pt>
                <c:pt idx="175">
                  <c:v>-25.532750457234492</c:v>
                </c:pt>
                <c:pt idx="176">
                  <c:v>-25.64832569585645</c:v>
                </c:pt>
                <c:pt idx="177">
                  <c:v>-25.763129961745847</c:v>
                </c:pt>
                <c:pt idx="178">
                  <c:v>-25.877173443990785</c:v>
                </c:pt>
                <c:pt idx="179">
                  <c:v>-25.990466130011626</c:v>
                </c:pt>
                <c:pt idx="180">
                  <c:v>-26.103017810864024</c:v>
                </c:pt>
                <c:pt idx="181">
                  <c:v>-26.21483808636826</c:v>
                </c:pt>
                <c:pt idx="182">
                  <c:v>-26.325936370071755</c:v>
                </c:pt>
                <c:pt idx="183">
                  <c:v>-26.436321894051169</c:v>
                </c:pt>
                <c:pt idx="184">
                  <c:v>-26.546003713560356</c:v>
                </c:pt>
                <c:pt idx="185">
                  <c:v>-26.654990711530036</c:v>
                </c:pt>
                <c:pt idx="186">
                  <c:v>-26.763291602924895</c:v>
                </c:pt>
                <c:pt idx="187">
                  <c:v>-26.870914938963413</c:v>
                </c:pt>
                <c:pt idx="188">
                  <c:v>-26.977869111205752</c:v>
                </c:pt>
                <c:pt idx="189">
                  <c:v>-27.084162355514447</c:v>
                </c:pt>
                <c:pt idx="190">
                  <c:v>-27.189802755892799</c:v>
                </c:pt>
                <c:pt idx="191">
                  <c:v>-27.294798248205371</c:v>
                </c:pt>
                <c:pt idx="192">
                  <c:v>-27.399156623784968</c:v>
                </c:pt>
                <c:pt idx="193">
                  <c:v>-27.502885532930232</c:v>
                </c:pt>
                <c:pt idx="194">
                  <c:v>-27.605992488297826</c:v>
                </c:pt>
                <c:pt idx="195">
                  <c:v>-27.708484868192969</c:v>
                </c:pt>
                <c:pt idx="196">
                  <c:v>-27.810369919762039</c:v>
                </c:pt>
                <c:pt idx="197">
                  <c:v>-27.911654762090599</c:v>
                </c:pt>
                <c:pt idx="198">
                  <c:v>-28.012346389210407</c:v>
                </c:pt>
                <c:pt idx="199">
                  <c:v>-28.112451673018324</c:v>
                </c:pt>
                <c:pt idx="200">
                  <c:v>-28.211977366110482</c:v>
                </c:pt>
                <c:pt idx="201">
                  <c:v>-28.310930104534489</c:v>
                </c:pt>
                <c:pt idx="202">
                  <c:v>-28.409316410462505</c:v>
                </c:pt>
                <c:pt idx="203">
                  <c:v>-28.507142694788069</c:v>
                </c:pt>
                <c:pt idx="204">
                  <c:v>-28.604415259648988</c:v>
                </c:pt>
                <c:pt idx="205">
                  <c:v>-28.701140300879171</c:v>
                </c:pt>
                <c:pt idx="206">
                  <c:v>-28.797323910391448</c:v>
                </c:pt>
                <c:pt idx="207">
                  <c:v>-28.892972078493951</c:v>
                </c:pt>
                <c:pt idx="208">
                  <c:v>-28.988090696142145</c:v>
                </c:pt>
                <c:pt idx="209">
                  <c:v>-29.082685557128684</c:v>
                </c:pt>
                <c:pt idx="210">
                  <c:v>-29.176762360213143</c:v>
                </c:pt>
                <c:pt idx="211">
                  <c:v>-29.270326711193597</c:v>
                </c:pt>
                <c:pt idx="212">
                  <c:v>-29.363384124921946</c:v>
                </c:pt>
                <c:pt idx="213">
                  <c:v>-29.455940027264802</c:v>
                </c:pt>
                <c:pt idx="214">
                  <c:v>-29.547999757011738</c:v>
                </c:pt>
                <c:pt idx="215">
                  <c:v>-29.639568567732525</c:v>
                </c:pt>
                <c:pt idx="216">
                  <c:v>-29.730651629585047</c:v>
                </c:pt>
                <c:pt idx="217">
                  <c:v>-29.821254031075398</c:v>
                </c:pt>
                <c:pt idx="218">
                  <c:v>-29.911380780771779</c:v>
                </c:pt>
                <c:pt idx="219">
                  <c:v>-30.001036808973488</c:v>
                </c:pt>
                <c:pt idx="220">
                  <c:v>-30.090226969336577</c:v>
                </c:pt>
                <c:pt idx="221">
                  <c:v>-30.178956040457393</c:v>
                </c:pt>
                <c:pt idx="222">
                  <c:v>-30.267228727415379</c:v>
                </c:pt>
                <c:pt idx="223">
                  <c:v>-30.355049663276365</c:v>
                </c:pt>
                <c:pt idx="224">
                  <c:v>-30.442423410557559</c:v>
                </c:pt>
                <c:pt idx="225">
                  <c:v>-30.529354462655405</c:v>
                </c:pt>
                <c:pt idx="226">
                  <c:v>-31.375258559553814</c:v>
                </c:pt>
                <c:pt idx="227">
                  <c:v>-32.181372079440337</c:v>
                </c:pt>
                <c:pt idx="228">
                  <c:v>-32.951236961944389</c:v>
                </c:pt>
                <c:pt idx="229">
                  <c:v>-33.687940131957141</c:v>
                </c:pt>
                <c:pt idx="230">
                  <c:v>-34.394188350448388</c:v>
                </c:pt>
                <c:pt idx="231">
                  <c:v>-35.072368264015459</c:v>
                </c:pt>
                <c:pt idx="232">
                  <c:v>-35.724595035581686</c:v>
                </c:pt>
                <c:pt idx="233">
                  <c:v>-36.352752069066426</c:v>
                </c:pt>
                <c:pt idx="234">
                  <c:v>-36.95852371793957</c:v>
                </c:pt>
                <c:pt idx="235">
                  <c:v>-37.543422415253815</c:v>
                </c:pt>
                <c:pt idx="236">
                  <c:v>-38.10881133015868</c:v>
                </c:pt>
                <c:pt idx="237">
                  <c:v>-38.655923408501401</c:v>
                </c:pt>
                <c:pt idx="238">
                  <c:v>-39.185877469108007</c:v>
                </c:pt>
                <c:pt idx="239">
                  <c:v>-39.699691886080302</c:v>
                </c:pt>
                <c:pt idx="240">
                  <c:v>-40.198296279174045</c:v>
                </c:pt>
                <c:pt idx="241">
                  <c:v>-40.682541550614019</c:v>
                </c:pt>
                <c:pt idx="242">
                  <c:v>-41.153208541454887</c:v>
                </c:pt>
                <c:pt idx="243">
                  <c:v>-41.611015529351299</c:v>
                </c:pt>
                <c:pt idx="244">
                  <c:v>-42.05662474906358</c:v>
                </c:pt>
                <c:pt idx="245">
                  <c:v>-42.49064808474175</c:v>
                </c:pt>
                <c:pt idx="246">
                  <c:v>-42.913652057156412</c:v>
                </c:pt>
                <c:pt idx="247">
                  <c:v>-43.326162208181799</c:v>
                </c:pt>
                <c:pt idx="248">
                  <c:v>-43.728666967919267</c:v>
                </c:pt>
                <c:pt idx="249">
                  <c:v>-44.121621076056002</c:v>
                </c:pt>
                <c:pt idx="250">
                  <c:v>-44.505448617750829</c:v>
                </c:pt>
                <c:pt idx="251">
                  <c:v>-44.880545725031347</c:v>
                </c:pt>
                <c:pt idx="252">
                  <c:v>-45.247282986985894</c:v>
                </c:pt>
                <c:pt idx="253">
                  <c:v>-45.606007605635043</c:v>
                </c:pt>
                <c:pt idx="254">
                  <c:v>-45.957045329027778</c:v>
                </c:pt>
                <c:pt idx="255">
                  <c:v>-46.300702188633274</c:v>
                </c:pt>
                <c:pt idx="256">
                  <c:v>-46.637266064336636</c:v>
                </c:pt>
                <c:pt idx="257">
                  <c:v>-46.967008097170208</c:v>
                </c:pt>
                <c:pt idx="258">
                  <c:v>-47.290183967220742</c:v>
                </c:pt>
                <c:pt idx="259">
                  <c:v>-47.607035051865701</c:v>
                </c:pt>
                <c:pt idx="260">
                  <c:v>-47.917789477540396</c:v>
                </c:pt>
                <c:pt idx="261">
                  <c:v>-48.222663076569191</c:v>
                </c:pt>
                <c:pt idx="262">
                  <c:v>-48.52186025916194</c:v>
                </c:pt>
                <c:pt idx="263">
                  <c:v>-48.815574809444193</c:v>
                </c:pt>
                <c:pt idx="264">
                  <c:v>-49.103990613326836</c:v>
                </c:pt>
                <c:pt idx="265">
                  <c:v>-49.38728232510006</c:v>
                </c:pt>
                <c:pt idx="266">
                  <c:v>-49.665615978839199</c:v>
                </c:pt>
                <c:pt idx="267">
                  <c:v>-49.939149550014996</c:v>
                </c:pt>
                <c:pt idx="268">
                  <c:v>-50.20803347209656</c:v>
                </c:pt>
                <c:pt idx="269">
                  <c:v>-50.472411112405958</c:v>
                </c:pt>
                <c:pt idx="270">
                  <c:v>-50.732419211020826</c:v>
                </c:pt>
                <c:pt idx="271">
                  <c:v>-50.988188286114593</c:v>
                </c:pt>
                <c:pt idx="272">
                  <c:v>-51.239843008767004</c:v>
                </c:pt>
                <c:pt idx="273">
                  <c:v>-51.487502549962372</c:v>
                </c:pt>
                <c:pt idx="274">
                  <c:v>-51.731280902214877</c:v>
                </c:pt>
                <c:pt idx="275">
                  <c:v>-51.97128717801435</c:v>
                </c:pt>
                <c:pt idx="276">
                  <c:v>-52.207625887067877</c:v>
                </c:pt>
                <c:pt idx="277">
                  <c:v>-52.440397194118717</c:v>
                </c:pt>
                <c:pt idx="278">
                  <c:v>-52.66969715895199</c:v>
                </c:pt>
                <c:pt idx="279">
                  <c:v>-52.895617960043253</c:v>
                </c:pt>
                <c:pt idx="280">
                  <c:v>-53.118248103168575</c:v>
                </c:pt>
                <c:pt idx="281">
                  <c:v>-53.337672616173002</c:v>
                </c:pt>
                <c:pt idx="282">
                  <c:v>-53.553973230984091</c:v>
                </c:pt>
                <c:pt idx="283">
                  <c:v>-53.767228553859326</c:v>
                </c:pt>
                <c:pt idx="284">
                  <c:v>-53.977514224767702</c:v>
                </c:pt>
                <c:pt idx="285">
                  <c:v>-54.184903066726584</c:v>
                </c:pt>
                <c:pt idx="286">
                  <c:v>-54.389465225843317</c:v>
                </c:pt>
                <c:pt idx="287">
                  <c:v>-54.591268302746883</c:v>
                </c:pt>
                <c:pt idx="288">
                  <c:v>-54.790377476036241</c:v>
                </c:pt>
                <c:pt idx="289">
                  <c:v>-54.986855618320114</c:v>
                </c:pt>
                <c:pt idx="290">
                  <c:v>-55.180763405374421</c:v>
                </c:pt>
                <c:pt idx="291">
                  <c:v>-55.372159418901433</c:v>
                </c:pt>
                <c:pt idx="292">
                  <c:v>-55.5611002433346</c:v>
                </c:pt>
                <c:pt idx="293">
                  <c:v>-55.747640557098123</c:v>
                </c:pt>
                <c:pt idx="294">
                  <c:v>-55.931833218697605</c:v>
                </c:pt>
                <c:pt idx="295">
                  <c:v>-56.113729347988865</c:v>
                </c:pt>
                <c:pt idx="296">
                  <c:v>-56.293378402944839</c:v>
                </c:pt>
                <c:pt idx="297">
                  <c:v>-56.470828252216421</c:v>
                </c:pt>
                <c:pt idx="298">
                  <c:v>-56.646125243760316</c:v>
                </c:pt>
                <c:pt idx="299">
                  <c:v>-56.819314269786652</c:v>
                </c:pt>
                <c:pt idx="300">
                  <c:v>-56.990438828260601</c:v>
                </c:pt>
                <c:pt idx="301">
                  <c:v>-57.159541081174403</c:v>
                </c:pt>
                <c:pt idx="302">
                  <c:v>-57.326661909791497</c:v>
                </c:pt>
                <c:pt idx="303">
                  <c:v>-57.491840967048887</c:v>
                </c:pt>
                <c:pt idx="304">
                  <c:v>-57.655116727291485</c:v>
                </c:pt>
                <c:pt idx="305">
                  <c:v>-57.816526533499484</c:v>
                </c:pt>
                <c:pt idx="306">
                  <c:v>-57.976106642158683</c:v>
                </c:pt>
                <c:pt idx="307">
                  <c:v>-58.133892265913445</c:v>
                </c:pt>
                <c:pt idx="308">
                  <c:v>-58.289917614132278</c:v>
                </c:pt>
                <c:pt idx="309">
                  <c:v>-58.444215931507387</c:v>
                </c:pt>
                <c:pt idx="310">
                  <c:v>-58.596819534801227</c:v>
                </c:pt>
                <c:pt idx="311">
                  <c:v>-58.747759847845728</c:v>
                </c:pt>
                <c:pt idx="312">
                  <c:v>-58.897067434892833</c:v>
                </c:pt>
                <c:pt idx="313">
                  <c:v>-59.044772032408702</c:v>
                </c:pt>
                <c:pt idx="314">
                  <c:v>-59.190902579397715</c:v>
                </c:pt>
                <c:pt idx="315">
                  <c:v>-59.335487246337067</c:v>
                </c:pt>
                <c:pt idx="316">
                  <c:v>-59.47855346279777</c:v>
                </c:pt>
                <c:pt idx="317">
                  <c:v>-59.620127943822723</c:v>
                </c:pt>
                <c:pt idx="318">
                  <c:v>-59.76023671512845</c:v>
                </c:pt>
                <c:pt idx="319">
                  <c:v>-59.898905137192884</c:v>
                </c:pt>
                <c:pt idx="320">
                  <c:v>-60.03615792828775</c:v>
                </c:pt>
                <c:pt idx="321">
                  <c:v>-60.172019186510475</c:v>
                </c:pt>
                <c:pt idx="322">
                  <c:v>-60.306512410867448</c:v>
                </c:pt>
                <c:pt idx="323">
                  <c:v>-60.439660521457135</c:v>
                </c:pt>
                <c:pt idx="324">
                  <c:v>-60.571485878798832</c:v>
                </c:pt>
                <c:pt idx="325">
                  <c:v>-60.702010302350146</c:v>
                </c:pt>
                <c:pt idx="326">
                  <c:v>-60.83125508825367</c:v>
                </c:pt>
                <c:pt idx="327">
                  <c:v>-60.959241026351179</c:v>
                </c:pt>
                <c:pt idx="328">
                  <c:v>-61.085988416501245</c:v>
                </c:pt>
                <c:pt idx="329">
                  <c:v>-61.211517084234359</c:v>
                </c:pt>
                <c:pt idx="330">
                  <c:v>-61.335846395777537</c:v>
                </c:pt>
                <c:pt idx="331">
                  <c:v>-61.458995272478838</c:v>
                </c:pt>
                <c:pt idx="332">
                  <c:v>-61.580982204660131</c:v>
                </c:pt>
                <c:pt idx="333">
                  <c:v>-61.701825264925489</c:v>
                </c:pt>
                <c:pt idx="334">
                  <c:v>-61.82154212095034</c:v>
                </c:pt>
                <c:pt idx="335">
                  <c:v>-61.940150047775958</c:v>
                </c:pt>
                <c:pt idx="336">
                  <c:v>-62.057665939631889</c:v>
                </c:pt>
                <c:pt idx="337">
                  <c:v>-62.174106321308031</c:v>
                </c:pt>
                <c:pt idx="338">
                  <c:v>-62.289487359096867</c:v>
                </c:pt>
                <c:pt idx="339">
                  <c:v>-62.403824871325398</c:v>
                </c:pt>
                <c:pt idx="340">
                  <c:v>-62.517134338494877</c:v>
                </c:pt>
                <c:pt idx="341">
                  <c:v>-62.629430913046171</c:v>
                </c:pt>
                <c:pt idx="342">
                  <c:v>-62.740729428767061</c:v>
                </c:pt>
                <c:pt idx="343">
                  <c:v>-62.851044409857295</c:v>
                </c:pt>
                <c:pt idx="344">
                  <c:v>-62.96039007966624</c:v>
                </c:pt>
                <c:pt idx="345">
                  <c:v>-63.068780369117398</c:v>
                </c:pt>
                <c:pt idx="346">
                  <c:v>-63.176228924833154</c:v>
                </c:pt>
                <c:pt idx="347">
                  <c:v>-63.28274911697261</c:v>
                </c:pt>
                <c:pt idx="348">
                  <c:v>-63.388354046794575</c:v>
                </c:pt>
                <c:pt idx="349">
                  <c:v>-63.49305655395743</c:v>
                </c:pt>
                <c:pt idx="350">
                  <c:v>-63.596869223566685</c:v>
                </c:pt>
                <c:pt idx="351">
                  <c:v>-63.699804392980852</c:v>
                </c:pt>
                <c:pt idx="352">
                  <c:v>-63.80187415838548</c:v>
                </c:pt>
                <c:pt idx="353">
                  <c:v>-63.903090381144949</c:v>
                </c:pt>
                <c:pt idx="354">
                  <c:v>-64.003464693941027</c:v>
                </c:pt>
                <c:pt idx="355">
                  <c:v>-64.103008506706715</c:v>
                </c:pt>
                <c:pt idx="356">
                  <c:v>-64.201733012363789</c:v>
                </c:pt>
                <c:pt idx="357">
                  <c:v>-64.29964919237166</c:v>
                </c:pt>
                <c:pt idx="358">
                  <c:v>-64.396767822095256</c:v>
                </c:pt>
                <c:pt idx="359">
                  <c:v>-64.493099475998719</c:v>
                </c:pt>
                <c:pt idx="360">
                  <c:v>-64.588654532672166</c:v>
                </c:pt>
                <c:pt idx="361">
                  <c:v>-64.683443179697619</c:v>
                </c:pt>
                <c:pt idx="362">
                  <c:v>-64.777475418360453</c:v>
                </c:pt>
                <c:pt idx="363">
                  <c:v>-64.870761068212403</c:v>
                </c:pt>
                <c:pt idx="364">
                  <c:v>-64.963309771491595</c:v>
                </c:pt>
                <c:pt idx="365">
                  <c:v>-65.055130997405101</c:v>
                </c:pt>
                <c:pt idx="366">
                  <c:v>-65.146234046279247</c:v>
                </c:pt>
                <c:pt idx="367">
                  <c:v>-65.236628053582592</c:v>
                </c:pt>
                <c:pt idx="368">
                  <c:v>-65.32632199382617</c:v>
                </c:pt>
                <c:pt idx="369">
                  <c:v>-65.415324684345791</c:v>
                </c:pt>
                <c:pt idx="370">
                  <c:v>-65.50364478897049</c:v>
                </c:pt>
                <c:pt idx="371">
                  <c:v>-65.591290821581424</c:v>
                </c:pt>
                <c:pt idx="372">
                  <c:v>-65.678271149565177</c:v>
                </c:pt>
                <c:pt idx="373">
                  <c:v>-65.764593997165207</c:v>
                </c:pt>
                <c:pt idx="374">
                  <c:v>-65.850267448735053</c:v>
                </c:pt>
                <c:pt idx="375">
                  <c:v>-65.935299451897095</c:v>
                </c:pt>
                <c:pt idx="376">
                  <c:v>-66.019697820609764</c:v>
                </c:pt>
                <c:pt idx="377">
                  <c:v>-66.103470238146755</c:v>
                </c:pt>
                <c:pt idx="378">
                  <c:v>-66.186624259991206</c:v>
                </c:pt>
                <c:pt idx="379">
                  <c:v>-66.269167316647867</c:v>
                </c:pt>
                <c:pt idx="380">
                  <c:v>-66.351106716375853</c:v>
                </c:pt>
                <c:pt idx="381">
                  <c:v>-66.432449647845147</c:v>
                </c:pt>
                <c:pt idx="382">
                  <c:v>-66.513203182719025</c:v>
                </c:pt>
                <c:pt idx="383">
                  <c:v>-66.593374278165157</c:v>
                </c:pt>
                <c:pt idx="384">
                  <c:v>-66.672969779297702</c:v>
                </c:pt>
                <c:pt idx="385">
                  <c:v>-66.75199642155286</c:v>
                </c:pt>
                <c:pt idx="386">
                  <c:v>-66.83046083299979</c:v>
                </c:pt>
                <c:pt idx="387">
                  <c:v>-66.908369536589433</c:v>
                </c:pt>
                <c:pt idx="388">
                  <c:v>-66.985728952342967</c:v>
                </c:pt>
                <c:pt idx="389">
                  <c:v>-67.062545399482019</c:v>
                </c:pt>
                <c:pt idx="390">
                  <c:v>-67.138825098502565</c:v>
                </c:pt>
                <c:pt idx="391">
                  <c:v>-67.214574173194194</c:v>
                </c:pt>
                <c:pt idx="392">
                  <c:v>-67.289798652606706</c:v>
                </c:pt>
                <c:pt idx="393">
                  <c:v>-67.364504472965521</c:v>
                </c:pt>
                <c:pt idx="394">
                  <c:v>-67.43869747953768</c:v>
                </c:pt>
                <c:pt idx="395">
                  <c:v>-67.512383428449922</c:v>
                </c:pt>
                <c:pt idx="396">
                  <c:v>-67.585567988460426</c:v>
                </c:pt>
                <c:pt idx="397">
                  <c:v>-67.658256742685538</c:v>
                </c:pt>
                <c:pt idx="398">
                  <c:v>-67.730455190283081</c:v>
                </c:pt>
                <c:pt idx="399">
                  <c:v>-67.802168748093365</c:v>
                </c:pt>
                <c:pt idx="400">
                  <c:v>-67.873402752239372</c:v>
                </c:pt>
                <c:pt idx="401">
                  <c:v>-67.944162459687291</c:v>
                </c:pt>
                <c:pt idx="402">
                  <c:v>-68.014453049768704</c:v>
                </c:pt>
                <c:pt idx="403">
                  <c:v>-68.084279625665374</c:v>
                </c:pt>
                <c:pt idx="404">
                  <c:v>-68.153647215857973</c:v>
                </c:pt>
                <c:pt idx="405">
                  <c:v>-68.222560775539833</c:v>
                </c:pt>
                <c:pt idx="406">
                  <c:v>-68.291025187996482</c:v>
                </c:pt>
                <c:pt idx="407">
                  <c:v>-68.359045265952417</c:v>
                </c:pt>
                <c:pt idx="408">
                  <c:v>-68.426625752885641</c:v>
                </c:pt>
                <c:pt idx="409">
                  <c:v>-68.493771324311268</c:v>
                </c:pt>
                <c:pt idx="410">
                  <c:v>-68.560486589034781</c:v>
                </c:pt>
                <c:pt idx="411">
                  <c:v>-68.626776090376225</c:v>
                </c:pt>
                <c:pt idx="412">
                  <c:v>-68.692644307365597</c:v>
                </c:pt>
                <c:pt idx="413">
                  <c:v>-68.758095655910893</c:v>
                </c:pt>
                <c:pt idx="414">
                  <c:v>-68.82313448993915</c:v>
                </c:pt>
                <c:pt idx="415">
                  <c:v>-68.887765102511395</c:v>
                </c:pt>
                <c:pt idx="416">
                  <c:v>-68.95199172691224</c:v>
                </c:pt>
                <c:pt idx="417">
                  <c:v>-69.015818537714878</c:v>
                </c:pt>
                <c:pt idx="418">
                  <c:v>-69.079249651822025</c:v>
                </c:pt>
                <c:pt idx="419">
                  <c:v>-69.142289129483615</c:v>
                </c:pt>
                <c:pt idx="420">
                  <c:v>-69.204940975291919</c:v>
                </c:pt>
                <c:pt idx="421">
                  <c:v>-69.267209139154403</c:v>
                </c:pt>
                <c:pt idx="422">
                  <c:v>-69.329097517245472</c:v>
                </c:pt>
                <c:pt idx="423">
                  <c:v>-69.390609952937069</c:v>
                </c:pt>
                <c:pt idx="424">
                  <c:v>-69.451750237709163</c:v>
                </c:pt>
                <c:pt idx="425">
                  <c:v>-69.512522112040472</c:v>
                </c:pt>
                <c:pt idx="426">
                  <c:v>-69.572929266279942</c:v>
                </c:pt>
                <c:pt idx="427">
                  <c:v>-69.632975341499559</c:v>
                </c:pt>
                <c:pt idx="428">
                  <c:v>-69.692663930328877</c:v>
                </c:pt>
                <c:pt idx="429">
                  <c:v>-69.751998577771971</c:v>
                </c:pt>
                <c:pt idx="430">
                  <c:v>-69.81098278200696</c:v>
                </c:pt>
                <c:pt idx="431">
                  <c:v>-69.869619995168875</c:v>
                </c:pt>
                <c:pt idx="432">
                  <c:v>-69.927913624115973</c:v>
                </c:pt>
                <c:pt idx="433">
                  <c:v>-69.985867031180334</c:v>
                </c:pt>
                <c:pt idx="434">
                  <c:v>-70.043483534902649</c:v>
                </c:pt>
                <c:pt idx="435">
                  <c:v>-70.100766410752072</c:v>
                </c:pt>
                <c:pt idx="436">
                  <c:v>-70.157718891831209</c:v>
                </c:pt>
                <c:pt idx="437">
                  <c:v>-70.214344169566701</c:v>
                </c:pt>
                <c:pt idx="438">
                  <c:v>-70.270645394385895</c:v>
                </c:pt>
                <c:pt idx="439">
                  <c:v>-70.326625676379663</c:v>
                </c:pt>
                <c:pt idx="440">
                  <c:v>-70.382288085952041</c:v>
                </c:pt>
                <c:pt idx="441">
                  <c:v>-70.437635654456798</c:v>
                </c:pt>
                <c:pt idx="442">
                  <c:v>-70.492671374821285</c:v>
                </c:pt>
                <c:pt idx="443">
                  <c:v>-70.547398202157964</c:v>
                </c:pt>
                <c:pt idx="444">
                  <c:v>-70.601819054363858</c:v>
                </c:pt>
                <c:pt idx="445">
                  <c:v>-70.655936812708205</c:v>
                </c:pt>
                <c:pt idx="446">
                  <c:v>-70.709754322408543</c:v>
                </c:pt>
                <c:pt idx="447">
                  <c:v>-70.763274393195772</c:v>
                </c:pt>
                <c:pt idx="448">
                  <c:v>-70.816499799868055</c:v>
                </c:pt>
                <c:pt idx="449">
                  <c:v>-70.869433282834166</c:v>
                </c:pt>
                <c:pt idx="450">
                  <c:v>-70.922077548646286</c:v>
                </c:pt>
                <c:pt idx="451">
                  <c:v>-70.974435270522719</c:v>
                </c:pt>
                <c:pt idx="452">
                  <c:v>-71.026509088860635</c:v>
                </c:pt>
                <c:pt idx="453">
                  <c:v>-71.078301611738979</c:v>
                </c:pt>
                <c:pt idx="454">
                  <c:v>-71.129815415412054</c:v>
                </c:pt>
                <c:pt idx="455">
                  <c:v>-71.181053044793686</c:v>
                </c:pt>
                <c:pt idx="456">
                  <c:v>-71.232017013932449</c:v>
                </c:pt>
                <c:pt idx="457">
                  <c:v>-71.282709806477897</c:v>
                </c:pt>
                <c:pt idx="458">
                  <c:v>-71.333133876138291</c:v>
                </c:pt>
                <c:pt idx="459">
                  <c:v>-71.383291647129752</c:v>
                </c:pt>
                <c:pt idx="460">
                  <c:v>-71.433185514617207</c:v>
                </c:pt>
                <c:pt idx="461">
                  <c:v>-71.482817845147267</c:v>
                </c:pt>
                <c:pt idx="462">
                  <c:v>-71.532190977073142</c:v>
                </c:pt>
                <c:pt idx="463">
                  <c:v>-71.581307220971922</c:v>
                </c:pt>
                <c:pt idx="464">
                  <c:v>-71.630168860054198</c:v>
                </c:pt>
                <c:pt idx="465">
                  <c:v>-71.678778150566401</c:v>
                </c:pt>
                <c:pt idx="466">
                  <c:v>-71.727137322185868</c:v>
                </c:pt>
                <c:pt idx="467">
                  <c:v>-71.775248578408849</c:v>
                </c:pt>
                <c:pt idx="468">
                  <c:v>-71.823114096931548</c:v>
                </c:pt>
                <c:pt idx="469">
                  <c:v>-71.870736030024574</c:v>
                </c:pt>
                <c:pt idx="470">
                  <c:v>-71.91811650490051</c:v>
                </c:pt>
                <c:pt idx="471">
                  <c:v>-71.965257624075264</c:v>
                </c:pt>
                <c:pt idx="472">
                  <c:v>-72.012161465722954</c:v>
                </c:pt>
                <c:pt idx="473">
                  <c:v>-72.058830084024578</c:v>
                </c:pt>
                <c:pt idx="474">
                  <c:v>-72.105265509510687</c:v>
                </c:pt>
                <c:pt idx="475">
                  <c:v>-72.151469749398061</c:v>
                </c:pt>
                <c:pt idx="476">
                  <c:v>-72.197444787920574</c:v>
                </c:pt>
                <c:pt idx="477">
                  <c:v>-72.243192586654445</c:v>
                </c:pt>
                <c:pt idx="478">
                  <c:v>-72.288715084837747</c:v>
                </c:pt>
                <c:pt idx="479">
                  <c:v>-72.334014199684617</c:v>
                </c:pt>
                <c:pt idx="480">
                  <c:v>-72.379091826694065</c:v>
                </c:pt>
                <c:pt idx="481">
                  <c:v>-72.42394983995348</c:v>
                </c:pt>
                <c:pt idx="482">
                  <c:v>-72.468590092437083</c:v>
                </c:pt>
                <c:pt idx="483">
                  <c:v>-72.513014416299384</c:v>
                </c:pt>
                <c:pt idx="484">
                  <c:v>-72.557224623163577</c:v>
                </c:pt>
                <c:pt idx="485">
                  <c:v>-72.601222504405214</c:v>
                </c:pt>
                <c:pt idx="486">
                  <c:v>-72.64500983143121</c:v>
                </c:pt>
                <c:pt idx="487">
                  <c:v>-72.688588355954025</c:v>
                </c:pt>
                <c:pt idx="488">
                  <c:v>-72.7319598102615</c:v>
                </c:pt>
                <c:pt idx="489">
                  <c:v>-72.775125907482135</c:v>
                </c:pt>
                <c:pt idx="490">
                  <c:v>-72.818088341846021</c:v>
                </c:pt>
                <c:pt idx="491">
                  <c:v>-72.860848788941524</c:v>
                </c:pt>
                <c:pt idx="492">
                  <c:v>-72.90340890596778</c:v>
                </c:pt>
                <c:pt idx="493">
                  <c:v>-72.945770331983013</c:v>
                </c:pt>
                <c:pt idx="494">
                  <c:v>-72.987934688148911</c:v>
                </c:pt>
                <c:pt idx="495">
                  <c:v>-73.029903577971027</c:v>
                </c:pt>
                <c:pt idx="496">
                  <c:v>-73.071678587535246</c:v>
                </c:pt>
                <c:pt idx="497">
                  <c:v>-73.113261285740535</c:v>
                </c:pt>
                <c:pt idx="498">
                  <c:v>-73.154653224527891</c:v>
                </c:pt>
                <c:pt idx="499">
                  <c:v>-73.195855939105755</c:v>
                </c:pt>
                <c:pt idx="500">
                  <c:v>-73.236870948171671</c:v>
                </c:pt>
                <c:pt idx="501">
                  <c:v>-73.277699754130538</c:v>
                </c:pt>
                <c:pt idx="502">
                  <c:v>-73.318343843309407</c:v>
                </c:pt>
                <c:pt idx="503">
                  <c:v>-73.358804686168867</c:v>
                </c:pt>
                <c:pt idx="504">
                  <c:v>-73.399083737511077</c:v>
                </c:pt>
                <c:pt idx="505">
                  <c:v>-73.439182436684661</c:v>
                </c:pt>
                <c:pt idx="506">
                  <c:v>-73.479102207786184</c:v>
                </c:pt>
                <c:pt idx="507">
                  <c:v>-73.518844459858769</c:v>
                </c:pt>
                <c:pt idx="508">
                  <c:v>-73.558410587087366</c:v>
                </c:pt>
                <c:pt idx="509">
                  <c:v>-73.597801968991192</c:v>
                </c:pt>
                <c:pt idx="510">
                  <c:v>-73.637019970613025</c:v>
                </c:pt>
                <c:pt idx="511">
                  <c:v>-73.676065942705833</c:v>
                </c:pt>
                <c:pt idx="512">
                  <c:v>-73.714941221916234</c:v>
                </c:pt>
                <c:pt idx="513">
                  <c:v>-73.753647130965405</c:v>
                </c:pt>
                <c:pt idx="514">
                  <c:v>-73.792184978827066</c:v>
                </c:pt>
                <c:pt idx="515">
                  <c:v>-73.830556060902865</c:v>
                </c:pt>
                <c:pt idx="516">
                  <c:v>-73.868761659195016</c:v>
                </c:pt>
                <c:pt idx="517">
                  <c:v>-73.906803042476398</c:v>
                </c:pt>
                <c:pt idx="518">
                  <c:v>-73.944681466458007</c:v>
                </c:pt>
                <c:pt idx="519">
                  <c:v>-73.982398173953953</c:v>
                </c:pt>
                <c:pt idx="520">
                  <c:v>-74.019954395044039</c:v>
                </c:pt>
                <c:pt idx="521">
                  <c:v>-74.057351347233691</c:v>
                </c:pt>
                <c:pt idx="522">
                  <c:v>-74.094590235611705</c:v>
                </c:pt>
                <c:pt idx="523">
                  <c:v>-74.131672253005661</c:v>
                </c:pt>
                <c:pt idx="524">
                  <c:v>-74.168598580134812</c:v>
                </c:pt>
                <c:pt idx="525">
                  <c:v>-74.205370385760958</c:v>
                </c:pt>
                <c:pt idx="526">
                  <c:v>-74.241988826836916</c:v>
                </c:pt>
                <c:pt idx="527">
                  <c:v>-74.278455048652901</c:v>
                </c:pt>
                <c:pt idx="528">
                  <c:v>-74.314770184980745</c:v>
                </c:pt>
                <c:pt idx="529">
                  <c:v>-74.350935358215949</c:v>
                </c:pt>
                <c:pt idx="530">
                  <c:v>-74.386951679517722</c:v>
                </c:pt>
                <c:pt idx="531">
                  <c:v>-74.422820248946934</c:v>
                </c:pt>
                <c:pt idx="532">
                  <c:v>-74.458542155602146</c:v>
                </c:pt>
                <c:pt idx="533">
                  <c:v>-74.494118477753489</c:v>
                </c:pt>
                <c:pt idx="534">
                  <c:v>-74.529550282974839</c:v>
                </c:pt>
                <c:pt idx="535">
                  <c:v>-74.56483862827389</c:v>
                </c:pt>
                <c:pt idx="536">
                  <c:v>-74.59998456022052</c:v>
                </c:pt>
                <c:pt idx="537">
                  <c:v>-74.634989115073139</c:v>
                </c:pt>
                <c:pt idx="538">
                  <c:v>-74.669853318903364</c:v>
                </c:pt>
                <c:pt idx="539">
                  <c:v>-74.704578187718894</c:v>
                </c:pt>
                <c:pt idx="540">
                  <c:v>-74.739164727584551</c:v>
                </c:pt>
                <c:pt idx="541">
                  <c:v>-74.773613934741689</c:v>
                </c:pt>
                <c:pt idx="542">
                  <c:v>-74.807926795725905</c:v>
                </c:pt>
                <c:pt idx="543">
                  <c:v>-74.842104287483011</c:v>
                </c:pt>
                <c:pt idx="544">
                  <c:v>-74.876147377483449</c:v>
                </c:pt>
                <c:pt idx="545">
                  <c:v>-74.910057023835066</c:v>
                </c:pt>
                <c:pt idx="546">
                  <c:v>-74.943834175394272</c:v>
                </c:pt>
                <c:pt idx="547">
                  <c:v>-74.977479771875736</c:v>
                </c:pt>
                <c:pt idx="548">
                  <c:v>-75.010994743960396</c:v>
                </c:pt>
                <c:pt idx="549">
                  <c:v>-75.044380013402133</c:v>
                </c:pt>
                <c:pt idx="550">
                  <c:v>-75.077636493132857</c:v>
                </c:pt>
                <c:pt idx="551">
                  <c:v>-75.110765087366133</c:v>
                </c:pt>
                <c:pt idx="552">
                  <c:v>-75.143766691699398</c:v>
                </c:pt>
                <c:pt idx="553">
                  <c:v>-75.176642193214803</c:v>
                </c:pt>
                <c:pt idx="554">
                  <c:v>-75.209392470578607</c:v>
                </c:pt>
                <c:pt idx="555">
                  <c:v>-75.24201839413918</c:v>
                </c:pt>
                <c:pt idx="556">
                  <c:v>-75.274520826023789</c:v>
                </c:pt>
                <c:pt idx="557">
                  <c:v>-75.30690062023389</c:v>
                </c:pt>
                <c:pt idx="558">
                  <c:v>-75.339158622739248</c:v>
                </c:pt>
                <c:pt idx="559">
                  <c:v>-75.371295671570692</c:v>
                </c:pt>
                <c:pt idx="560">
                  <c:v>-75.403312596911732</c:v>
                </c:pt>
                <c:pt idx="561">
                  <c:v>-75.435210221188697</c:v>
                </c:pt>
                <c:pt idx="562">
                  <c:v>-75.466989359159953</c:v>
                </c:pt>
                <c:pt idx="563">
                  <c:v>-75.49865081800364</c:v>
                </c:pt>
                <c:pt idx="564">
                  <c:v>-75.530195397404412</c:v>
                </c:pt>
                <c:pt idx="565">
                  <c:v>-75.561623889638966</c:v>
                </c:pt>
                <c:pt idx="566">
                  <c:v>-75.592937079660331</c:v>
                </c:pt>
                <c:pt idx="567">
                  <c:v>-75.62413574518115</c:v>
                </c:pt>
                <c:pt idx="568">
                  <c:v>-75.655220656755773</c:v>
                </c:pt>
                <c:pt idx="569">
                  <c:v>-75.686192577861306</c:v>
                </c:pt>
                <c:pt idx="570">
                  <c:v>-75.717052264977568</c:v>
                </c:pt>
                <c:pt idx="571">
                  <c:v>-75.747800467665883</c:v>
                </c:pt>
                <c:pt idx="572">
                  <c:v>-75.778437928647008</c:v>
                </c:pt>
                <c:pt idx="573">
                  <c:v>-75.808965383877947</c:v>
                </c:pt>
                <c:pt idx="574">
                  <c:v>-75.839383562627646</c:v>
                </c:pt>
                <c:pt idx="575">
                  <c:v>-75.869693187551889</c:v>
                </c:pt>
                <c:pt idx="576">
                  <c:v>-75.899894974767051</c:v>
                </c:pt>
                <c:pt idx="577">
                  <c:v>-75.929989633922958</c:v>
                </c:pt>
                <c:pt idx="578">
                  <c:v>-75.959977868274763</c:v>
                </c:pt>
                <c:pt idx="579">
                  <c:v>-75.98986037475396</c:v>
                </c:pt>
                <c:pt idx="580">
                  <c:v>-76.019637844038286</c:v>
                </c:pt>
                <c:pt idx="581">
                  <c:v>-76.049310960620929</c:v>
                </c:pt>
                <c:pt idx="582">
                  <c:v>-76.078880402878738</c:v>
                </c:pt>
                <c:pt idx="583">
                  <c:v>-76.1083468431395</c:v>
                </c:pt>
                <c:pt idx="584">
                  <c:v>-76.137710947748445</c:v>
                </c:pt>
                <c:pt idx="585">
                  <c:v>-76.166973377133843</c:v>
                </c:pt>
                <c:pt idx="586">
                  <c:v>-76.196134785871749</c:v>
                </c:pt>
                <c:pt idx="587">
                  <c:v>-76.225195822749896</c:v>
                </c:pt>
                <c:pt idx="588">
                  <c:v>-76.25415713083089</c:v>
                </c:pt>
                <c:pt idx="589">
                  <c:v>-76.283019347514411</c:v>
                </c:pt>
                <c:pt idx="590">
                  <c:v>-76.31178310459876</c:v>
                </c:pt>
                <c:pt idx="591">
                  <c:v>-76.340449028341538</c:v>
                </c:pt>
                <c:pt idx="592">
                  <c:v>-76.369017739519649</c:v>
                </c:pt>
                <c:pt idx="593">
                  <c:v>-76.397489853488409</c:v>
                </c:pt>
                <c:pt idx="594">
                  <c:v>-76.425865980240019</c:v>
                </c:pt>
                <c:pt idx="595">
                  <c:v>-76.454146724461239</c:v>
                </c:pt>
                <c:pt idx="596">
                  <c:v>-76.482332685590322</c:v>
                </c:pt>
                <c:pt idx="597">
                  <c:v>-76.510424457873327</c:v>
                </c:pt>
                <c:pt idx="598">
                  <c:v>-76.538422630419575</c:v>
                </c:pt>
                <c:pt idx="599">
                  <c:v>-76.566327787256526</c:v>
                </c:pt>
                <c:pt idx="600">
                  <c:v>-76.594140507383898</c:v>
                </c:pt>
                <c:pt idx="601">
                  <c:v>-76.621861364827183</c:v>
                </c:pt>
                <c:pt idx="602">
                  <c:v>-76.649490928690383</c:v>
                </c:pt>
                <c:pt idx="603">
                  <c:v>-76.677029763208225</c:v>
                </c:pt>
                <c:pt idx="604">
                  <c:v>-76.704478427797611</c:v>
                </c:pt>
                <c:pt idx="605">
                  <c:v>-76.731837477108471</c:v>
                </c:pt>
                <c:pt idx="606">
                  <c:v>-77.996536543595994</c:v>
                </c:pt>
                <c:pt idx="607">
                  <c:v>-79.093174715855412</c:v>
                </c:pt>
                <c:pt idx="608">
                  <c:v>-80.060365695425034</c:v>
                </c:pt>
                <c:pt idx="609">
                  <c:v>-80.925190342049262</c:v>
                </c:pt>
                <c:pt idx="610">
                  <c:v>-81.707237853785074</c:v>
                </c:pt>
                <c:pt idx="611">
                  <c:v>-82.421065072492638</c:v>
                </c:pt>
                <c:pt idx="612">
                  <c:v>-83.077746866741307</c:v>
                </c:pt>
                <c:pt idx="613">
                  <c:v>-83.685884694325836</c:v>
                </c:pt>
                <c:pt idx="614">
                  <c:v>-84.252281416001807</c:v>
                </c:pt>
                <c:pt idx="615">
                  <c:v>-84.782404372153223</c:v>
                </c:pt>
                <c:pt idx="616">
                  <c:v>-85.280710494451142</c:v>
                </c:pt>
                <c:pt idx="617">
                  <c:v>-85.750879315290348</c:v>
                </c:pt>
                <c:pt idx="618">
                  <c:v>-85.931773894991963</c:v>
                </c:pt>
                <c:pt idx="619">
                  <c:v>-86.108837092190385</c:v>
                </c:pt>
                <c:pt idx="620">
                  <c:v>-86.282231427565449</c:v>
                </c:pt>
                <c:pt idx="621">
                  <c:v>-86.452109199745223</c:v>
                </c:pt>
                <c:pt idx="622">
                  <c:v>-86.618613325207605</c:v>
                </c:pt>
                <c:pt idx="623">
                  <c:v>-86.781878094111576</c:v>
                </c:pt>
                <c:pt idx="624">
                  <c:v>-86.942029851872405</c:v>
                </c:pt>
                <c:pt idx="625">
                  <c:v>-87.099187614997703</c:v>
                </c:pt>
                <c:pt idx="626">
                  <c:v>-87.253463628593181</c:v>
                </c:pt>
                <c:pt idx="627">
                  <c:v>-87.404963872000408</c:v>
                </c:pt>
                <c:pt idx="628">
                  <c:v>-87.553788518215057</c:v>
                </c:pt>
                <c:pt idx="629">
                  <c:v>-87.700032352035819</c:v>
                </c:pt>
                <c:pt idx="630">
                  <c:v>-87.843785151290717</c:v>
                </c:pt>
                <c:pt idx="631">
                  <c:v>-87.985132034966568</c:v>
                </c:pt>
                <c:pt idx="632">
                  <c:v>-88.124153781616144</c:v>
                </c:pt>
                <c:pt idx="633">
                  <c:v>-88.260927121024793</c:v>
                </c:pt>
                <c:pt idx="634">
                  <c:v>-88.395525001778012</c:v>
                </c:pt>
                <c:pt idx="635">
                  <c:v>-88.528016837072641</c:v>
                </c:pt>
                <c:pt idx="636">
                  <c:v>-88.658468730855162</c:v>
                </c:pt>
                <c:pt idx="637">
                  <c:v>-88.786943686141996</c:v>
                </c:pt>
                <c:pt idx="638">
                  <c:v>-88.913501797177162</c:v>
                </c:pt>
                <c:pt idx="639">
                  <c:v>-89.038200426906286</c:v>
                </c:pt>
                <c:pt idx="640">
                  <c:v>-89.161094371091536</c:v>
                </c:pt>
                <c:pt idx="641">
                  <c:v>-89.282236010254522</c:v>
                </c:pt>
                <c:pt idx="642">
                  <c:v>-89.401675450514361</c:v>
                </c:pt>
                <c:pt idx="643">
                  <c:v>-89.519460654279627</c:v>
                </c:pt>
                <c:pt idx="644">
                  <c:v>-89.635637561659038</c:v>
                </c:pt>
                <c:pt idx="645">
                  <c:v>-89.750250203370484</c:v>
                </c:pt>
                <c:pt idx="646">
                  <c:v>-89.863340805852928</c:v>
                </c:pt>
                <c:pt idx="647">
                  <c:v>-89.974949889219175</c:v>
                </c:pt>
                <c:pt idx="648">
                  <c:v>-90.085116358626522</c:v>
                </c:pt>
                <c:pt idx="649">
                  <c:v>-90.19387758958986</c:v>
                </c:pt>
                <c:pt idx="650">
                  <c:v>-90.301269507713258</c:v>
                </c:pt>
                <c:pt idx="651">
                  <c:v>-90.407326663272698</c:v>
                </c:pt>
                <c:pt idx="652">
                  <c:v>-90.512082301044941</c:v>
                </c:pt>
                <c:pt idx="653">
                  <c:v>-90.615568425741657</c:v>
                </c:pt>
                <c:pt idx="654">
                  <c:v>-90.717815863377339</c:v>
                </c:pt>
                <c:pt idx="655">
                  <c:v>-90.818854318870819</c:v>
                </c:pt>
                <c:pt idx="656">
                  <c:v>-90.918712430155466</c:v>
                </c:pt>
                <c:pt idx="657">
                  <c:v>-91.017417819048617</c:v>
                </c:pt>
                <c:pt idx="658">
                  <c:v>-91.114997139111779</c:v>
                </c:pt>
                <c:pt idx="659">
                  <c:v>-91.211476120712547</c:v>
                </c:pt>
                <c:pt idx="660">
                  <c:v>-91.306879613483162</c:v>
                </c:pt>
                <c:pt idx="661">
                  <c:v>-91.401231626354345</c:v>
                </c:pt>
                <c:pt idx="662">
                  <c:v>-91.494555365329177</c:v>
                </c:pt>
                <c:pt idx="663">
                  <c:v>-91.586873269148882</c:v>
                </c:pt>
                <c:pt idx="664">
                  <c:v>-91.678207042990579</c:v>
                </c:pt>
                <c:pt idx="665">
                  <c:v>-91.768577690325785</c:v>
                </c:pt>
                <c:pt idx="666">
                  <c:v>-91.858005543059974</c:v>
                </c:pt>
                <c:pt idx="667">
                  <c:v>-91.94651029006296</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-4.8808419331999075E-3</c:v>
                </c:pt>
                <c:pt idx="1">
                  <c:v>-9.7616852582167735E-3</c:v>
                </c:pt>
                <c:pt idx="2">
                  <c:v>-1.4642531366868796E-2</c:v>
                </c:pt>
                <c:pt idx="3">
                  <c:v>-1.9523381650976647E-2</c:v>
                </c:pt>
                <c:pt idx="4">
                  <c:v>-2.4404237502364732E-2</c:v>
                </c:pt>
                <c:pt idx="5">
                  <c:v>-2.9285100312862425E-2</c:v>
                </c:pt>
                <c:pt idx="6">
                  <c:v>-3.4165971474305279E-2</c:v>
                </c:pt>
                <c:pt idx="7">
                  <c:v>-3.9046852378536293E-2</c:v>
                </c:pt>
                <c:pt idx="8">
                  <c:v>-4.3927744417407176E-2</c:v>
                </c:pt>
                <c:pt idx="9">
                  <c:v>-4.8808648982779548E-2</c:v>
                </c:pt>
                <c:pt idx="10">
                  <c:v>-9.7618689813219903E-2</c:v>
                </c:pt>
                <c:pt idx="11">
                  <c:v>-0.14643151446304101</c:v>
                </c:pt>
                <c:pt idx="12">
                  <c:v>-0.19524851515210295</c:v>
                </c:pt>
                <c:pt idx="13">
                  <c:v>-0.24407108447253059</c:v>
                </c:pt>
                <c:pt idx="14">
                  <c:v>-0.29290061551290364</c:v>
                </c:pt>
                <c:pt idx="15">
                  <c:v>-0.34173850198253414</c:v>
                </c:pt>
                <c:pt idx="16">
                  <c:v>-0.39058613833585309</c:v>
                </c:pt>
                <c:pt idx="17">
                  <c:v>-0.43944491989692841</c:v>
                </c:pt>
                <c:pt idx="18">
                  <c:v>-0.48831624298413551</c:v>
                </c:pt>
                <c:pt idx="19">
                  <c:v>-0.97802740937568844</c:v>
                </c:pt>
                <c:pt idx="20">
                  <c:v>-1.4705409007936312</c:v>
                </c:pt>
                <c:pt idx="21">
                  <c:v>-1.9672892960134056</c:v>
                </c:pt>
                <c:pt idx="22">
                  <c:v>-2.4697434975818524</c:v>
                </c:pt>
                <c:pt idx="23">
                  <c:v>-2.9794265656837506</c:v>
                </c:pt>
                <c:pt idx="24">
                  <c:v>-3.4979284984155732</c:v>
                </c:pt>
                <c:pt idx="25">
                  <c:v>-4.0269222448829796</c:v>
                </c:pt>
                <c:pt idx="26">
                  <c:v>-4.5681812735478813</c:v>
                </c:pt>
                <c:pt idx="27">
                  <c:v>-5.1235990644190901</c:v>
                </c:pt>
                <c:pt idx="28">
                  <c:v>-8.1907558386622785</c:v>
                </c:pt>
                <c:pt idx="29">
                  <c:v>-12.013576461489359</c:v>
                </c:pt>
                <c:pt idx="30">
                  <c:v>-17.180842807771786</c:v>
                </c:pt>
                <c:pt idx="31">
                  <c:v>-24.823923834014781</c:v>
                </c:pt>
                <c:pt idx="32">
                  <c:v>-37.267601730035288</c:v>
                </c:pt>
                <c:pt idx="33">
                  <c:v>-58.705985814020906</c:v>
                </c:pt>
                <c:pt idx="34">
                  <c:v>-90.208565180834185</c:v>
                </c:pt>
                <c:pt idx="35">
                  <c:v>-118.7246345039427</c:v>
                </c:pt>
                <c:pt idx="36">
                  <c:v>-136.20395901690742</c:v>
                </c:pt>
                <c:pt idx="37">
                  <c:v>-146.3096483799215</c:v>
                </c:pt>
                <c:pt idx="38">
                  <c:v>-152.5759653694073</c:v>
                </c:pt>
                <c:pt idx="39">
                  <c:v>-156.77457330059866</c:v>
                </c:pt>
                <c:pt idx="40">
                  <c:v>-159.76919248269371</c:v>
                </c:pt>
                <c:pt idx="41">
                  <c:v>-162.01033434924764</c:v>
                </c:pt>
                <c:pt idx="42">
                  <c:v>-163.7511184656656</c:v>
                </c:pt>
                <c:pt idx="43">
                  <c:v>-165.14332227538884</c:v>
                </c:pt>
                <c:pt idx="44">
                  <c:v>-166.2830455501651</c:v>
                </c:pt>
                <c:pt idx="45">
                  <c:v>-167.23395170642291</c:v>
                </c:pt>
                <c:pt idx="46">
                  <c:v>-168.03984309942254</c:v>
                </c:pt>
                <c:pt idx="47">
                  <c:v>-168.73183594503291</c:v>
                </c:pt>
                <c:pt idx="48">
                  <c:v>-169.33264535476226</c:v>
                </c:pt>
                <c:pt idx="49">
                  <c:v>-169.85924735850728</c:v>
                </c:pt>
                <c:pt idx="50">
                  <c:v>-170.3245902115157</c:v>
                </c:pt>
                <c:pt idx="51">
                  <c:v>-170.73872790946714</c:v>
                </c:pt>
                <c:pt idx="52">
                  <c:v>-171.10959100160102</c:v>
                </c:pt>
                <c:pt idx="53">
                  <c:v>-171.44352311135736</c:v>
                </c:pt>
                <c:pt idx="54">
                  <c:v>-171.74566221037742</c:v>
                </c:pt>
                <c:pt idx="55">
                  <c:v>-172.0202166540966</c:v>
                </c:pt>
                <c:pt idx="56">
                  <c:v>-172.27066840291374</c:v>
                </c:pt>
                <c:pt idx="57">
                  <c:v>-172.49992492244016</c:v>
                </c:pt>
                <c:pt idx="58">
                  <c:v>-172.71043429934366</c:v>
                </c:pt>
                <c:pt idx="59">
                  <c:v>-172.90427358524454</c:v>
                </c:pt>
                <c:pt idx="60">
                  <c:v>-173.08321738100236</c:v>
                </c:pt>
                <c:pt idx="61">
                  <c:v>-173.24879164823389</c:v>
                </c:pt>
                <c:pt idx="62">
                  <c:v>-173.40231634470635</c:v>
                </c:pt>
                <c:pt idx="63">
                  <c:v>-173.5449395115061</c:v>
                </c:pt>
                <c:pt idx="64">
                  <c:v>-173.67766475528444</c:v>
                </c:pt>
                <c:pt idx="65">
                  <c:v>-173.80137357875608</c:v>
                </c:pt>
                <c:pt idx="66">
                  <c:v>-173.91684365745857</c:v>
                </c:pt>
                <c:pt idx="67">
                  <c:v>-174.0247639004956</c:v>
                </c:pt>
                <c:pt idx="68">
                  <c:v>-174.12574694021788</c:v>
                </c:pt>
                <c:pt idx="69">
                  <c:v>-174.22033955161851</c:v>
                </c:pt>
                <c:pt idx="70">
                  <c:v>-174.30903139337852</c:v>
                </c:pt>
                <c:pt idx="71">
                  <c:v>-174.39226237962615</c:v>
                </c:pt>
                <c:pt idx="72">
                  <c:v>-174.47042892784387</c:v>
                </c:pt>
                <c:pt idx="73">
                  <c:v>-174.54388927913644</c:v>
                </c:pt>
                <c:pt idx="74">
                  <c:v>-174.61296804870878</c:v>
                </c:pt>
                <c:pt idx="75">
                  <c:v>-174.67796013430259</c:v>
                </c:pt>
                <c:pt idx="76">
                  <c:v>-174.73913408656276</c:v>
                </c:pt>
                <c:pt idx="77">
                  <c:v>-174.79673502640861</c:v>
                </c:pt>
                <c:pt idx="78">
                  <c:v>-174.85098717938016</c:v>
                </c:pt>
                <c:pt idx="79">
                  <c:v>-174.90209608478187</c:v>
                </c:pt>
                <c:pt idx="80">
                  <c:v>-174.95025052763441</c:v>
                </c:pt>
                <c:pt idx="81">
                  <c:v>-174.99562423346887</c:v>
                </c:pt>
                <c:pt idx="82">
                  <c:v>-175.03837735949011</c:v>
                </c:pt>
                <c:pt idx="83">
                  <c:v>-175.07865781029795</c:v>
                </c:pt>
                <c:pt idx="84">
                  <c:v>-175.11660240195891</c:v>
                </c:pt>
                <c:pt idx="85">
                  <c:v>-175.15233789458279</c:v>
                </c:pt>
                <c:pt idx="86">
                  <c:v>-175.18598191053934</c:v>
                </c:pt>
                <c:pt idx="87">
                  <c:v>-175.21764375292966</c:v>
                </c:pt>
                <c:pt idx="88">
                  <c:v>-175.24742513682003</c:v>
                </c:pt>
                <c:pt idx="89">
                  <c:v>-175.27542084397501</c:v>
                </c:pt>
                <c:pt idx="90">
                  <c:v>-175.30171931033351</c:v>
                </c:pt>
                <c:pt idx="91">
                  <c:v>-175.32640315421071</c:v>
                </c:pt>
                <c:pt idx="92">
                  <c:v>-175.34954965213691</c:v>
                </c:pt>
                <c:pt idx="93">
                  <c:v>-175.37123116833405</c:v>
                </c:pt>
                <c:pt idx="94">
                  <c:v>-175.3915155430528</c:v>
                </c:pt>
                <c:pt idx="95">
                  <c:v>-175.41046644432743</c:v>
                </c:pt>
                <c:pt idx="96">
                  <c:v>-175.42814368713516</c:v>
                </c:pt>
                <c:pt idx="97">
                  <c:v>-175.44460352345413</c:v>
                </c:pt>
                <c:pt idx="98">
                  <c:v>-175.45989890629053</c:v>
                </c:pt>
                <c:pt idx="99">
                  <c:v>-175.47407973037926</c:v>
                </c:pt>
                <c:pt idx="100">
                  <c:v>-175.48719305194302</c:v>
                </c:pt>
                <c:pt idx="101">
                  <c:v>-175.49928328962</c:v>
                </c:pt>
                <c:pt idx="102">
                  <c:v>-175.51039240842763</c:v>
                </c:pt>
                <c:pt idx="103">
                  <c:v>-175.52056008842271</c:v>
                </c:pt>
                <c:pt idx="104">
                  <c:v>-175.5298238795308</c:v>
                </c:pt>
                <c:pt idx="105">
                  <c:v>-175.53821934386005</c:v>
                </c:pt>
                <c:pt idx="106">
                  <c:v>-175.5457801866707</c:v>
                </c:pt>
                <c:pt idx="107">
                  <c:v>-175.55253837704871</c:v>
                </c:pt>
                <c:pt idx="108">
                  <c:v>-175.55852425922114</c:v>
                </c:pt>
                <c:pt idx="109">
                  <c:v>-175.56376665535413</c:v>
                </c:pt>
                <c:pt idx="110">
                  <c:v>-175.56829296058979</c:v>
                </c:pt>
                <c:pt idx="111">
                  <c:v>-175.57212923100008</c:v>
                </c:pt>
                <c:pt idx="112">
                  <c:v>-175.5753002650705</c:v>
                </c:pt>
                <c:pt idx="113">
                  <c:v>-175.57782967926516</c:v>
                </c:pt>
                <c:pt idx="114">
                  <c:v>-175.57973997817172</c:v>
                </c:pt>
                <c:pt idx="115">
                  <c:v>-175.58105261967694</c:v>
                </c:pt>
                <c:pt idx="116">
                  <c:v>-175.58178807558116</c:v>
                </c:pt>
                <c:pt idx="117">
                  <c:v>-175.58196588802224</c:v>
                </c:pt>
                <c:pt idx="118">
                  <c:v>-175.58160472204443</c:v>
                </c:pt>
                <c:pt idx="119">
                  <c:v>-175.5807224146179</c:v>
                </c:pt>
                <c:pt idx="120">
                  <c:v>-175.57933602038722</c:v>
                </c:pt>
                <c:pt idx="121">
                  <c:v>-175.57746185440175</c:v>
                </c:pt>
                <c:pt idx="122">
                  <c:v>-175.57511553205862</c:v>
                </c:pt>
                <c:pt idx="123">
                  <c:v>-175.57231200647001</c:v>
                </c:pt>
                <c:pt idx="124">
                  <c:v>-175.56906560344703</c:v>
                </c:pt>
                <c:pt idx="125">
                  <c:v>-175.56539005427618</c:v>
                </c:pt>
                <c:pt idx="126">
                  <c:v>-175.561298526451</c:v>
                </c:pt>
                <c:pt idx="127">
                  <c:v>-175.55680365250598</c:v>
                </c:pt>
                <c:pt idx="128">
                  <c:v>-175.55191755708964</c:v>
                </c:pt>
                <c:pt idx="129">
                  <c:v>-175.54665188240043</c:v>
                </c:pt>
                <c:pt idx="130">
                  <c:v>-175.54101781210179</c:v>
                </c:pt>
                <c:pt idx="131">
                  <c:v>-175.53502609382048</c:v>
                </c:pt>
                <c:pt idx="132">
                  <c:v>-175.52868706032683</c:v>
                </c:pt>
                <c:pt idx="133">
                  <c:v>-175.52201064948557</c:v>
                </c:pt>
                <c:pt idx="134">
                  <c:v>-175.51500642306073</c:v>
                </c:pt>
                <c:pt idx="135">
                  <c:v>-175.5076835844508</c:v>
                </c:pt>
                <c:pt idx="136">
                  <c:v>-175.5000509954248</c:v>
                </c:pt>
                <c:pt idx="137">
                  <c:v>-175.49211719192428</c:v>
                </c:pt>
                <c:pt idx="138">
                  <c:v>-175.48389039899266</c:v>
                </c:pt>
                <c:pt idx="139">
                  <c:v>-175.47537854488678</c:v>
                </c:pt>
                <c:pt idx="140">
                  <c:v>-175.46658927442343</c:v>
                </c:pt>
                <c:pt idx="141">
                  <c:v>-175.45752996160877</c:v>
                </c:pt>
                <c:pt idx="142">
                  <c:v>-175.44820772159548</c:v>
                </c:pt>
                <c:pt idx="143">
                  <c:v>-175.43862942200857</c:v>
                </c:pt>
                <c:pt idx="144">
                  <c:v>-175.42880169368001</c:v>
                </c:pt>
                <c:pt idx="145">
                  <c:v>-175.41873094082612</c:v>
                </c:pt>
                <c:pt idx="146">
                  <c:v>-175.40842335070309</c:v>
                </c:pt>
                <c:pt idx="147">
                  <c:v>-175.39788490277033</c:v>
                </c:pt>
                <c:pt idx="148">
                  <c:v>-175.38712137739159</c:v>
                </c:pt>
                <c:pt idx="149">
                  <c:v>-175.37613836410088</c:v>
                </c:pt>
                <c:pt idx="150">
                  <c:v>-175.36494126945783</c:v>
                </c:pt>
                <c:pt idx="151">
                  <c:v>-175.35353532451717</c:v>
                </c:pt>
                <c:pt idx="152">
                  <c:v>-175.34192559193335</c:v>
                </c:pt>
                <c:pt idx="153">
                  <c:v>-175.3301169727217</c:v>
                </c:pt>
                <c:pt idx="154">
                  <c:v>-175.31811421269529</c:v>
                </c:pt>
                <c:pt idx="155">
                  <c:v>-175.305921908595</c:v>
                </c:pt>
                <c:pt idx="156">
                  <c:v>-175.29354451393078</c:v>
                </c:pt>
                <c:pt idx="157">
                  <c:v>-175.28098634454906</c:v>
                </c:pt>
                <c:pt idx="158">
                  <c:v>-175.26825158394138</c:v>
                </c:pt>
                <c:pt idx="159">
                  <c:v>-175.25534428830872</c:v>
                </c:pt>
                <c:pt idx="160">
                  <c:v>-175.24226839139402</c:v>
                </c:pt>
                <c:pt idx="161">
                  <c:v>-175.22902770909536</c:v>
                </c:pt>
                <c:pt idx="162">
                  <c:v>-175.21562594387166</c:v>
                </c:pt>
                <c:pt idx="163">
                  <c:v>-175.20206668895102</c:v>
                </c:pt>
                <c:pt idx="164">
                  <c:v>-175.18835343235324</c:v>
                </c:pt>
                <c:pt idx="165">
                  <c:v>-175.17448956073457</c:v>
                </c:pt>
                <c:pt idx="166">
                  <c:v>-175.1604783630647</c:v>
                </c:pt>
                <c:pt idx="167">
                  <c:v>-175.14632303414464</c:v>
                </c:pt>
                <c:pt idx="168">
                  <c:v>-175.13202667797276</c:v>
                </c:pt>
                <c:pt idx="169">
                  <c:v>-175.11759231096704</c:v>
                </c:pt>
                <c:pt idx="170">
                  <c:v>-175.10302286505109</c:v>
                </c:pt>
                <c:pt idx="171">
                  <c:v>-175.08832119060955</c:v>
                </c:pt>
                <c:pt idx="172">
                  <c:v>-175.07349005932031</c:v>
                </c:pt>
                <c:pt idx="173">
                  <c:v>-175.05853216686901</c:v>
                </c:pt>
                <c:pt idx="174">
                  <c:v>-175.04345013555181</c:v>
                </c:pt>
                <c:pt idx="175">
                  <c:v>-175.02824651677099</c:v>
                </c:pt>
                <c:pt idx="176">
                  <c:v>-175.01292379343016</c:v>
                </c:pt>
                <c:pt idx="177">
                  <c:v>-174.99748438223148</c:v>
                </c:pt>
                <c:pt idx="178">
                  <c:v>-174.98193063588178</c:v>
                </c:pt>
                <c:pt idx="179">
                  <c:v>-174.96626484521025</c:v>
                </c:pt>
                <c:pt idx="180">
                  <c:v>-174.95048924120249</c:v>
                </c:pt>
                <c:pt idx="181">
                  <c:v>-174.93460599695467</c:v>
                </c:pt>
                <c:pt idx="182">
                  <c:v>-174.91861722955142</c:v>
                </c:pt>
                <c:pt idx="183">
                  <c:v>-174.90252500187049</c:v>
                </c:pt>
                <c:pt idx="184">
                  <c:v>-174.88633132431869</c:v>
                </c:pt>
                <c:pt idx="185">
                  <c:v>-174.87003815650056</c:v>
                </c:pt>
                <c:pt idx="186">
                  <c:v>-174.85364740882406</c:v>
                </c:pt>
                <c:pt idx="187">
                  <c:v>-174.83716094404528</c:v>
                </c:pt>
                <c:pt idx="188">
                  <c:v>-174.82058057875551</c:v>
                </c:pt>
                <c:pt idx="189">
                  <c:v>-174.80390808481249</c:v>
                </c:pt>
                <c:pt idx="190">
                  <c:v>-174.78714519071895</c:v>
                </c:pt>
                <c:pt idx="191">
                  <c:v>-174.77029358294959</c:v>
                </c:pt>
                <c:pt idx="192">
                  <c:v>-174.75335490723086</c:v>
                </c:pt>
                <c:pt idx="193">
                  <c:v>-174.73633076977259</c:v>
                </c:pt>
                <c:pt idx="194">
                  <c:v>-174.71922273845624</c:v>
                </c:pt>
                <c:pt idx="195">
                  <c:v>-174.70203234397982</c:v>
                </c:pt>
                <c:pt idx="196">
                  <c:v>-174.68476108096232</c:v>
                </c:pt>
                <c:pt idx="197">
                  <c:v>-174.66741040900851</c:v>
                </c:pt>
                <c:pt idx="198">
                  <c:v>-174.6499817537364</c:v>
                </c:pt>
                <c:pt idx="199">
                  <c:v>-174.63247650776864</c:v>
                </c:pt>
                <c:pt idx="200">
                  <c:v>-174.61489603168917</c:v>
                </c:pt>
                <c:pt idx="201">
                  <c:v>-174.59724165496712</c:v>
                </c:pt>
                <c:pt idx="202">
                  <c:v>-174.57951467684813</c:v>
                </c:pt>
                <c:pt idx="203">
                  <c:v>-174.56171636721584</c:v>
                </c:pt>
                <c:pt idx="204">
                  <c:v>-174.54384796742363</c:v>
                </c:pt>
                <c:pt idx="205">
                  <c:v>-174.52591069109829</c:v>
                </c:pt>
                <c:pt idx="206">
                  <c:v>-174.50790572491647</c:v>
                </c:pt>
                <c:pt idx="207">
                  <c:v>-174.48983422935558</c:v>
                </c:pt>
                <c:pt idx="208">
                  <c:v>-174.47169733941891</c:v>
                </c:pt>
                <c:pt idx="209">
                  <c:v>-174.45349616533744</c:v>
                </c:pt>
                <c:pt idx="210">
                  <c:v>-174.43523179324822</c:v>
                </c:pt>
                <c:pt idx="211">
                  <c:v>-174.4169052858505</c:v>
                </c:pt>
                <c:pt idx="212">
                  <c:v>-174.39851768304064</c:v>
                </c:pt>
                <c:pt idx="213">
                  <c:v>-174.38007000252622</c:v>
                </c:pt>
                <c:pt idx="214">
                  <c:v>-174.36156324042062</c:v>
                </c:pt>
                <c:pt idx="215">
                  <c:v>-174.34299837181837</c:v>
                </c:pt>
                <c:pt idx="216">
                  <c:v>-174.32437635135236</c:v>
                </c:pt>
                <c:pt idx="217">
                  <c:v>-174.305698113733</c:v>
                </c:pt>
                <c:pt idx="218">
                  <c:v>-174.28696457427077</c:v>
                </c:pt>
                <c:pt idx="219">
                  <c:v>-174.26817662938222</c:v>
                </c:pt>
                <c:pt idx="220">
                  <c:v>-174.2493351570802</c:v>
                </c:pt>
                <c:pt idx="221">
                  <c:v>-174.23044101744878</c:v>
                </c:pt>
                <c:pt idx="222">
                  <c:v>-174.21149505310365</c:v>
                </c:pt>
                <c:pt idx="223">
                  <c:v>-174.19249808963835</c:v>
                </c:pt>
                <c:pt idx="224">
                  <c:v>-174.17345093605681</c:v>
                </c:pt>
                <c:pt idx="225">
                  <c:v>-174.15435438519262</c:v>
                </c:pt>
                <c:pt idx="226">
                  <c:v>-173.96083566663327</c:v>
                </c:pt>
                <c:pt idx="227">
                  <c:v>-173.76314349168052</c:v>
                </c:pt>
                <c:pt idx="228">
                  <c:v>-173.56185763408226</c:v>
                </c:pt>
                <c:pt idx="229">
                  <c:v>-173.35746189376491</c:v>
                </c:pt>
                <c:pt idx="230">
                  <c:v>-173.15036343836564</c:v>
                </c:pt>
                <c:pt idx="231">
                  <c:v>-172.94090764118107</c:v>
                </c:pt>
                <c:pt idx="232">
                  <c:v>-172.72938959430721</c:v>
                </c:pt>
                <c:pt idx="233">
                  <c:v>-172.51606313554296</c:v>
                </c:pt>
                <c:pt idx="234">
                  <c:v>-172.30114799412564</c:v>
                </c:pt>
                <c:pt idx="235">
                  <c:v>-172.08483549760419</c:v>
                </c:pt>
                <c:pt idx="236">
                  <c:v>-171.86729316708283</c:v>
                </c:pt>
                <c:pt idx="237">
                  <c:v>-171.64866844563394</c:v>
                </c:pt>
                <c:pt idx="238">
                  <c:v>-171.42909174491237</c:v>
                </c:pt>
                <c:pt idx="239">
                  <c:v>-171.20867895117232</c:v>
                </c:pt>
                <c:pt idx="240">
                  <c:v>-170.98753349941131</c:v>
                </c:pt>
                <c:pt idx="241">
                  <c:v>-170.76574810005999</c:v>
                </c:pt>
                <c:pt idx="242">
                  <c:v>-170.54340618428313</c:v>
                </c:pt>
                <c:pt idx="243">
                  <c:v>-170.32058311997233</c:v>
                </c:pt>
                <c:pt idx="244">
                  <c:v>-170.09734723977749</c:v>
                </c:pt>
                <c:pt idx="245">
                  <c:v>-169.87376071421215</c:v>
                </c:pt>
                <c:pt idx="246">
                  <c:v>-169.64988029639471</c:v>
                </c:pt>
                <c:pt idx="247">
                  <c:v>-169.42575795990655</c:v>
                </c:pt>
                <c:pt idx="248">
                  <c:v>-169.20144144723344</c:v>
                </c:pt>
                <c:pt idx="249">
                  <c:v>-168.97697474307088</c:v>
                </c:pt>
                <c:pt idx="250">
                  <c:v>-168.75239848422413</c:v>
                </c:pt>
                <c:pt idx="251">
                  <c:v>-168.5277503157869</c:v>
                </c:pt>
                <c:pt idx="252">
                  <c:v>-168.30306520162927</c:v>
                </c:pt>
                <c:pt idx="253">
                  <c:v>-168.07837569588114</c:v>
                </c:pt>
                <c:pt idx="254">
                  <c:v>-167.85371218100474</c:v>
                </c:pt>
                <c:pt idx="255">
                  <c:v>-167.62910307714961</c:v>
                </c:pt>
                <c:pt idx="256">
                  <c:v>-167.40457502674715</c:v>
                </c:pt>
                <c:pt idx="257">
                  <c:v>-167.18015305769021</c:v>
                </c:pt>
                <c:pt idx="258">
                  <c:v>-166.95586072793708</c:v>
                </c:pt>
                <c:pt idx="259">
                  <c:v>-166.73172025395829</c:v>
                </c:pt>
                <c:pt idx="260">
                  <c:v>-166.50775262509029</c:v>
                </c:pt>
                <c:pt idx="261">
                  <c:v>-166.28397770556694</c:v>
                </c:pt>
                <c:pt idx="262">
                  <c:v>-166.06041432574756</c:v>
                </c:pt>
                <c:pt idx="263">
                  <c:v>-165.83708036385363</c:v>
                </c:pt>
                <c:pt idx="264">
                  <c:v>-165.61399281934513</c:v>
                </c:pt>
                <c:pt idx="265">
                  <c:v>-165.39116787891788</c:v>
                </c:pt>
                <c:pt idx="266">
                  <c:v>-165.16862097597388</c:v>
                </c:pt>
                <c:pt idx="267">
                  <c:v>-164.94636684430674</c:v>
                </c:pt>
                <c:pt idx="268">
                  <c:v>-164.72441956664883</c:v>
                </c:pt>
                <c:pt idx="269">
                  <c:v>-164.50279261864756</c:v>
                </c:pt>
                <c:pt idx="270">
                  <c:v>-164.28149890876603</c:v>
                </c:pt>
                <c:pt idx="271">
                  <c:v>-164.06055081454528</c:v>
                </c:pt>
                <c:pt idx="272">
                  <c:v>-163.83996021561114</c:v>
                </c:pt>
                <c:pt idx="273">
                  <c:v>-163.61973852376502</c:v>
                </c:pt>
                <c:pt idx="274">
                  <c:v>-163.39989671045777</c:v>
                </c:pt>
                <c:pt idx="275">
                  <c:v>-163.18044533191068</c:v>
                </c:pt>
                <c:pt idx="276">
                  <c:v>-162.96139455212059</c:v>
                </c:pt>
                <c:pt idx="277">
                  <c:v>-162.74275416395551</c:v>
                </c:pt>
                <c:pt idx="278">
                  <c:v>-162.52453360852886</c:v>
                </c:pt>
                <c:pt idx="279">
                  <c:v>-162.30674199301612</c:v>
                </c:pt>
                <c:pt idx="280">
                  <c:v>-162.08938810706371</c:v>
                </c:pt>
                <c:pt idx="281">
                  <c:v>-161.8724804379203</c:v>
                </c:pt>
                <c:pt idx="282">
                  <c:v>-161.65602718441102</c:v>
                </c:pt>
                <c:pt idx="283">
                  <c:v>-161.44003626985926</c:v>
                </c:pt>
                <c:pt idx="284">
                  <c:v>-161.22451535405284</c:v>
                </c:pt>
                <c:pt idx="285">
                  <c:v>-161.00947184433915</c:v>
                </c:pt>
                <c:pt idx="286">
                  <c:v>-160.79491290592733</c:v>
                </c:pt>
                <c:pt idx="287">
                  <c:v>-160.580845471467</c:v>
                </c:pt>
                <c:pt idx="288">
                  <c:v>-160.36727624996635</c:v>
                </c:pt>
                <c:pt idx="289">
                  <c:v>-160.15421173510663</c:v>
                </c:pt>
                <c:pt idx="290">
                  <c:v>-159.94165821300402</c:v>
                </c:pt>
                <c:pt idx="291">
                  <c:v>-159.72962176946641</c:v>
                </c:pt>
                <c:pt idx="292">
                  <c:v>-159.51810829678612</c:v>
                </c:pt>
                <c:pt idx="293">
                  <c:v>-159.30712350010825</c:v>
                </c:pt>
                <c:pt idx="294">
                  <c:v>-159.09667290340821</c:v>
                </c:pt>
                <c:pt idx="295">
                  <c:v>-158.88676185511142</c:v>
                </c:pt>
                <c:pt idx="296">
                  <c:v>-158.67739553338296</c:v>
                </c:pt>
                <c:pt idx="297">
                  <c:v>-158.46857895111421</c:v>
                </c:pt>
                <c:pt idx="298">
                  <c:v>-158.26031696063004</c:v>
                </c:pt>
                <c:pt idx="299">
                  <c:v>-158.05261425813868</c:v>
                </c:pt>
                <c:pt idx="300">
                  <c:v>-157.84547538794436</c:v>
                </c:pt>
                <c:pt idx="301">
                  <c:v>-157.63890474644069</c:v>
                </c:pt>
                <c:pt idx="302">
                  <c:v>-157.43290658590163</c:v>
                </c:pt>
                <c:pt idx="303">
                  <c:v>-157.22748501808579</c:v>
                </c:pt>
                <c:pt idx="304">
                  <c:v>-157.0226440176674</c:v>
                </c:pt>
                <c:pt idx="305">
                  <c:v>-156.81838742550718</c:v>
                </c:pt>
                <c:pt idx="306">
                  <c:v>-156.61471895177536</c:v>
                </c:pt>
                <c:pt idx="307">
                  <c:v>-156.41164217893663</c:v>
                </c:pt>
                <c:pt idx="308">
                  <c:v>-156.20916056460797</c:v>
                </c:pt>
                <c:pt idx="309">
                  <c:v>-156.00727744429801</c:v>
                </c:pt>
                <c:pt idx="310">
                  <c:v>-155.8059960340365</c:v>
                </c:pt>
                <c:pt idx="311">
                  <c:v>-155.60531943290144</c:v>
                </c:pt>
                <c:pt idx="312">
                  <c:v>-155.40525062545134</c:v>
                </c:pt>
                <c:pt idx="313">
                  <c:v>-155.2057924840687</c:v>
                </c:pt>
                <c:pt idx="314">
                  <c:v>-155.00694777122132</c:v>
                </c:pt>
                <c:pt idx="315">
                  <c:v>-154.80871914164621</c:v>
                </c:pt>
                <c:pt idx="316">
                  <c:v>-154.6111091444622</c:v>
                </c:pt>
                <c:pt idx="317">
                  <c:v>-154.41412022521524</c:v>
                </c:pt>
                <c:pt idx="318">
                  <c:v>-154.21775472786106</c:v>
                </c:pt>
                <c:pt idx="319">
                  <c:v>-154.02201489668892</c:v>
                </c:pt>
                <c:pt idx="320">
                  <c:v>-153.82690287819074</c:v>
                </c:pt>
                <c:pt idx="321">
                  <c:v>-153.63242072287863</c:v>
                </c:pt>
                <c:pt idx="322">
                  <c:v>-153.43857038705386</c:v>
                </c:pt>
                <c:pt idx="323">
                  <c:v>-153.24535373453043</c:v>
                </c:pt>
                <c:pt idx="324">
                  <c:v>-153.05277253831611</c:v>
                </c:pt>
                <c:pt idx="325">
                  <c:v>-152.86082848225288</c:v>
                </c:pt>
                <c:pt idx="326">
                  <c:v>-152.6695231626199</c:v>
                </c:pt>
                <c:pt idx="327">
                  <c:v>-152.47885808970008</c:v>
                </c:pt>
                <c:pt idx="328">
                  <c:v>-152.28883468931326</c:v>
                </c:pt>
                <c:pt idx="329">
                  <c:v>-152.09945430431722</c:v>
                </c:pt>
                <c:pt idx="330">
                  <c:v>-151.91071819607834</c:v>
                </c:pt>
                <c:pt idx="331">
                  <c:v>-151.72262754591321</c:v>
                </c:pt>
                <c:pt idx="332">
                  <c:v>-151.53518345650355</c:v>
                </c:pt>
                <c:pt idx="333">
                  <c:v>-151.34838695328426</c:v>
                </c:pt>
                <c:pt idx="334">
                  <c:v>-151.16223898580733</c:v>
                </c:pt>
                <c:pt idx="335">
                  <c:v>-150.97674042908181</c:v>
                </c:pt>
                <c:pt idx="336">
                  <c:v>-150.79189208489092</c:v>
                </c:pt>
                <c:pt idx="337">
                  <c:v>-150.60769468308817</c:v>
                </c:pt>
                <c:pt idx="338">
                  <c:v>-150.42414888287195</c:v>
                </c:pt>
                <c:pt idx="339">
                  <c:v>-150.24125527404087</c:v>
                </c:pt>
                <c:pt idx="340">
                  <c:v>-150.05901437822928</c:v>
                </c:pt>
                <c:pt idx="341">
                  <c:v>-149.87742665012496</c:v>
                </c:pt>
                <c:pt idx="342">
                  <c:v>-149.69649247866857</c:v>
                </c:pt>
                <c:pt idx="343">
                  <c:v>-149.51621218823612</c:v>
                </c:pt>
                <c:pt idx="344">
                  <c:v>-149.33658603980462</c:v>
                </c:pt>
                <c:pt idx="345">
                  <c:v>-149.15761423210182</c:v>
                </c:pt>
                <c:pt idx="346">
                  <c:v>-148.97929690274015</c:v>
                </c:pt>
                <c:pt idx="347">
                  <c:v>-148.80163412933544</c:v>
                </c:pt>
                <c:pt idx="348">
                  <c:v>-148.62462593061088</c:v>
                </c:pt>
                <c:pt idx="349">
                  <c:v>-148.44827226748657</c:v>
                </c:pt>
                <c:pt idx="350">
                  <c:v>-148.27257304415508</c:v>
                </c:pt>
                <c:pt idx="351">
                  <c:v>-148.09752810914284</c:v>
                </c:pt>
                <c:pt idx="352">
                  <c:v>-147.92313725635879</c:v>
                </c:pt>
                <c:pt idx="353">
                  <c:v>-147.74940022612907</c:v>
                </c:pt>
                <c:pt idx="354">
                  <c:v>-147.57631670621925</c:v>
                </c:pt>
                <c:pt idx="355">
                  <c:v>-147.40388633284383</c:v>
                </c:pt>
                <c:pt idx="356">
                  <c:v>-147.23210869166314</c:v>
                </c:pt>
                <c:pt idx="357">
                  <c:v>-147.06098331876802</c:v>
                </c:pt>
                <c:pt idx="358">
                  <c:v>-146.89050970165232</c:v>
                </c:pt>
                <c:pt idx="359">
                  <c:v>-146.72068728017373</c:v>
                </c:pt>
                <c:pt idx="360">
                  <c:v>-146.55151544750265</c:v>
                </c:pt>
                <c:pt idx="361">
                  <c:v>-146.38299355105951</c:v>
                </c:pt>
                <c:pt idx="362">
                  <c:v>-146.21512089344083</c:v>
                </c:pt>
                <c:pt idx="363">
                  <c:v>-146.04789673333354</c:v>
                </c:pt>
                <c:pt idx="364">
                  <c:v>-145.88132028641854</c:v>
                </c:pt>
                <c:pt idx="365">
                  <c:v>-145.71539072626308</c:v>
                </c:pt>
                <c:pt idx="366">
                  <c:v>-145.55010718520191</c:v>
                </c:pt>
                <c:pt idx="367">
                  <c:v>-145.38546875520788</c:v>
                </c:pt>
                <c:pt idx="368">
                  <c:v>-145.22147448875171</c:v>
                </c:pt>
                <c:pt idx="369">
                  <c:v>-145.05812339965078</c:v>
                </c:pt>
                <c:pt idx="370">
                  <c:v>-144.895414463908</c:v>
                </c:pt>
                <c:pt idx="371">
                  <c:v>-144.73334662053941</c:v>
                </c:pt>
                <c:pt idx="372">
                  <c:v>-144.5719187723918</c:v>
                </c:pt>
                <c:pt idx="373">
                  <c:v>-144.41112978695011</c:v>
                </c:pt>
                <c:pt idx="374">
                  <c:v>-144.25097849713399</c:v>
                </c:pt>
                <c:pt idx="375">
                  <c:v>-144.09146370208495</c:v>
                </c:pt>
                <c:pt idx="376">
                  <c:v>-143.93258416794254</c:v>
                </c:pt>
                <c:pt idx="377">
                  <c:v>-143.77433862861133</c:v>
                </c:pt>
                <c:pt idx="378">
                  <c:v>-143.61672578651704</c:v>
                </c:pt>
                <c:pt idx="379">
                  <c:v>-143.45974431335347</c:v>
                </c:pt>
                <c:pt idx="380">
                  <c:v>-143.30339285081917</c:v>
                </c:pt>
                <c:pt idx="381">
                  <c:v>-143.1476700113443</c:v>
                </c:pt>
                <c:pt idx="382">
                  <c:v>-142.99257437880811</c:v>
                </c:pt>
                <c:pt idx="383">
                  <c:v>-142.83810450924602</c:v>
                </c:pt>
                <c:pt idx="384">
                  <c:v>-142.68425893154819</c:v>
                </c:pt>
                <c:pt idx="385">
                  <c:v>-142.53103614814734</c:v>
                </c:pt>
                <c:pt idx="386">
                  <c:v>-142.37843463569794</c:v>
                </c:pt>
                <c:pt idx="387">
                  <c:v>-142.22645284574557</c:v>
                </c:pt>
                <c:pt idx="388">
                  <c:v>-142.07508920538697</c:v>
                </c:pt>
                <c:pt idx="389">
                  <c:v>-141.92434211792084</c:v>
                </c:pt>
                <c:pt idx="390">
                  <c:v>-141.77420996348945</c:v>
                </c:pt>
                <c:pt idx="391">
                  <c:v>-141.62469109971082</c:v>
                </c:pt>
                <c:pt idx="392">
                  <c:v>-141.47578386230199</c:v>
                </c:pt>
                <c:pt idx="393">
                  <c:v>-141.32748656569325</c:v>
                </c:pt>
                <c:pt idx="394">
                  <c:v>-141.17979750363313</c:v>
                </c:pt>
                <c:pt idx="395">
                  <c:v>-141.03271494978472</c:v>
                </c:pt>
                <c:pt idx="396">
                  <c:v>-140.88623715831301</c:v>
                </c:pt>
                <c:pt idx="397">
                  <c:v>-140.74036236446335</c:v>
                </c:pt>
                <c:pt idx="398">
                  <c:v>-140.59508878513122</c:v>
                </c:pt>
                <c:pt idx="399">
                  <c:v>-140.45041461942355</c:v>
                </c:pt>
                <c:pt idx="400">
                  <c:v>-140.30633804921092</c:v>
                </c:pt>
                <c:pt idx="401">
                  <c:v>-140.16285723967161</c:v>
                </c:pt>
                <c:pt idx="402">
                  <c:v>-140.01997033982727</c:v>
                </c:pt>
                <c:pt idx="403">
                  <c:v>-139.87767548306974</c:v>
                </c:pt>
                <c:pt idx="404">
                  <c:v>-139.73597078767989</c:v>
                </c:pt>
                <c:pt idx="405">
                  <c:v>-139.59485435733805</c:v>
                </c:pt>
                <c:pt idx="406">
                  <c:v>-139.4543242816263</c:v>
                </c:pt>
                <c:pt idx="407">
                  <c:v>-139.31437863652258</c:v>
                </c:pt>
                <c:pt idx="408">
                  <c:v>-139.17501548488676</c:v>
                </c:pt>
                <c:pt idx="409">
                  <c:v>-139.03623287693873</c:v>
                </c:pt>
                <c:pt idx="410">
                  <c:v>-138.89802885072856</c:v>
                </c:pt>
                <c:pt idx="411">
                  <c:v>-138.7604014325988</c:v>
                </c:pt>
                <c:pt idx="412">
                  <c:v>-138.62334863763905</c:v>
                </c:pt>
                <c:pt idx="413">
                  <c:v>-138.48686847013295</c:v>
                </c:pt>
                <c:pt idx="414">
                  <c:v>-138.3509589239971</c:v>
                </c:pt>
                <c:pt idx="415">
                  <c:v>-138.21561798321318</c:v>
                </c:pt>
                <c:pt idx="416">
                  <c:v>-138.08084362225179</c:v>
                </c:pt>
                <c:pt idx="417">
                  <c:v>-137.94663380648944</c:v>
                </c:pt>
                <c:pt idx="418">
                  <c:v>-137.81298649261808</c:v>
                </c:pt>
                <c:pt idx="419">
                  <c:v>-137.67989962904727</c:v>
                </c:pt>
                <c:pt idx="420">
                  <c:v>-137.54737115629933</c:v>
                </c:pt>
                <c:pt idx="421">
                  <c:v>-137.41539900739724</c:v>
                </c:pt>
                <c:pt idx="422">
                  <c:v>-137.28398110824565</c:v>
                </c:pt>
                <c:pt idx="423">
                  <c:v>-137.15311537800505</c:v>
                </c:pt>
                <c:pt idx="424">
                  <c:v>-137.0227997294586</c:v>
                </c:pt>
                <c:pt idx="425">
                  <c:v>-136.89303206937291</c:v>
                </c:pt>
                <c:pt idx="426">
                  <c:v>-136.76381029885138</c:v>
                </c:pt>
                <c:pt idx="427">
                  <c:v>-136.63513231368134</c:v>
                </c:pt>
                <c:pt idx="428">
                  <c:v>-136.5069960046747</c:v>
                </c:pt>
                <c:pt idx="429">
                  <c:v>-136.37939925800157</c:v>
                </c:pt>
                <c:pt idx="430">
                  <c:v>-136.25233995551821</c:v>
                </c:pt>
                <c:pt idx="431">
                  <c:v>-136.12581597508816</c:v>
                </c:pt>
                <c:pt idx="432">
                  <c:v>-135.99982519089716</c:v>
                </c:pt>
                <c:pt idx="433">
                  <c:v>-135.87436547376211</c:v>
                </c:pt>
                <c:pt idx="434">
                  <c:v>-135.74943469143389</c:v>
                </c:pt>
                <c:pt idx="435">
                  <c:v>-135.62503070889392</c:v>
                </c:pt>
                <c:pt idx="436">
                  <c:v>-135.50115138864504</c:v>
                </c:pt>
                <c:pt idx="437">
                  <c:v>-135.37779459099647</c:v>
                </c:pt>
                <c:pt idx="438">
                  <c:v>-135.25495817434287</c:v>
                </c:pt>
                <c:pt idx="439">
                  <c:v>-135.13263999543781</c:v>
                </c:pt>
                <c:pt idx="440">
                  <c:v>-135.01083790966146</c:v>
                </c:pt>
                <c:pt idx="441">
                  <c:v>-134.88954977128301</c:v>
                </c:pt>
                <c:pt idx="442">
                  <c:v>-134.76877343371723</c:v>
                </c:pt>
                <c:pt idx="443">
                  <c:v>-134.64850674977578</c:v>
                </c:pt>
                <c:pt idx="444">
                  <c:v>-134.52874757191324</c:v>
                </c:pt>
                <c:pt idx="445">
                  <c:v>-134.40949375246785</c:v>
                </c:pt>
                <c:pt idx="446">
                  <c:v>-134.29074314389703</c:v>
                </c:pt>
                <c:pt idx="447">
                  <c:v>-134.17249359900768</c:v>
                </c:pt>
                <c:pt idx="448">
                  <c:v>-134.05474297118161</c:v>
                </c:pt>
                <c:pt idx="449">
                  <c:v>-133.93748911459593</c:v>
                </c:pt>
                <c:pt idx="450">
                  <c:v>-133.82072988443841</c:v>
                </c:pt>
                <c:pt idx="451">
                  <c:v>-133.70446313711832</c:v>
                </c:pt>
                <c:pt idx="452">
                  <c:v>-133.58868673047218</c:v>
                </c:pt>
                <c:pt idx="453">
                  <c:v>-133.47339852396487</c:v>
                </c:pt>
                <c:pt idx="454">
                  <c:v>-133.35859637888652</c:v>
                </c:pt>
                <c:pt idx="455">
                  <c:v>-133.24427815854415</c:v>
                </c:pt>
                <c:pt idx="456">
                  <c:v>-133.1304417284494</c:v>
                </c:pt>
                <c:pt idx="457">
                  <c:v>-133.01708495650183</c:v>
                </c:pt>
                <c:pt idx="458">
                  <c:v>-132.9042057131673</c:v>
                </c:pt>
                <c:pt idx="459">
                  <c:v>-132.79180187165275</c:v>
                </c:pt>
                <c:pt idx="460">
                  <c:v>-132.67987130807657</c:v>
                </c:pt>
                <c:pt idx="461">
                  <c:v>-132.56841190163451</c:v>
                </c:pt>
                <c:pt idx="462">
                  <c:v>-132.45742153476183</c:v>
                </c:pt>
                <c:pt idx="463">
                  <c:v>-132.34689809329146</c:v>
                </c:pt>
                <c:pt idx="464">
                  <c:v>-132.23683946660799</c:v>
                </c:pt>
                <c:pt idx="465">
                  <c:v>-132.12724354779789</c:v>
                </c:pt>
                <c:pt idx="466">
                  <c:v>-132.01810823379594</c:v>
                </c:pt>
                <c:pt idx="467">
                  <c:v>-131.90943142552791</c:v>
                </c:pt>
                <c:pt idx="468">
                  <c:v>-131.80121102804938</c:v>
                </c:pt>
                <c:pt idx="469">
                  <c:v>-131.69344495068106</c:v>
                </c:pt>
                <c:pt idx="470">
                  <c:v>-131.58613110714052</c:v>
                </c:pt>
                <c:pt idx="471">
                  <c:v>-131.47926741567045</c:v>
                </c:pt>
                <c:pt idx="472">
                  <c:v>-131.37285179916339</c:v>
                </c:pt>
                <c:pt idx="473">
                  <c:v>-131.2668821852829</c:v>
                </c:pt>
                <c:pt idx="474">
                  <c:v>-131.16135650658168</c:v>
                </c:pt>
                <c:pt idx="475">
                  <c:v>-131.05627270061646</c:v>
                </c:pt>
                <c:pt idx="476">
                  <c:v>-130.95162871005917</c:v>
                </c:pt>
                <c:pt idx="477">
                  <c:v>-130.8474224828054</c:v>
                </c:pt>
                <c:pt idx="478">
                  <c:v>-130.74365197207968</c:v>
                </c:pt>
                <c:pt idx="479">
                  <c:v>-130.64031513653745</c:v>
                </c:pt>
                <c:pt idx="480">
                  <c:v>-130.53740994036434</c:v>
                </c:pt>
                <c:pt idx="481">
                  <c:v>-130.4349343533724</c:v>
                </c:pt>
                <c:pt idx="482">
                  <c:v>-130.33288635109304</c:v>
                </c:pt>
                <c:pt idx="483">
                  <c:v>-130.23126391486792</c:v>
                </c:pt>
                <c:pt idx="484">
                  <c:v>-130.13006503193628</c:v>
                </c:pt>
                <c:pt idx="485">
                  <c:v>-130.02928769551991</c:v>
                </c:pt>
                <c:pt idx="486">
                  <c:v>-129.92892990490543</c:v>
                </c:pt>
                <c:pt idx="487">
                  <c:v>-129.82898966552361</c:v>
                </c:pt>
                <c:pt idx="488">
                  <c:v>-129.7294649890267</c:v>
                </c:pt>
                <c:pt idx="489">
                  <c:v>-129.63035389336247</c:v>
                </c:pt>
                <c:pt idx="490">
                  <c:v>-129.5316544028463</c:v>
                </c:pt>
                <c:pt idx="491">
                  <c:v>-129.43336454823063</c:v>
                </c:pt>
                <c:pt idx="492">
                  <c:v>-129.33548236677203</c:v>
                </c:pt>
                <c:pt idx="493">
                  <c:v>-129.2380059022957</c:v>
                </c:pt>
                <c:pt idx="494">
                  <c:v>-129.14093320525811</c:v>
                </c:pt>
                <c:pt idx="495">
                  <c:v>-129.04426233280688</c:v>
                </c:pt>
                <c:pt idx="496">
                  <c:v>-128.9479913488388</c:v>
                </c:pt>
                <c:pt idx="497">
                  <c:v>-128.85211832405543</c:v>
                </c:pt>
                <c:pt idx="498">
                  <c:v>-128.75664133601671</c:v>
                </c:pt>
                <c:pt idx="499">
                  <c:v>-128.66155846919233</c:v>
                </c:pt>
                <c:pt idx="500">
                  <c:v>-128.56686781501119</c:v>
                </c:pt>
                <c:pt idx="501">
                  <c:v>-128.47256747190875</c:v>
                </c:pt>
                <c:pt idx="502">
                  <c:v>-128.37865554537251</c:v>
                </c:pt>
                <c:pt idx="503">
                  <c:v>-128.28513014798526</c:v>
                </c:pt>
                <c:pt idx="504">
                  <c:v>-128.19198939946685</c:v>
                </c:pt>
                <c:pt idx="505">
                  <c:v>-128.09923142671386</c:v>
                </c:pt>
                <c:pt idx="506">
                  <c:v>-128.00685436383733</c:v>
                </c:pt>
                <c:pt idx="507">
                  <c:v>-127.9148563521991</c:v>
                </c:pt>
                <c:pt idx="508">
                  <c:v>-127.82323554044602</c:v>
                </c:pt>
                <c:pt idx="509">
                  <c:v>-127.73199008454255</c:v>
                </c:pt>
                <c:pt idx="510">
                  <c:v>-127.64111814780188</c:v>
                </c:pt>
                <c:pt idx="511">
                  <c:v>-127.55061790091511</c:v>
                </c:pt>
                <c:pt idx="512">
                  <c:v>-127.4604875219791</c:v>
                </c:pt>
                <c:pt idx="513">
                  <c:v>-127.3707251965225</c:v>
                </c:pt>
                <c:pt idx="514">
                  <c:v>-127.28132911753046</c:v>
                </c:pt>
                <c:pt idx="515">
                  <c:v>-127.19229748546768</c:v>
                </c:pt>
                <c:pt idx="516">
                  <c:v>-127.10362850830006</c:v>
                </c:pt>
                <c:pt idx="517">
                  <c:v>-127.01532040151498</c:v>
                </c:pt>
                <c:pt idx="518">
                  <c:v>-126.92737138813996</c:v>
                </c:pt>
                <c:pt idx="519">
                  <c:v>-126.83977969876011</c:v>
                </c:pt>
                <c:pt idx="520">
                  <c:v>-126.75254357153426</c:v>
                </c:pt>
                <c:pt idx="521">
                  <c:v>-126.66566125220963</c:v>
                </c:pt>
                <c:pt idx="522">
                  <c:v>-126.57913099413528</c:v>
                </c:pt>
                <c:pt idx="523">
                  <c:v>-126.4929510582744</c:v>
                </c:pt>
                <c:pt idx="524">
                  <c:v>-126.40711971321511</c:v>
                </c:pt>
                <c:pt idx="525">
                  <c:v>-126.32163523518041</c:v>
                </c:pt>
                <c:pt idx="526">
                  <c:v>-126.23649590803667</c:v>
                </c:pt>
                <c:pt idx="527">
                  <c:v>-126.15170002330102</c:v>
                </c:pt>
                <c:pt idx="528">
                  <c:v>-126.06724588014772</c:v>
                </c:pt>
                <c:pt idx="529">
                  <c:v>-125.98313178541346</c:v>
                </c:pt>
                <c:pt idx="530">
                  <c:v>-125.89935605360128</c:v>
                </c:pt>
                <c:pt idx="531">
                  <c:v>-125.81591700688389</c:v>
                </c:pt>
                <c:pt idx="532">
                  <c:v>-125.73281297510577</c:v>
                </c:pt>
                <c:pt idx="533">
                  <c:v>-125.65004229578395</c:v>
                </c:pt>
                <c:pt idx="534">
                  <c:v>-125.5676033141085</c:v>
                </c:pt>
                <c:pt idx="535">
                  <c:v>-125.48549438294138</c:v>
                </c:pt>
                <c:pt idx="536">
                  <c:v>-125.40371386281498</c:v>
                </c:pt>
                <c:pt idx="537">
                  <c:v>-125.32226012192922</c:v>
                </c:pt>
                <c:pt idx="538">
                  <c:v>-125.24113153614799</c:v>
                </c:pt>
                <c:pt idx="539">
                  <c:v>-125.16032648899488</c:v>
                </c:pt>
                <c:pt idx="540">
                  <c:v>-125.079843371648</c:v>
                </c:pt>
                <c:pt idx="541">
                  <c:v>-124.99968058293361</c:v>
                </c:pt>
                <c:pt idx="542">
                  <c:v>-124.91983652931953</c:v>
                </c:pt>
                <c:pt idx="543">
                  <c:v>-124.84030962490745</c:v>
                </c:pt>
                <c:pt idx="544">
                  <c:v>-124.76109829142445</c:v>
                </c:pt>
                <c:pt idx="545">
                  <c:v>-124.68220095821394</c:v>
                </c:pt>
                <c:pt idx="546">
                  <c:v>-124.60361606222591</c:v>
                </c:pt>
                <c:pt idx="547">
                  <c:v>-124.52534204800619</c:v>
                </c:pt>
                <c:pt idx="548">
                  <c:v>-124.44737736768528</c:v>
                </c:pt>
                <c:pt idx="549">
                  <c:v>-124.36972048096662</c:v>
                </c:pt>
                <c:pt idx="550">
                  <c:v>-124.29236985511389</c:v>
                </c:pt>
                <c:pt idx="551">
                  <c:v>-124.21532396493788</c:v>
                </c:pt>
                <c:pt idx="552">
                  <c:v>-124.13858129278279</c:v>
                </c:pt>
                <c:pt idx="553">
                  <c:v>-124.06214032851183</c:v>
                </c:pt>
                <c:pt idx="554">
                  <c:v>-123.98599956949229</c:v>
                </c:pt>
                <c:pt idx="555">
                  <c:v>-123.91015752058</c:v>
                </c:pt>
                <c:pt idx="556">
                  <c:v>-123.83461269410341</c:v>
                </c:pt>
                <c:pt idx="557">
                  <c:v>-123.7593636098469</c:v>
                </c:pt>
                <c:pt idx="558">
                  <c:v>-123.68440879503368</c:v>
                </c:pt>
                <c:pt idx="559">
                  <c:v>-123.60974678430843</c:v>
                </c:pt>
                <c:pt idx="560">
                  <c:v>-123.53537611971893</c:v>
                </c:pt>
                <c:pt idx="561">
                  <c:v>-123.46129535069768</c:v>
                </c:pt>
                <c:pt idx="562">
                  <c:v>-123.38750303404305</c:v>
                </c:pt>
                <c:pt idx="563">
                  <c:v>-123.3139977338995</c:v>
                </c:pt>
                <c:pt idx="564">
                  <c:v>-123.240778021738</c:v>
                </c:pt>
                <c:pt idx="565">
                  <c:v>-123.16784247633578</c:v>
                </c:pt>
                <c:pt idx="566">
                  <c:v>-123.09518968375535</c:v>
                </c:pt>
                <c:pt idx="567">
                  <c:v>-123.02281823732372</c:v>
                </c:pt>
                <c:pt idx="568">
                  <c:v>-122.95072673761096</c:v>
                </c:pt>
                <c:pt idx="569">
                  <c:v>-122.87891379240816</c:v>
                </c:pt>
                <c:pt idx="570">
                  <c:v>-122.80737801670548</c:v>
                </c:pt>
                <c:pt idx="571">
                  <c:v>-122.73611803266952</c:v>
                </c:pt>
                <c:pt idx="572">
                  <c:v>-122.66513246962059</c:v>
                </c:pt>
                <c:pt idx="573">
                  <c:v>-122.59441996400953</c:v>
                </c:pt>
                <c:pt idx="574">
                  <c:v>-122.5239791593942</c:v>
                </c:pt>
                <c:pt idx="575">
                  <c:v>-122.45380870641583</c:v>
                </c:pt>
                <c:pt idx="576">
                  <c:v>-122.38390726277481</c:v>
                </c:pt>
                <c:pt idx="577">
                  <c:v>-122.31427349320654</c:v>
                </c:pt>
                <c:pt idx="578">
                  <c:v>-122.24490606945683</c:v>
                </c:pt>
                <c:pt idx="579">
                  <c:v>-122.17580367025704</c:v>
                </c:pt>
                <c:pt idx="580">
                  <c:v>-122.10696498129884</c:v>
                </c:pt>
                <c:pt idx="581">
                  <c:v>-122.03838869520928</c:v>
                </c:pt>
                <c:pt idx="582">
                  <c:v>-121.97007351152479</c:v>
                </c:pt>
                <c:pt idx="583">
                  <c:v>-121.90201813666576</c:v>
                </c:pt>
                <c:pt idx="584">
                  <c:v>-121.83422128391037</c:v>
                </c:pt>
                <c:pt idx="585">
                  <c:v>-121.76668167336859</c:v>
                </c:pt>
                <c:pt idx="586">
                  <c:v>-121.69939803195565</c:v>
                </c:pt>
                <c:pt idx="587">
                  <c:v>-121.63236909336557</c:v>
                </c:pt>
                <c:pt idx="588">
                  <c:v>-121.56559359804447</c:v>
                </c:pt>
                <c:pt idx="589">
                  <c:v>-121.49907029316363</c:v>
                </c:pt>
                <c:pt idx="590">
                  <c:v>-121.43279793259235</c:v>
                </c:pt>
                <c:pt idx="591">
                  <c:v>-121.36677527687105</c:v>
                </c:pt>
                <c:pt idx="592">
                  <c:v>-121.3010010931836</c:v>
                </c:pt>
                <c:pt idx="593">
                  <c:v>-121.23547415532998</c:v>
                </c:pt>
                <c:pt idx="594">
                  <c:v>-121.17019324369865</c:v>
                </c:pt>
                <c:pt idx="595">
                  <c:v>-121.10515714523889</c:v>
                </c:pt>
                <c:pt idx="596">
                  <c:v>-121.04036465343275</c:v>
                </c:pt>
                <c:pt idx="597">
                  <c:v>-120.9758145682674</c:v>
                </c:pt>
                <c:pt idx="598">
                  <c:v>-120.91150569620669</c:v>
                </c:pt>
                <c:pt idx="599">
                  <c:v>-120.84743685016329</c:v>
                </c:pt>
                <c:pt idx="600">
                  <c:v>-120.78360684947033</c:v>
                </c:pt>
                <c:pt idx="601">
                  <c:v>-120.720014519853</c:v>
                </c:pt>
                <c:pt idx="602">
                  <c:v>-120.6566586934002</c:v>
                </c:pt>
                <c:pt idx="603">
                  <c:v>-120.59353820853616</c:v>
                </c:pt>
                <c:pt idx="604">
                  <c:v>-120.53065190999158</c:v>
                </c:pt>
                <c:pt idx="605">
                  <c:v>-120.46799864877541</c:v>
                </c:pt>
                <c:pt idx="606">
                  <c:v>-117.60881263728689</c:v>
                </c:pt>
                <c:pt idx="607">
                  <c:v>-115.20735447595651</c:v>
                </c:pt>
                <c:pt idx="608">
                  <c:v>-113.16862834557055</c:v>
                </c:pt>
                <c:pt idx="609">
                  <c:v>-111.42041623578822</c:v>
                </c:pt>
                <c:pt idx="610">
                  <c:v>-109.90742715408362</c:v>
                </c:pt>
                <c:pt idx="611">
                  <c:v>-108.58693221769958</c:v>
                </c:pt>
                <c:pt idx="612">
                  <c:v>-107.42556938995097</c:v>
                </c:pt>
                <c:pt idx="613">
                  <c:v>-106.39701579751906</c:v>
                </c:pt>
                <c:pt idx="614">
                  <c:v>-105.48028801875508</c:v>
                </c:pt>
                <c:pt idx="615">
                  <c:v>-104.65849318263693</c:v>
                </c:pt>
                <c:pt idx="616">
                  <c:v>-103.91790373593616</c:v>
                </c:pt>
                <c:pt idx="617">
                  <c:v>-103.24726567064535</c:v>
                </c:pt>
                <c:pt idx="618">
                  <c:v>-102.9964571851952</c:v>
                </c:pt>
                <c:pt idx="619">
                  <c:v>-102.75481394221121</c:v>
                </c:pt>
                <c:pt idx="620">
                  <c:v>-102.52185075524025</c:v>
                </c:pt>
                <c:pt idx="621">
                  <c:v>-102.29711552239132</c:v>
                </c:pt>
                <c:pt idx="622">
                  <c:v>-102.08018650223963</c:v>
                </c:pt>
                <c:pt idx="623">
                  <c:v>-101.8706698495745</c:v>
                </c:pt>
                <c:pt idx="624">
                  <c:v>-101.66819738310947</c:v>
                </c:pt>
                <c:pt idx="625">
                  <c:v>-101.47242456056152</c:v>
                </c:pt>
                <c:pt idx="626">
                  <c:v>-101.28302863937884</c:v>
                </c:pt>
                <c:pt idx="627">
                  <c:v>-101.09970700390471</c:v>
                </c:pt>
                <c:pt idx="628">
                  <c:v>-100.92217564196073</c:v>
                </c:pt>
                <c:pt idx="629">
                  <c:v>-100.75016775575575</c:v>
                </c:pt>
                <c:pt idx="630">
                  <c:v>-100.58343249371403</c:v>
                </c:pt>
                <c:pt idx="631">
                  <c:v>-100.4217337912979</c:v>
                </c:pt>
                <c:pt idx="632">
                  <c:v>-100.26484931020499</c:v>
                </c:pt>
                <c:pt idx="633">
                  <c:v>-100.11256946646716</c:v>
                </c:pt>
                <c:pt idx="634">
                  <c:v>-99.964696538992555</c:v>
                </c:pt>
                <c:pt idx="635">
                  <c:v>-99.821043850985561</c:v>
                </c:pt>
                <c:pt idx="636">
                  <c:v>-99.681435017471856</c:v>
                </c:pt>
                <c:pt idx="637">
                  <c:v>-99.54570325285566</c:v>
                </c:pt>
                <c:pt idx="638">
                  <c:v>-99.413690733057962</c:v>
                </c:pt>
                <c:pt idx="639">
                  <c:v>-99.285248007335966</c:v>
                </c:pt>
                <c:pt idx="640">
                  <c:v>-99.160233455375334</c:v>
                </c:pt>
                <c:pt idx="641">
                  <c:v>-99.038512785681391</c:v>
                </c:pt>
                <c:pt idx="642">
                  <c:v>-98.919958571687715</c:v>
                </c:pt>
                <c:pt idx="643">
                  <c:v>-98.804449822344409</c:v>
                </c:pt>
                <c:pt idx="644">
                  <c:v>-98.691871584261307</c:v>
                </c:pt>
                <c:pt idx="645">
                  <c:v>-98.582114572757732</c:v>
                </c:pt>
                <c:pt idx="646">
                  <c:v>-98.475074829418929</c:v>
                </c:pt>
                <c:pt idx="647">
                  <c:v>-98.370653403982502</c:v>
                </c:pt>
                <c:pt idx="648">
                  <c:v>-98.268756058578916</c:v>
                </c:pt>
                <c:pt idx="649">
                  <c:v>-98.169292992528383</c:v>
                </c:pt>
                <c:pt idx="650">
                  <c:v>-98.07217858605982</c:v>
                </c:pt>
                <c:pt idx="651">
                  <c:v>-97.977331161462772</c:v>
                </c:pt>
                <c:pt idx="652">
                  <c:v>-97.884672760313862</c:v>
                </c:pt>
                <c:pt idx="653">
                  <c:v>-97.794128935539391</c:v>
                </c:pt>
                <c:pt idx="654">
                  <c:v>-97.705628557181427</c:v>
                </c:pt>
                <c:pt idx="655">
                  <c:v>-97.619103630832868</c:v>
                </c:pt>
                <c:pt idx="656">
                  <c:v>-97.53448912779379</c:v>
                </c:pt>
                <c:pt idx="657">
                  <c:v>-97.451722826081465</c:v>
                </c:pt>
                <c:pt idx="658">
                  <c:v>-97.370745161498576</c:v>
                </c:pt>
                <c:pt idx="659">
                  <c:v>-97.291499088029383</c:v>
                </c:pt>
                <c:pt idx="660">
                  <c:v>-97.213929946893558</c:v>
                </c:pt>
                <c:pt idx="661">
                  <c:v>-97.137985343641063</c:v>
                </c:pt>
                <c:pt idx="662">
                  <c:v>-97.063615032721373</c:v>
                </c:pt>
                <c:pt idx="663">
                  <c:v>-96.99077080900507</c:v>
                </c:pt>
                <c:pt idx="664">
                  <c:v>-96.919406405776385</c:v>
                </c:pt>
                <c:pt idx="665">
                  <c:v>-96.849477398753677</c:v>
                </c:pt>
                <c:pt idx="666">
                  <c:v>-96.780941115728012</c:v>
                </c:pt>
                <c:pt idx="667">
                  <c:v>-96.713756551442486</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62.613407527682241</c:v>
                </c:pt>
                <c:pt idx="1">
                  <c:v>60.122583158902721</c:v>
                </c:pt>
                <c:pt idx="2">
                  <c:v>57.748533156199699</c:v>
                </c:pt>
                <c:pt idx="3">
                  <c:v>55.735777616531543</c:v>
                </c:pt>
                <c:pt idx="4">
                  <c:v>54.042379896313413</c:v>
                </c:pt>
                <c:pt idx="5">
                  <c:v>52.597757668305853</c:v>
                </c:pt>
                <c:pt idx="6">
                  <c:v>51.34484166500269</c:v>
                </c:pt>
                <c:pt idx="7">
                  <c:v>50.241762462876707</c:v>
                </c:pt>
                <c:pt idx="8">
                  <c:v>49.258063299358277</c:v>
                </c:pt>
                <c:pt idx="9">
                  <c:v>48.371285569719753</c:v>
                </c:pt>
                <c:pt idx="10">
                  <c:v>42.442808035337087</c:v>
                </c:pt>
                <c:pt idx="11">
                  <c:v>38.938524333700968</c:v>
                </c:pt>
                <c:pt idx="12">
                  <c:v>36.44621962988797</c:v>
                </c:pt>
                <c:pt idx="13">
                  <c:v>34.511361734332738</c:v>
                </c:pt>
                <c:pt idx="14">
                  <c:v>32.929918971128018</c:v>
                </c:pt>
                <c:pt idx="15">
                  <c:v>31.592680296663698</c:v>
                </c:pt>
                <c:pt idx="16">
                  <c:v>30.434335670639289</c:v>
                </c:pt>
                <c:pt idx="17">
                  <c:v>29.41271160624925</c:v>
                </c:pt>
                <c:pt idx="18">
                  <c:v>28.498991288172576</c:v>
                </c:pt>
                <c:pt idx="19">
                  <c:v>22.497258043185671</c:v>
                </c:pt>
                <c:pt idx="20">
                  <c:v>19.005408830213351</c:v>
                </c:pt>
                <c:pt idx="21">
                  <c:v>16.548246995655724</c:v>
                </c:pt>
                <c:pt idx="22">
                  <c:v>14.663207952164555</c:v>
                </c:pt>
                <c:pt idx="23">
                  <c:v>13.144099381724663</c:v>
                </c:pt>
                <c:pt idx="24">
                  <c:v>11.880787426182192</c:v>
                </c:pt>
                <c:pt idx="25">
                  <c:v>10.80738999778205</c:v>
                </c:pt>
                <c:pt idx="26">
                  <c:v>9.8812728478354259</c:v>
                </c:pt>
                <c:pt idx="27">
                  <c:v>9.0731909121818681</c:v>
                </c:pt>
                <c:pt idx="28">
                  <c:v>6.2245808667254003</c:v>
                </c:pt>
                <c:pt idx="29">
                  <c:v>4.5882835664564512</c:v>
                </c:pt>
                <c:pt idx="30">
                  <c:v>3.6461847828577874</c:v>
                </c:pt>
                <c:pt idx="31">
                  <c:v>3.142642842160325</c:v>
                </c:pt>
                <c:pt idx="32">
                  <c:v>2.927909995097032</c:v>
                </c:pt>
                <c:pt idx="33">
                  <c:v>2.9067412684273473</c:v>
                </c:pt>
                <c:pt idx="34">
                  <c:v>3.0160502753088227</c:v>
                </c:pt>
                <c:pt idx="35">
                  <c:v>3.2131432680482441</c:v>
                </c:pt>
                <c:pt idx="36">
                  <c:v>3.468753449780392</c:v>
                </c:pt>
                <c:pt idx="37">
                  <c:v>3.7626428724868131</c:v>
                </c:pt>
                <c:pt idx="38">
                  <c:v>4.0807282989845843</c:v>
                </c:pt>
                <c:pt idx="39">
                  <c:v>4.4131655973850688</c:v>
                </c:pt>
                <c:pt idx="40">
                  <c:v>4.7530561408868719</c:v>
                </c:pt>
                <c:pt idx="41">
                  <c:v>5.0955641774815987</c:v>
                </c:pt>
                <c:pt idx="42">
                  <c:v>5.4373090622479472</c:v>
                </c:pt>
                <c:pt idx="43">
                  <c:v>5.7759431322058461</c:v>
                </c:pt>
                <c:pt idx="44">
                  <c:v>6.1098560867634149</c:v>
                </c:pt>
                <c:pt idx="45">
                  <c:v>6.4379663188727907</c:v>
                </c:pt>
                <c:pt idx="46">
                  <c:v>6.7595725160151936</c:v>
                </c:pt>
                <c:pt idx="47">
                  <c:v>7.0742473844505316</c:v>
                </c:pt>
                <c:pt idx="48">
                  <c:v>7.3817610522052233</c:v>
                </c:pt>
                <c:pt idx="49">
                  <c:v>7.6820255459728042</c:v>
                </c:pt>
                <c:pt idx="50">
                  <c:v>7.9750543433560752</c:v>
                </c:pt>
                <c:pt idx="51">
                  <c:v>8.2609327851757772</c:v>
                </c:pt>
                <c:pt idx="52">
                  <c:v>8.5397963626173485</c:v>
                </c:pt>
                <c:pt idx="53">
                  <c:v>8.8118147492130898</c:v>
                </c:pt>
                <c:pt idx="54">
                  <c:v>9.0771800469519839</c:v>
                </c:pt>
                <c:pt idx="55">
                  <c:v>9.3360981389796844</c:v>
                </c:pt>
                <c:pt idx="56">
                  <c:v>9.5887823423742429</c:v>
                </c:pt>
                <c:pt idx="57">
                  <c:v>9.8354487701456463</c:v>
                </c:pt>
                <c:pt idx="58">
                  <c:v>10.076312967171784</c:v>
                </c:pt>
                <c:pt idx="59">
                  <c:v>10.311587497728459</c:v>
                </c:pt>
                <c:pt idx="60">
                  <c:v>10.541480244781772</c:v>
                </c:pt>
                <c:pt idx="61">
                  <c:v>10.766193241839693</c:v>
                </c:pt>
                <c:pt idx="62">
                  <c:v>10.985921902956118</c:v>
                </c:pt>
                <c:pt idx="63">
                  <c:v>11.200854549748861</c:v>
                </c:pt>
                <c:pt idx="64">
                  <c:v>11.411172159119312</c:v>
                </c:pt>
                <c:pt idx="65">
                  <c:v>11.617048273969859</c:v>
                </c:pt>
                <c:pt idx="66">
                  <c:v>11.818649033220304</c:v>
                </c:pt>
                <c:pt idx="67">
                  <c:v>12.016133288003704</c:v>
                </c:pt>
                <c:pt idx="68">
                  <c:v>12.209652778940557</c:v>
                </c:pt>
                <c:pt idx="69">
                  <c:v>12.399352355485128</c:v>
                </c:pt>
                <c:pt idx="70">
                  <c:v>12.585370222982345</c:v>
                </c:pt>
                <c:pt idx="71">
                  <c:v>12.767838206620191</c:v>
                </c:pt>
                <c:pt idx="72">
                  <c:v>12.946882024175128</c:v>
                </c:pt>
                <c:pt idx="73">
                  <c:v>13.122621561524513</c:v>
                </c:pt>
                <c:pt idx="74">
                  <c:v>13.295171146490832</c:v>
                </c:pt>
                <c:pt idx="75">
                  <c:v>13.464639817800538</c:v>
                </c:pt>
                <c:pt idx="76">
                  <c:v>13.631131586872034</c:v>
                </c:pt>
                <c:pt idx="77">
                  <c:v>13.794745690859145</c:v>
                </c:pt>
                <c:pt idx="78">
                  <c:v>13.955576835917991</c:v>
                </c:pt>
                <c:pt idx="79">
                  <c:v>14.11371543007583</c:v>
                </c:pt>
                <c:pt idx="80">
                  <c:v>14.269247805389789</c:v>
                </c:pt>
                <c:pt idx="81">
                  <c:v>14.422256429314466</c:v>
                </c:pt>
                <c:pt idx="82">
                  <c:v>14.57282010536826</c:v>
                </c:pt>
                <c:pt idx="83">
                  <c:v>14.721014163312026</c:v>
                </c:pt>
                <c:pt idx="84">
                  <c:v>14.866910639142008</c:v>
                </c:pt>
                <c:pt idx="85">
                  <c:v>15.010578445259545</c:v>
                </c:pt>
                <c:pt idx="86">
                  <c:v>15.152083531219294</c:v>
                </c:pt>
                <c:pt idx="87">
                  <c:v>15.291489035481201</c:v>
                </c:pt>
                <c:pt idx="88">
                  <c:v>15.428855428602592</c:v>
                </c:pt>
                <c:pt idx="89">
                  <c:v>15.564240648308761</c:v>
                </c:pt>
                <c:pt idx="90">
                  <c:v>15.697700226875806</c:v>
                </c:pt>
                <c:pt idx="91">
                  <c:v>15.829287411249846</c:v>
                </c:pt>
                <c:pt idx="92">
                  <c:v>15.959053276313744</c:v>
                </c:pt>
                <c:pt idx="93">
                  <c:v>16.087046831697002</c:v>
                </c:pt>
                <c:pt idx="94">
                  <c:v>16.213315122507439</c:v>
                </c:pt>
                <c:pt idx="95">
                  <c:v>16.337903324345607</c:v>
                </c:pt>
                <c:pt idx="96">
                  <c:v>16.460854832944435</c:v>
                </c:pt>
                <c:pt idx="97">
                  <c:v>16.582211348758435</c:v>
                </c:pt>
                <c:pt idx="98">
                  <c:v>16.70201295680868</c:v>
                </c:pt>
                <c:pt idx="99">
                  <c:v>16.820298202072262</c:v>
                </c:pt>
                <c:pt idx="100">
                  <c:v>16.937104160687781</c:v>
                </c:pt>
                <c:pt idx="101">
                  <c:v>17.052466507232062</c:v>
                </c:pt>
                <c:pt idx="102">
                  <c:v>17.166419578307885</c:v>
                </c:pt>
                <c:pt idx="103">
                  <c:v>17.278996432667256</c:v>
                </c:pt>
                <c:pt idx="104">
                  <c:v>17.390228908081124</c:v>
                </c:pt>
                <c:pt idx="105">
                  <c:v>17.500147675152689</c:v>
                </c:pt>
                <c:pt idx="106">
                  <c:v>17.608782288259302</c:v>
                </c:pt>
                <c:pt idx="107">
                  <c:v>17.716161233795965</c:v>
                </c:pt>
                <c:pt idx="108">
                  <c:v>17.822311975882318</c:v>
                </c:pt>
                <c:pt idx="109">
                  <c:v>17.927260999684854</c:v>
                </c:pt>
                <c:pt idx="110">
                  <c:v>18.031033852496144</c:v>
                </c:pt>
                <c:pt idx="111">
                  <c:v>18.133655182703933</c:v>
                </c:pt>
                <c:pt idx="112">
                  <c:v>18.23514877677432</c:v>
                </c:pt>
                <c:pt idx="113">
                  <c:v>18.335537594365515</c:v>
                </c:pt>
                <c:pt idx="114">
                  <c:v>18.434843801680966</c:v>
                </c:pt>
                <c:pt idx="115">
                  <c:v>18.533088803163981</c:v>
                </c:pt>
                <c:pt idx="116">
                  <c:v>18.630293271629334</c:v>
                </c:pt>
                <c:pt idx="117">
                  <c:v>18.726477176921438</c:v>
                </c:pt>
                <c:pt idx="118">
                  <c:v>18.821659813182986</c:v>
                </c:pt>
                <c:pt idx="119">
                  <c:v>18.915859824812614</c:v>
                </c:pt>
                <c:pt idx="120">
                  <c:v>19.009095231185555</c:v>
                </c:pt>
                <c:pt idx="121">
                  <c:v>19.101383450206242</c:v>
                </c:pt>
                <c:pt idx="122">
                  <c:v>19.192741320757943</c:v>
                </c:pt>
                <c:pt idx="123">
                  <c:v>19.283185124110346</c:v>
                </c:pt>
                <c:pt idx="124">
                  <c:v>19.372730604342323</c:v>
                </c:pt>
                <c:pt idx="125">
                  <c:v>19.461392987833573</c:v>
                </c:pt>
                <c:pt idx="126">
                  <c:v>19.54918700187585</c:v>
                </c:pt>
                <c:pt idx="127">
                  <c:v>19.636126892451099</c:v>
                </c:pt>
                <c:pt idx="128">
                  <c:v>19.722226441221281</c:v>
                </c:pt>
                <c:pt idx="129">
                  <c:v>19.807498981771889</c:v>
                </c:pt>
                <c:pt idx="130">
                  <c:v>19.891957415148823</c:v>
                </c:pt>
                <c:pt idx="131">
                  <c:v>19.975614224725685</c:v>
                </c:pt>
                <c:pt idx="132">
                  <c:v>20.058481490436819</c:v>
                </c:pt>
                <c:pt idx="133">
                  <c:v>20.140570902409024</c:v>
                </c:pt>
                <c:pt idx="134">
                  <c:v>20.221893774023219</c:v>
                </c:pt>
                <c:pt idx="135">
                  <c:v>20.302461054435383</c:v>
                </c:pt>
                <c:pt idx="136">
                  <c:v>20.382283340584625</c:v>
                </c:pt>
                <c:pt idx="137">
                  <c:v>20.461370888714502</c:v>
                </c:pt>
                <c:pt idx="138">
                  <c:v>20.539733625432405</c:v>
                </c:pt>
                <c:pt idx="139">
                  <c:v>20.617381158330264</c:v>
                </c:pt>
                <c:pt idx="140">
                  <c:v>20.694322786188735</c:v>
                </c:pt>
                <c:pt idx="141">
                  <c:v>20.770567508785817</c:v>
                </c:pt>
                <c:pt idx="142">
                  <c:v>20.846124036329421</c:v>
                </c:pt>
                <c:pt idx="143">
                  <c:v>20.921000798532852</c:v>
                </c:pt>
                <c:pt idx="144">
                  <c:v>20.995205953350627</c:v>
                </c:pt>
                <c:pt idx="145">
                  <c:v>21.068747395391551</c:v>
                </c:pt>
                <c:pt idx="146">
                  <c:v>21.141632764024845</c:v>
                </c:pt>
                <c:pt idx="147">
                  <c:v>21.213869451194221</c:v>
                </c:pt>
                <c:pt idx="148">
                  <c:v>21.28546460895442</c:v>
                </c:pt>
                <c:pt idx="149">
                  <c:v>21.356425156743374</c:v>
                </c:pt>
                <c:pt idx="150">
                  <c:v>21.426757788403023</c:v>
                </c:pt>
                <c:pt idx="151">
                  <c:v>21.496468978960877</c:v>
                </c:pt>
                <c:pt idx="152">
                  <c:v>21.565564991183734</c:v>
                </c:pt>
                <c:pt idx="153">
                  <c:v>21.634051881914598</c:v>
                </c:pt>
                <c:pt idx="154">
                  <c:v>21.70193550820315</c:v>
                </c:pt>
                <c:pt idx="155">
                  <c:v>21.769221533239566</c:v>
                </c:pt>
                <c:pt idx="156">
                  <c:v>21.8359154321011</c:v>
                </c:pt>
                <c:pt idx="157">
                  <c:v>21.902022497320321</c:v>
                </c:pt>
                <c:pt idx="158">
                  <c:v>21.967547844283352</c:v>
                </c:pt>
                <c:pt idx="159">
                  <c:v>22.032496416466259</c:v>
                </c:pt>
                <c:pt idx="160">
                  <c:v>22.096872990517205</c:v>
                </c:pt>
                <c:pt idx="161">
                  <c:v>22.160682181191408</c:v>
                </c:pt>
                <c:pt idx="162">
                  <c:v>22.223928446146143</c:v>
                </c:pt>
                <c:pt idx="163">
                  <c:v>22.286616090601985</c:v>
                </c:pt>
                <c:pt idx="164">
                  <c:v>22.34874927187677</c:v>
                </c:pt>
                <c:pt idx="165">
                  <c:v>22.410332003798</c:v>
                </c:pt>
                <c:pt idx="166">
                  <c:v>22.471368160999479</c:v>
                </c:pt>
                <c:pt idx="167">
                  <c:v>22.531861483107363</c:v>
                </c:pt>
                <c:pt idx="168">
                  <c:v>22.591815578820807</c:v>
                </c:pt>
                <c:pt idx="169">
                  <c:v>22.651233929891976</c:v>
                </c:pt>
                <c:pt idx="170">
                  <c:v>22.710119895010003</c:v>
                </c:pt>
                <c:pt idx="171">
                  <c:v>22.768476713593291</c:v>
                </c:pt>
                <c:pt idx="172">
                  <c:v>22.826307509494153</c:v>
                </c:pt>
                <c:pt idx="173">
                  <c:v>22.883615294619876</c:v>
                </c:pt>
                <c:pt idx="174">
                  <c:v>22.94040297247378</c:v>
                </c:pt>
                <c:pt idx="175">
                  <c:v>22.996673341619832</c:v>
                </c:pt>
                <c:pt idx="176">
                  <c:v>23.0524290990742</c:v>
                </c:pt>
                <c:pt idx="177">
                  <c:v>23.107672843626798</c:v>
                </c:pt>
                <c:pt idx="178">
                  <c:v>23.162407079095878</c:v>
                </c:pt>
                <c:pt idx="179">
                  <c:v>23.216634217518504</c:v>
                </c:pt>
                <c:pt idx="180">
                  <c:v>23.270356582279419</c:v>
                </c:pt>
                <c:pt idx="181">
                  <c:v>23.323576411181076</c:v>
                </c:pt>
                <c:pt idx="182">
                  <c:v>23.376295859456921</c:v>
                </c:pt>
                <c:pt idx="183">
                  <c:v>23.428517002730356</c:v>
                </c:pt>
                <c:pt idx="184">
                  <c:v>23.480241839921337</c:v>
                </c:pt>
                <c:pt idx="185">
                  <c:v>23.531472296102649</c:v>
                </c:pt>
                <c:pt idx="186">
                  <c:v>23.582210225307662</c:v>
                </c:pt>
                <c:pt idx="187">
                  <c:v>23.632457413291284</c:v>
                </c:pt>
                <c:pt idx="188">
                  <c:v>23.682215580245725</c:v>
                </c:pt>
                <c:pt idx="189">
                  <c:v>23.73148638347249</c:v>
                </c:pt>
                <c:pt idx="190">
                  <c:v>23.780271420012124</c:v>
                </c:pt>
                <c:pt idx="191">
                  <c:v>23.828572229232797</c:v>
                </c:pt>
                <c:pt idx="192">
                  <c:v>23.876390295379103</c:v>
                </c:pt>
                <c:pt idx="193">
                  <c:v>23.923727050081975</c:v>
                </c:pt>
                <c:pt idx="194">
                  <c:v>23.970583874830808</c:v>
                </c:pt>
                <c:pt idx="195">
                  <c:v>24.016962103408687</c:v>
                </c:pt>
                <c:pt idx="196">
                  <c:v>24.062863024291445</c:v>
                </c:pt>
                <c:pt idx="197">
                  <c:v>24.108287883011442</c:v>
                </c:pt>
                <c:pt idx="198">
                  <c:v>24.153237884486487</c:v>
                </c:pt>
                <c:pt idx="199">
                  <c:v>24.197714195314685</c:v>
                </c:pt>
                <c:pt idx="200">
                  <c:v>24.241717946035628</c:v>
                </c:pt>
                <c:pt idx="201">
                  <c:v>24.285250233358301</c:v>
                </c:pt>
                <c:pt idx="202">
                  <c:v>24.328312122356188</c:v>
                </c:pt>
                <c:pt idx="203">
                  <c:v>24.370904648629747</c:v>
                </c:pt>
                <c:pt idx="204">
                  <c:v>24.413028820436615</c:v>
                </c:pt>
                <c:pt idx="205">
                  <c:v>24.454685620789594</c:v>
                </c:pt>
                <c:pt idx="206">
                  <c:v>24.495876009522636</c:v>
                </c:pt>
                <c:pt idx="207">
                  <c:v>24.536600925324908</c:v>
                </c:pt>
                <c:pt idx="208">
                  <c:v>24.576861287742791</c:v>
                </c:pt>
                <c:pt idx="209">
                  <c:v>24.616657999150043</c:v>
                </c:pt>
                <c:pt idx="210">
                  <c:v>24.655991946685823</c:v>
                </c:pt>
                <c:pt idx="211">
                  <c:v>24.694864004160543</c:v>
                </c:pt>
                <c:pt idx="212">
                  <c:v>24.733275033929502</c:v>
                </c:pt>
                <c:pt idx="213">
                  <c:v>24.771225888733888</c:v>
                </c:pt>
                <c:pt idx="214">
                  <c:v>24.808717413509132</c:v>
                </c:pt>
                <c:pt idx="215">
                  <c:v>24.845750447160249</c:v>
                </c:pt>
                <c:pt idx="216">
                  <c:v>24.882325824303891</c:v>
                </c:pt>
                <c:pt idx="217">
                  <c:v>24.918444376976836</c:v>
                </c:pt>
                <c:pt idx="218">
                  <c:v>24.954106936310581</c:v>
                </c:pt>
                <c:pt idx="219">
                  <c:v>24.989314334171631</c:v>
                </c:pt>
                <c:pt idx="220">
                  <c:v>25.024067404767223</c:v>
                </c:pt>
                <c:pt idx="221">
                  <c:v>25.058366986215944</c:v>
                </c:pt>
                <c:pt idx="222">
                  <c:v>25.09221392208303</c:v>
                </c:pt>
                <c:pt idx="223">
                  <c:v>25.125609062879786</c:v>
                </c:pt>
                <c:pt idx="224">
                  <c:v>25.15855326752682</c:v>
                </c:pt>
                <c:pt idx="225">
                  <c:v>25.191047404780594</c:v>
                </c:pt>
                <c:pt idx="226">
                  <c:v>25.491435897579425</c:v>
                </c:pt>
                <c:pt idx="227">
                  <c:v>25.747894856617819</c:v>
                </c:pt>
                <c:pt idx="228">
                  <c:v>25.961635906886194</c:v>
                </c:pt>
                <c:pt idx="229">
                  <c:v>26.134175757665702</c:v>
                </c:pt>
                <c:pt idx="230">
                  <c:v>26.267367109609623</c:v>
                </c:pt>
                <c:pt idx="231">
                  <c:v>26.363390758853875</c:v>
                </c:pt>
                <c:pt idx="232">
                  <c:v>26.424715062725895</c:v>
                </c:pt>
                <c:pt idx="233">
                  <c:v>26.454031595621792</c:v>
                </c:pt>
                <c:pt idx="234">
                  <c:v>26.454177078219114</c:v>
                </c:pt>
                <c:pt idx="235">
                  <c:v>26.428051371166919</c:v>
                </c:pt>
                <c:pt idx="236">
                  <c:v>26.378539758936931</c:v>
                </c:pt>
                <c:pt idx="237">
                  <c:v>26.308445429104705</c:v>
                </c:pt>
                <c:pt idx="238">
                  <c:v>26.220435539834241</c:v>
                </c:pt>
                <c:pt idx="239">
                  <c:v>26.117002014635844</c:v>
                </c:pt>
                <c:pt idx="240">
                  <c:v>26.000436473656741</c:v>
                </c:pt>
                <c:pt idx="241">
                  <c:v>25.872817587167638</c:v>
                </c:pt>
                <c:pt idx="242">
                  <c:v>25.736008568166085</c:v>
                </c:pt>
                <c:pt idx="243">
                  <c:v>25.591662384094775</c:v>
                </c:pt>
                <c:pt idx="244">
                  <c:v>25.441232420265205</c:v>
                </c:pt>
                <c:pt idx="245">
                  <c:v>25.285986641779985</c:v>
                </c:pt>
                <c:pt idx="246">
                  <c:v>25.127023678595567</c:v>
                </c:pt>
                <c:pt idx="247">
                  <c:v>24.965289634407135</c:v>
                </c:pt>
                <c:pt idx="248">
                  <c:v>24.801594756739426</c:v>
                </c:pt>
                <c:pt idx="249">
                  <c:v>24.636629386158791</c:v>
                </c:pt>
                <c:pt idx="250">
                  <c:v>24.470978823604199</c:v>
                </c:pt>
                <c:pt idx="251">
                  <c:v>24.305136920960251</c:v>
                </c:pt>
                <c:pt idx="252">
                  <c:v>24.139518319306067</c:v>
                </c:pt>
                <c:pt idx="253">
                  <c:v>23.974469340939152</c:v>
                </c:pt>
                <c:pt idx="254">
                  <c:v>23.810277594000361</c:v>
                </c:pt>
                <c:pt idx="255">
                  <c:v>23.647180379852159</c:v>
                </c:pt>
                <c:pt idx="256">
                  <c:v>23.485372009427522</c:v>
                </c:pt>
                <c:pt idx="257">
                  <c:v>23.32501014035396</c:v>
                </c:pt>
                <c:pt idx="258">
                  <c:v>23.166221245361179</c:v>
                </c:pt>
                <c:pt idx="259">
                  <c:v>23.009105316921882</c:v>
                </c:pt>
                <c:pt idx="260">
                  <c:v>22.853739905105638</c:v>
                </c:pt>
                <c:pt idx="261">
                  <c:v>22.700183576517684</c:v>
                </c:pt>
                <c:pt idx="262">
                  <c:v>22.548478872789701</c:v>
                </c:pt>
                <c:pt idx="263">
                  <c:v>22.398654837922606</c:v>
                </c:pt>
                <c:pt idx="264">
                  <c:v>22.25072917516815</c:v>
                </c:pt>
                <c:pt idx="265">
                  <c:v>22.104710086245355</c:v>
                </c:pt>
                <c:pt idx="266">
                  <c:v>21.960597838588754</c:v>
                </c:pt>
                <c:pt idx="267">
                  <c:v>21.818386100023709</c:v>
                </c:pt>
                <c:pt idx="268">
                  <c:v>21.67806307472684</c:v>
                </c:pt>
                <c:pt idx="269">
                  <c:v>21.539612469501947</c:v>
                </c:pt>
                <c:pt idx="270">
                  <c:v>21.403014315217614</c:v>
                </c:pt>
                <c:pt idx="271">
                  <c:v>21.268245664643551</c:v>
                </c:pt>
                <c:pt idx="272">
                  <c:v>21.135281184820748</c:v>
                </c:pt>
                <c:pt idx="273">
                  <c:v>21.004093659441487</c:v>
                </c:pt>
                <c:pt idx="274">
                  <c:v>20.874654414441167</c:v>
                </c:pt>
                <c:pt idx="275">
                  <c:v>20.746933678062007</c:v>
                </c:pt>
                <c:pt idx="276">
                  <c:v>20.620900884991968</c:v>
                </c:pt>
                <c:pt idx="277">
                  <c:v>20.496524932770694</c:v>
                </c:pt>
                <c:pt idx="278">
                  <c:v>20.373774397451207</c:v>
                </c:pt>
                <c:pt idx="279">
                  <c:v>20.25261771448216</c:v>
                </c:pt>
                <c:pt idx="280">
                  <c:v>20.133023329902699</c:v>
                </c:pt>
                <c:pt idx="281">
                  <c:v>20.01495982619938</c:v>
                </c:pt>
                <c:pt idx="282">
                  <c:v>19.898396026541349</c:v>
                </c:pt>
                <c:pt idx="283">
                  <c:v>19.783301080570752</c:v>
                </c:pt>
                <c:pt idx="284">
                  <c:v>19.669644534465419</c:v>
                </c:pt>
                <c:pt idx="285">
                  <c:v>19.557396387598459</c:v>
                </c:pt>
                <c:pt idx="286">
                  <c:v>19.446527137784795</c:v>
                </c:pt>
                <c:pt idx="287">
                  <c:v>19.33700781681852</c:v>
                </c:pt>
                <c:pt idx="288">
                  <c:v>19.228810017760864</c:v>
                </c:pt>
                <c:pt idx="289">
                  <c:v>19.121905915229359</c:v>
                </c:pt>
                <c:pt idx="290">
                  <c:v>19.016268279760329</c:v>
                </c:pt>
                <c:pt idx="291">
                  <c:v>18.911870487163604</c:v>
                </c:pt>
                <c:pt idx="292">
                  <c:v>18.808686523657215</c:v>
                </c:pt>
                <c:pt idx="293">
                  <c:v>18.706690987457591</c:v>
                </c:pt>
                <c:pt idx="294">
                  <c:v>18.605859087404209</c:v>
                </c:pt>
                <c:pt idx="295">
                  <c:v>18.506166639114959</c:v>
                </c:pt>
                <c:pt idx="296">
                  <c:v>18.407590059097352</c:v>
                </c:pt>
                <c:pt idx="297">
                  <c:v>18.310106357179802</c:v>
                </c:pt>
                <c:pt idx="298">
                  <c:v>18.213693127574476</c:v>
                </c:pt>
                <c:pt idx="299">
                  <c:v>18.118328538838291</c:v>
                </c:pt>
                <c:pt idx="300">
                  <c:v>18.023991322959702</c:v>
                </c:pt>
                <c:pt idx="301">
                  <c:v>17.930660763765424</c:v>
                </c:pt>
                <c:pt idx="302">
                  <c:v>17.838316684812717</c:v>
                </c:pt>
                <c:pt idx="303">
                  <c:v>17.746939436907766</c:v>
                </c:pt>
                <c:pt idx="304">
                  <c:v>17.656509885369612</c:v>
                </c:pt>
                <c:pt idx="305">
                  <c:v>17.567009397140641</c:v>
                </c:pt>
                <c:pt idx="306">
                  <c:v>17.478419827828816</c:v>
                </c:pt>
                <c:pt idx="307">
                  <c:v>17.390723508753215</c:v>
                </c:pt>
                <c:pt idx="308">
                  <c:v>17.303903234052779</c:v>
                </c:pt>
                <c:pt idx="309">
                  <c:v>17.217942247908084</c:v>
                </c:pt>
                <c:pt idx="310">
                  <c:v>17.132824231917223</c:v>
                </c:pt>
                <c:pt idx="311">
                  <c:v>17.048533292659531</c:v>
                </c:pt>
                <c:pt idx="312">
                  <c:v>16.965053949474449</c:v>
                </c:pt>
                <c:pt idx="313">
                  <c:v>16.882371122477366</c:v>
                </c:pt>
                <c:pt idx="314">
                  <c:v>16.800470120829548</c:v>
                </c:pt>
                <c:pt idx="315">
                  <c:v>16.71933663127535</c:v>
                </c:pt>
                <c:pt idx="316">
                  <c:v>16.638956706956293</c:v>
                </c:pt>
                <c:pt idx="317">
                  <c:v>16.559316756508984</c:v>
                </c:pt>
                <c:pt idx="318">
                  <c:v>16.480403533451032</c:v>
                </c:pt>
                <c:pt idx="319">
                  <c:v>16.402204125857267</c:v>
                </c:pt>
                <c:pt idx="320">
                  <c:v>16.324705946326748</c:v>
                </c:pt>
                <c:pt idx="321">
                  <c:v>16.247896722239471</c:v>
                </c:pt>
                <c:pt idx="322">
                  <c:v>16.171764486300603</c:v>
                </c:pt>
                <c:pt idx="323">
                  <c:v>16.096297567368854</c:v>
                </c:pt>
                <c:pt idx="324">
                  <c:v>16.02148458156497</c:v>
                </c:pt>
                <c:pt idx="325">
                  <c:v>15.947314423655454</c:v>
                </c:pt>
                <c:pt idx="326">
                  <c:v>15.873776258706213</c:v>
                </c:pt>
                <c:pt idx="327">
                  <c:v>15.800859514000225</c:v>
                </c:pt>
                <c:pt idx="328">
                  <c:v>15.728553871213183</c:v>
                </c:pt>
                <c:pt idx="329">
                  <c:v>15.656849258840673</c:v>
                </c:pt>
                <c:pt idx="330">
                  <c:v>15.585735844870293</c:v>
                </c:pt>
                <c:pt idx="331">
                  <c:v>15.515204029692043</c:v>
                </c:pt>
                <c:pt idx="332">
                  <c:v>15.445244439240216</c:v>
                </c:pt>
                <c:pt idx="333">
                  <c:v>15.37584791835998</c:v>
                </c:pt>
                <c:pt idx="334">
                  <c:v>15.307005524391894</c:v>
                </c:pt>
                <c:pt idx="335">
                  <c:v>15.238708520967668</c:v>
                </c:pt>
                <c:pt idx="336">
                  <c:v>15.170948372010404</c:v>
                </c:pt>
                <c:pt idx="337">
                  <c:v>15.103716735932913</c:v>
                </c:pt>
                <c:pt idx="338">
                  <c:v>15.037005460027508</c:v>
                </c:pt>
                <c:pt idx="339">
                  <c:v>14.970806575041058</c:v>
                </c:pt>
                <c:pt idx="340">
                  <c:v>14.905112289929052</c:v>
                </c:pt>
                <c:pt idx="341">
                  <c:v>14.839914986782665</c:v>
                </c:pt>
                <c:pt idx="342">
                  <c:v>14.775207215922926</c:v>
                </c:pt>
                <c:pt idx="343">
                  <c:v>14.71098169115624</c:v>
                </c:pt>
                <c:pt idx="344">
                  <c:v>14.64723128518574</c:v>
                </c:pt>
                <c:pt idx="345">
                  <c:v>14.583949025173</c:v>
                </c:pt>
                <c:pt idx="346">
                  <c:v>14.521128088444899</c:v>
                </c:pt>
                <c:pt idx="347">
                  <c:v>14.458761798340539</c:v>
                </c:pt>
                <c:pt idx="348">
                  <c:v>14.396843620193343</c:v>
                </c:pt>
                <c:pt idx="349">
                  <c:v>14.335367157443448</c:v>
                </c:pt>
                <c:pt idx="350">
                  <c:v>14.274326147875973</c:v>
                </c:pt>
                <c:pt idx="351">
                  <c:v>14.213714459980524</c:v>
                </c:pt>
                <c:pt idx="352">
                  <c:v>14.153526089427809</c:v>
                </c:pt>
                <c:pt idx="353">
                  <c:v>14.093755155659078</c:v>
                </c:pt>
                <c:pt idx="354">
                  <c:v>14.034395898584506</c:v>
                </c:pt>
                <c:pt idx="355">
                  <c:v>13.975442675386567</c:v>
                </c:pt>
                <c:pt idx="356">
                  <c:v>13.916889957424761</c:v>
                </c:pt>
                <c:pt idx="357">
                  <c:v>13.858732327238005</c:v>
                </c:pt>
                <c:pt idx="358">
                  <c:v>13.800964475641388</c:v>
                </c:pt>
                <c:pt idx="359">
                  <c:v>13.743581198913779</c:v>
                </c:pt>
                <c:pt idx="360">
                  <c:v>13.686577396073234</c:v>
                </c:pt>
                <c:pt idx="361">
                  <c:v>13.629948066237032</c:v>
                </c:pt>
                <c:pt idx="362">
                  <c:v>13.573688306063392</c:v>
                </c:pt>
                <c:pt idx="363">
                  <c:v>13.517793307271983</c:v>
                </c:pt>
                <c:pt idx="364">
                  <c:v>13.462258354240538</c:v>
                </c:pt>
                <c:pt idx="365">
                  <c:v>13.407078821674812</c:v>
                </c:pt>
                <c:pt idx="366">
                  <c:v>13.352250172349439</c:v>
                </c:pt>
                <c:pt idx="367">
                  <c:v>13.297767954917145</c:v>
                </c:pt>
                <c:pt idx="368">
                  <c:v>13.243627801783997</c:v>
                </c:pt>
                <c:pt idx="369">
                  <c:v>13.189825427048394</c:v>
                </c:pt>
                <c:pt idx="370">
                  <c:v>13.136356624501598</c:v>
                </c:pt>
                <c:pt idx="371">
                  <c:v>13.083217265687729</c:v>
                </c:pt>
                <c:pt idx="372">
                  <c:v>13.03040329802112</c:v>
                </c:pt>
                <c:pt idx="373">
                  <c:v>12.977910742959189</c:v>
                </c:pt>
                <c:pt idx="374">
                  <c:v>12.925735694228809</c:v>
                </c:pt>
                <c:pt idx="375">
                  <c:v>12.873874316104477</c:v>
                </c:pt>
                <c:pt idx="376">
                  <c:v>12.822322841736472</c:v>
                </c:pt>
                <c:pt idx="377">
                  <c:v>12.771077571527371</c:v>
                </c:pt>
                <c:pt idx="378">
                  <c:v>12.720134871555214</c:v>
                </c:pt>
                <c:pt idx="379">
                  <c:v>12.669491172041891</c:v>
                </c:pt>
                <c:pt idx="380">
                  <c:v>12.619142965865151</c:v>
                </c:pt>
                <c:pt idx="381">
                  <c:v>12.569086807112788</c:v>
                </c:pt>
                <c:pt idx="382">
                  <c:v>12.51931930967771</c:v>
                </c:pt>
                <c:pt idx="383">
                  <c:v>12.469837145892416</c:v>
                </c:pt>
                <c:pt idx="384">
                  <c:v>12.420637045201708</c:v>
                </c:pt>
                <c:pt idx="385">
                  <c:v>12.371715792872298</c:v>
                </c:pt>
                <c:pt idx="386">
                  <c:v>12.323070228738196</c:v>
                </c:pt>
                <c:pt idx="387">
                  <c:v>12.27469724598064</c:v>
                </c:pt>
                <c:pt idx="388">
                  <c:v>12.226593789941552</c:v>
                </c:pt>
                <c:pt idx="389">
                  <c:v>12.178756856969342</c:v>
                </c:pt>
                <c:pt idx="390">
                  <c:v>12.131183493296083</c:v>
                </c:pt>
                <c:pt idx="391">
                  <c:v>12.083870793945092</c:v>
                </c:pt>
                <c:pt idx="392">
                  <c:v>12.03681590166787</c:v>
                </c:pt>
                <c:pt idx="393">
                  <c:v>11.99001600590954</c:v>
                </c:pt>
                <c:pt idx="394">
                  <c:v>11.943468341801866</c:v>
                </c:pt>
                <c:pt idx="395">
                  <c:v>11.897170189182996</c:v>
                </c:pt>
                <c:pt idx="396">
                  <c:v>11.851118871643083</c:v>
                </c:pt>
                <c:pt idx="397">
                  <c:v>11.80531175559501</c:v>
                </c:pt>
                <c:pt idx="398">
                  <c:v>11.759746249369385</c:v>
                </c:pt>
                <c:pt idx="399">
                  <c:v>11.714419802333179</c:v>
                </c:pt>
                <c:pt idx="400">
                  <c:v>11.669329904031098</c:v>
                </c:pt>
                <c:pt idx="401">
                  <c:v>11.624474083349215</c:v>
                </c:pt>
                <c:pt idx="402">
                  <c:v>11.579849907699973</c:v>
                </c:pt>
                <c:pt idx="403">
                  <c:v>11.535454982228089</c:v>
                </c:pt>
                <c:pt idx="404">
                  <c:v>11.491286949036603</c:v>
                </c:pt>
                <c:pt idx="405">
                  <c:v>11.447343486432571</c:v>
                </c:pt>
                <c:pt idx="406">
                  <c:v>11.403622308191707</c:v>
                </c:pt>
                <c:pt idx="407">
                  <c:v>11.360121162841523</c:v>
                </c:pt>
                <c:pt idx="408">
                  <c:v>11.316837832962314</c:v>
                </c:pt>
                <c:pt idx="409">
                  <c:v>11.273770134505558</c:v>
                </c:pt>
                <c:pt idx="410">
                  <c:v>11.230915916129167</c:v>
                </c:pt>
                <c:pt idx="411">
                  <c:v>11.188273058549061</c:v>
                </c:pt>
                <c:pt idx="412">
                  <c:v>11.145839473906705</c:v>
                </c:pt>
                <c:pt idx="413">
                  <c:v>11.103613105152032</c:v>
                </c:pt>
                <c:pt idx="414">
                  <c:v>11.061591925441354</c:v>
                </c:pt>
                <c:pt idx="415">
                  <c:v>11.01977393754985</c:v>
                </c:pt>
                <c:pt idx="416">
                  <c:v>10.978157173298158</c:v>
                </c:pt>
                <c:pt idx="417">
                  <c:v>10.936739692992761</c:v>
                </c:pt>
                <c:pt idx="418">
                  <c:v>10.895519584879668</c:v>
                </c:pt>
                <c:pt idx="419">
                  <c:v>10.854494964611092</c:v>
                </c:pt>
                <c:pt idx="420">
                  <c:v>10.813663974724715</c:v>
                </c:pt>
                <c:pt idx="421">
                  <c:v>10.773024784135238</c:v>
                </c:pt>
                <c:pt idx="422">
                  <c:v>10.732575587637809</c:v>
                </c:pt>
                <c:pt idx="423">
                  <c:v>10.692314605423064</c:v>
                </c:pt>
                <c:pt idx="424">
                  <c:v>10.652240082603397</c:v>
                </c:pt>
                <c:pt idx="425">
                  <c:v>10.612350288750205</c:v>
                </c:pt>
                <c:pt idx="426">
                  <c:v>10.572643517441772</c:v>
                </c:pt>
                <c:pt idx="427">
                  <c:v>10.533118085821517</c:v>
                </c:pt>
                <c:pt idx="428">
                  <c:v>10.493772334166334</c:v>
                </c:pt>
                <c:pt idx="429">
                  <c:v>10.454604625464693</c:v>
                </c:pt>
                <c:pt idx="430">
                  <c:v>10.415613345004349</c:v>
                </c:pt>
                <c:pt idx="431">
                  <c:v>10.37679689996928</c:v>
                </c:pt>
                <c:pt idx="432">
                  <c:v>10.338153719045691</c:v>
                </c:pt>
                <c:pt idx="433">
                  <c:v>10.299682252036796</c:v>
                </c:pt>
                <c:pt idx="434">
                  <c:v>10.261380969486193</c:v>
                </c:pt>
                <c:pt idx="435">
                  <c:v>10.22324836230954</c:v>
                </c:pt>
                <c:pt idx="436">
                  <c:v>10.185282941434373</c:v>
                </c:pt>
                <c:pt idx="437">
                  <c:v>10.147483237447815</c:v>
                </c:pt>
                <c:pt idx="438">
                  <c:v>10.109847800252016</c:v>
                </c:pt>
                <c:pt idx="439">
                  <c:v>10.072375198727022</c:v>
                </c:pt>
                <c:pt idx="440">
                  <c:v>10.035064020401041</c:v>
                </c:pt>
                <c:pt idx="441">
                  <c:v>9.997912871127749</c:v>
                </c:pt>
                <c:pt idx="442">
                  <c:v>9.9609203747705788</c:v>
                </c:pt>
                <c:pt idx="443">
                  <c:v>9.9240851728937223</c:v>
                </c:pt>
                <c:pt idx="444">
                  <c:v>9.8874059244597863</c:v>
                </c:pt>
                <c:pt idx="445">
                  <c:v>9.8508813055337683</c:v>
                </c:pt>
                <c:pt idx="446">
                  <c:v>9.8145100089933894</c:v>
                </c:pt>
                <c:pt idx="447">
                  <c:v>9.778290744245453</c:v>
                </c:pt>
                <c:pt idx="448">
                  <c:v>9.7422222369481819</c:v>
                </c:pt>
                <c:pt idx="449">
                  <c:v>9.7063032287393494</c:v>
                </c:pt>
                <c:pt idx="450">
                  <c:v>9.6705324769700507</c:v>
                </c:pt>
                <c:pt idx="451">
                  <c:v>9.6349087544440195</c:v>
                </c:pt>
                <c:pt idx="452">
                  <c:v>9.5994308491622711</c:v>
                </c:pt>
                <c:pt idx="453">
                  <c:v>9.5640975640730428</c:v>
                </c:pt>
                <c:pt idx="454">
                  <c:v>9.5289077168268115</c:v>
                </c:pt>
                <c:pt idx="455">
                  <c:v>9.493860139536336</c:v>
                </c:pt>
                <c:pt idx="456">
                  <c:v>9.4589536785415422</c:v>
                </c:pt>
                <c:pt idx="457">
                  <c:v>9.4241871941791793</c:v>
                </c:pt>
                <c:pt idx="458">
                  <c:v>9.3895595605571014</c:v>
                </c:pt>
                <c:pt idx="459">
                  <c:v>9.3550696653331045</c:v>
                </c:pt>
                <c:pt idx="460">
                  <c:v>9.3207164094981305</c:v>
                </c:pt>
                <c:pt idx="461">
                  <c:v>9.2864987071638545</c:v>
                </c:pt>
                <c:pt idx="462">
                  <c:v>9.2524154853544101</c:v>
                </c:pt>
                <c:pt idx="463">
                  <c:v>9.2184656838022967</c:v>
                </c:pt>
                <c:pt idx="464">
                  <c:v>9.1846482547482378</c:v>
                </c:pt>
                <c:pt idx="465">
                  <c:v>9.1509621627450102</c:v>
                </c:pt>
                <c:pt idx="466">
                  <c:v>9.1174063844650828</c:v>
                </c:pt>
                <c:pt idx="467">
                  <c:v>9.0839799085119814</c:v>
                </c:pt>
                <c:pt idx="468">
                  <c:v>9.0506817352353419</c:v>
                </c:pt>
                <c:pt idx="469">
                  <c:v>9.0175108765494887</c:v>
                </c:pt>
                <c:pt idx="470">
                  <c:v>8.9844663557555648</c:v>
                </c:pt>
                <c:pt idx="471">
                  <c:v>8.951547207366966</c:v>
                </c:pt>
                <c:pt idx="472">
                  <c:v>8.9187524769382325</c:v>
                </c:pt>
                <c:pt idx="473">
                  <c:v>8.8860812208970792</c:v>
                </c:pt>
                <c:pt idx="474">
                  <c:v>8.8535325063796844</c:v>
                </c:pt>
                <c:pt idx="475">
                  <c:v>8.8211054110690323</c:v>
                </c:pt>
                <c:pt idx="476">
                  <c:v>8.7887990230363382</c:v>
                </c:pt>
                <c:pt idx="477">
                  <c:v>8.7566124405854104</c:v>
                </c:pt>
                <c:pt idx="478">
                  <c:v>8.7245447720999252</c:v>
                </c:pt>
                <c:pt idx="479">
                  <c:v>8.6925951358935603</c:v>
                </c:pt>
                <c:pt idx="480">
                  <c:v>8.6607626600628578</c:v>
                </c:pt>
                <c:pt idx="481">
                  <c:v>8.6290464823428579</c:v>
                </c:pt>
                <c:pt idx="482">
                  <c:v>8.5974457499653418</c:v>
                </c:pt>
                <c:pt idx="483">
                  <c:v>8.5659596195196901</c:v>
                </c:pt>
                <c:pt idx="484">
                  <c:v>8.5345872568162839</c:v>
                </c:pt>
                <c:pt idx="485">
                  <c:v>8.503327836752387</c:v>
                </c:pt>
                <c:pt idx="486">
                  <c:v>8.4721805431804409</c:v>
                </c:pt>
                <c:pt idx="487">
                  <c:v>8.4411445687787783</c:v>
                </c:pt>
                <c:pt idx="488">
                  <c:v>8.4102191149246011</c:v>
                </c:pt>
                <c:pt idx="489">
                  <c:v>8.379403391569312</c:v>
                </c:pt>
                <c:pt idx="490">
                  <c:v>8.3486966171159889</c:v>
                </c:pt>
                <c:pt idx="491">
                  <c:v>8.3180980182991231</c:v>
                </c:pt>
                <c:pt idx="492">
                  <c:v>8.2876068300664265</c:v>
                </c:pt>
                <c:pt idx="493">
                  <c:v>8.2572222954627588</c:v>
                </c:pt>
                <c:pt idx="494">
                  <c:v>8.2269436655160852</c:v>
                </c:pt>
                <c:pt idx="495">
                  <c:v>8.1967701991254511</c:v>
                </c:pt>
                <c:pt idx="496">
                  <c:v>8.1667011629509076</c:v>
                </c:pt>
                <c:pt idx="497">
                  <c:v>8.1367358313053426</c:v>
                </c:pt>
                <c:pt idx="498">
                  <c:v>8.1068734860482152</c:v>
                </c:pt>
                <c:pt idx="499">
                  <c:v>8.0771134164811169</c:v>
                </c:pt>
                <c:pt idx="500">
                  <c:v>8.0474549192451192</c:v>
                </c:pt>
                <c:pt idx="501">
                  <c:v>8.0178972982199213</c:v>
                </c:pt>
                <c:pt idx="502">
                  <c:v>7.988439864424695</c:v>
                </c:pt>
                <c:pt idx="503">
                  <c:v>7.9590819359206231</c:v>
                </c:pt>
                <c:pt idx="504">
                  <c:v>7.9298228377151325</c:v>
                </c:pt>
                <c:pt idx="505">
                  <c:v>7.9006619016676893</c:v>
                </c:pt>
                <c:pt idx="506">
                  <c:v>7.8715984663972556</c:v>
                </c:pt>
                <c:pt idx="507">
                  <c:v>7.8426318771912387</c:v>
                </c:pt>
                <c:pt idx="508">
                  <c:v>7.8137614859160269</c:v>
                </c:pt>
                <c:pt idx="509">
                  <c:v>7.7849866509289729</c:v>
                </c:pt>
                <c:pt idx="510">
                  <c:v>7.7563067369918945</c:v>
                </c:pt>
                <c:pt idx="511">
                  <c:v>7.7277211151859548</c:v>
                </c:pt>
                <c:pt idx="512">
                  <c:v>7.6992291628280007</c:v>
                </c:pt>
                <c:pt idx="513">
                  <c:v>7.6708302633882752</c:v>
                </c:pt>
                <c:pt idx="514">
                  <c:v>7.6425238064094483</c:v>
                </c:pt>
                <c:pt idx="515">
                  <c:v>7.6143091874270237</c:v>
                </c:pt>
                <c:pt idx="516">
                  <c:v>7.5861858078910149</c:v>
                </c:pt>
                <c:pt idx="517">
                  <c:v>7.5581530750889101</c:v>
                </c:pt>
                <c:pt idx="518">
                  <c:v>7.5302104020698852</c:v>
                </c:pt>
                <c:pt idx="519">
                  <c:v>7.5023572075702427</c:v>
                </c:pt>
                <c:pt idx="520">
                  <c:v>7.4745929159400539</c:v>
                </c:pt>
                <c:pt idx="521">
                  <c:v>7.446916957070993</c:v>
                </c:pt>
                <c:pt idx="522">
                  <c:v>7.419328766325302</c:v>
                </c:pt>
                <c:pt idx="523">
                  <c:v>7.3918277844659226</c:v>
                </c:pt>
                <c:pt idx="524">
                  <c:v>7.3644134575877107</c:v>
                </c:pt>
                <c:pt idx="525">
                  <c:v>7.3370852370497639</c:v>
                </c:pt>
                <c:pt idx="526">
                  <c:v>7.3098425794088229</c:v>
                </c:pt>
                <c:pt idx="527">
                  <c:v>7.2826849463537009</c:v>
                </c:pt>
                <c:pt idx="528">
                  <c:v>7.2556118046407745</c:v>
                </c:pt>
                <c:pt idx="529">
                  <c:v>7.2286226260304467</c:v>
                </c:pt>
                <c:pt idx="530">
                  <c:v>7.201716887224654</c:v>
                </c:pt>
                <c:pt idx="531">
                  <c:v>7.1748940698053065</c:v>
                </c:pt>
                <c:pt idx="532">
                  <c:v>7.1481536601737039</c:v>
                </c:pt>
                <c:pt idx="533">
                  <c:v>7.1214951494908698</c:v>
                </c:pt>
                <c:pt idx="534">
                  <c:v>7.09491803361884</c:v>
                </c:pt>
                <c:pt idx="535">
                  <c:v>7.0684218130628338</c:v>
                </c:pt>
                <c:pt idx="536">
                  <c:v>7.0420059929142962</c:v>
                </c:pt>
                <c:pt idx="537">
                  <c:v>7.0156700827948573</c:v>
                </c:pt>
                <c:pt idx="538">
                  <c:v>6.9894135968010982</c:v>
                </c:pt>
                <c:pt idx="539">
                  <c:v>6.9632360534501849</c:v>
                </c:pt>
                <c:pt idx="540">
                  <c:v>6.9371369756263164</c:v>
                </c:pt>
                <c:pt idx="541">
                  <c:v>6.9111158905280003</c:v>
                </c:pt>
                <c:pt idx="542">
                  <c:v>6.8851723296160809</c:v>
                </c:pt>
                <c:pt idx="543">
                  <c:v>6.8593058285625927</c:v>
                </c:pt>
                <c:pt idx="544">
                  <c:v>6.8335159272003541</c:v>
                </c:pt>
                <c:pt idx="545">
                  <c:v>6.8078021694733231</c:v>
                </c:pt>
                <c:pt idx="546">
                  <c:v>6.7821641033876983</c:v>
                </c:pt>
                <c:pt idx="547">
                  <c:v>6.7566012809637224</c:v>
                </c:pt>
                <c:pt idx="548">
                  <c:v>6.7311132581882127</c:v>
                </c:pt>
                <c:pt idx="549">
                  <c:v>6.7056995949678235</c:v>
                </c:pt>
                <c:pt idx="550">
                  <c:v>6.6803598550829157</c:v>
                </c:pt>
                <c:pt idx="551">
                  <c:v>6.655093606142203</c:v>
                </c:pt>
                <c:pt idx="552">
                  <c:v>6.6299004195379823</c:v>
                </c:pt>
                <c:pt idx="553">
                  <c:v>6.6047798704020453</c:v>
                </c:pt>
                <c:pt idx="554">
                  <c:v>6.5797315375622478</c:v>
                </c:pt>
                <c:pt idx="555">
                  <c:v>6.5547550034996824</c:v>
                </c:pt>
                <c:pt idx="556">
                  <c:v>6.5298498543064865</c:v>
                </c:pt>
                <c:pt idx="557">
                  <c:v>6.5050156796442407</c:v>
                </c:pt>
                <c:pt idx="558">
                  <c:v>6.4802520727029842</c:v>
                </c:pt>
                <c:pt idx="559">
                  <c:v>6.4555586301608194</c:v>
                </c:pt>
                <c:pt idx="560">
                  <c:v>6.4309349521440708</c:v>
                </c:pt>
                <c:pt idx="561">
                  <c:v>6.4063806421880285</c:v>
                </c:pt>
                <c:pt idx="562">
                  <c:v>6.3818953071982527</c:v>
                </c:pt>
                <c:pt idx="563">
                  <c:v>6.3574785574124117</c:v>
                </c:pt>
                <c:pt idx="564">
                  <c:v>6.3331300063626657</c:v>
                </c:pt>
                <c:pt idx="565">
                  <c:v>6.308849270838599</c:v>
                </c:pt>
                <c:pt idx="566">
                  <c:v>6.2846359708506316</c:v>
                </c:pt>
                <c:pt idx="567">
                  <c:v>6.2604897295939841</c:v>
                </c:pt>
                <c:pt idx="568">
                  <c:v>6.2364101734131347</c:v>
                </c:pt>
                <c:pt idx="569">
                  <c:v>6.2123969317667429</c:v>
                </c:pt>
                <c:pt idx="570">
                  <c:v>6.1884496371931093</c:v>
                </c:pt>
                <c:pt idx="571">
                  <c:v>6.164567925276061</c:v>
                </c:pt>
                <c:pt idx="572">
                  <c:v>6.1407514346113707</c:v>
                </c:pt>
                <c:pt idx="573">
                  <c:v>6.1169998067735731</c:v>
                </c:pt>
                <c:pt idx="574">
                  <c:v>6.0933126862832756</c:v>
                </c:pt>
                <c:pt idx="575">
                  <c:v>6.0696897205749138</c:v>
                </c:pt>
                <c:pt idx="576">
                  <c:v>6.0461305599649409</c:v>
                </c:pt>
                <c:pt idx="577">
                  <c:v>6.0226348576204458</c:v>
                </c:pt>
                <c:pt idx="578">
                  <c:v>5.9992022695282143</c:v>
                </c:pt>
                <c:pt idx="579">
                  <c:v>5.9758324544641805</c:v>
                </c:pt>
                <c:pt idx="580">
                  <c:v>5.95252507396334</c:v>
                </c:pt>
                <c:pt idx="581">
                  <c:v>5.9292797922899965</c:v>
                </c:pt>
                <c:pt idx="582">
                  <c:v>5.906096276408487</c:v>
                </c:pt>
                <c:pt idx="583">
                  <c:v>5.8829741959542456</c:v>
                </c:pt>
                <c:pt idx="584">
                  <c:v>5.8599132232052735</c:v>
                </c:pt>
                <c:pt idx="585">
                  <c:v>5.83691303305398</c:v>
                </c:pt>
                <c:pt idx="586">
                  <c:v>5.8139733029794147</c:v>
                </c:pt>
                <c:pt idx="587">
                  <c:v>5.7910937130198539</c:v>
                </c:pt>
                <c:pt idx="588">
                  <c:v>5.7682739457457535</c:v>
                </c:pt>
                <c:pt idx="589">
                  <c:v>5.7455136862330525</c:v>
                </c:pt>
                <c:pt idx="590">
                  <c:v>5.7228126220368534</c:v>
                </c:pt>
                <c:pt idx="591">
                  <c:v>5.7001704431653941</c:v>
                </c:pt>
                <c:pt idx="592">
                  <c:v>5.677586842054434</c:v>
                </c:pt>
                <c:pt idx="593">
                  <c:v>5.6550615135419093</c:v>
                </c:pt>
                <c:pt idx="594">
                  <c:v>5.6325941548429492</c:v>
                </c:pt>
                <c:pt idx="595">
                  <c:v>5.6101844655252178</c:v>
                </c:pt>
                <c:pt idx="596">
                  <c:v>5.5878321474845638</c:v>
                </c:pt>
                <c:pt idx="597">
                  <c:v>5.5655369049209984</c:v>
                </c:pt>
                <c:pt idx="598">
                  <c:v>5.5432984443149502</c:v>
                </c:pt>
                <c:pt idx="599">
                  <c:v>5.5211164744038861</c:v>
                </c:pt>
                <c:pt idx="600">
                  <c:v>5.4989907061591659</c:v>
                </c:pt>
                <c:pt idx="601">
                  <c:v>5.4769208527632269</c:v>
                </c:pt>
                <c:pt idx="602">
                  <c:v>5.4549066295870743</c:v>
                </c:pt>
                <c:pt idx="603">
                  <c:v>5.4329477541680067</c:v>
                </c:pt>
                <c:pt idx="604">
                  <c:v>5.4110439461876858</c:v>
                </c:pt>
                <c:pt idx="605">
                  <c:v>5.3891949274504336</c:v>
                </c:pt>
                <c:pt idx="606">
                  <c:v>4.3610123238722807</c:v>
                </c:pt>
                <c:pt idx="607">
                  <c:v>3.4409663995393296</c:v>
                </c:pt>
                <c:pt idx="608">
                  <c:v>2.6082507780729931</c:v>
                </c:pt>
                <c:pt idx="609">
                  <c:v>1.8475299519375497</c:v>
                </c:pt>
                <c:pt idx="610">
                  <c:v>1.1471736505862993</c:v>
                </c:pt>
                <c:pt idx="611">
                  <c:v>0.4981510197373219</c:v>
                </c:pt>
                <c:pt idx="612">
                  <c:v>-0.10669093370565043</c:v>
                </c:pt>
                <c:pt idx="613">
                  <c:v>-0.6731145731922874</c:v>
                </c:pt>
                <c:pt idx="614">
                  <c:v>-1.2058303487302415</c:v>
                </c:pt>
                <c:pt idx="615">
                  <c:v>-1.7087382337596164</c:v>
                </c:pt>
                <c:pt idx="616">
                  <c:v>-2.1851036070923606</c:v>
                </c:pt>
                <c:pt idx="617">
                  <c:v>-2.6376878503843044</c:v>
                </c:pt>
                <c:pt idx="618">
                  <c:v>-2.8121222499170964</c:v>
                </c:pt>
                <c:pt idx="619">
                  <c:v>-2.9832536478549949</c:v>
                </c:pt>
                <c:pt idx="620">
                  <c:v>-3.1512107617254466</c:v>
                </c:pt>
                <c:pt idx="621">
                  <c:v>-3.3161150173322769</c:v>
                </c:pt>
                <c:pt idx="622">
                  <c:v>-3.4780810899681738</c:v>
                </c:pt>
                <c:pt idx="623">
                  <c:v>-3.6372173962072427</c:v>
                </c:pt>
                <c:pt idx="624">
                  <c:v>-3.7936265416068045</c:v>
                </c:pt>
                <c:pt idx="625">
                  <c:v>-3.9474057289880289</c:v>
                </c:pt>
                <c:pt idx="626">
                  <c:v>-4.0986471313968229</c:v>
                </c:pt>
                <c:pt idx="627">
                  <c:v>-4.2474382333561431</c:v>
                </c:pt>
                <c:pt idx="628">
                  <c:v>-4.3938621435966922</c:v>
                </c:pt>
                <c:pt idx="629">
                  <c:v>-4.5379978820847544</c:v>
                </c:pt>
                <c:pt idx="630">
                  <c:v>-4.6799206438456578</c:v>
                </c:pt>
                <c:pt idx="631">
                  <c:v>-4.8197020418019934</c:v>
                </c:pt>
                <c:pt idx="632">
                  <c:v>-4.9574103306018085</c:v>
                </c:pt>
                <c:pt idx="633">
                  <c:v>-5.0931106131979096</c:v>
                </c:pt>
                <c:pt idx="634">
                  <c:v>-5.2268650317517462</c:v>
                </c:pt>
                <c:pt idx="635">
                  <c:v>-5.3587329442702512</c:v>
                </c:pt>
                <c:pt idx="636">
                  <c:v>-5.4887710882381713</c:v>
                </c:pt>
                <c:pt idx="637">
                  <c:v>-5.617033732379979</c:v>
                </c:pt>
                <c:pt idx="638">
                  <c:v>-5.7435728175714127</c:v>
                </c:pt>
                <c:pt idx="639">
                  <c:v>-5.868438087819861</c:v>
                </c:pt>
                <c:pt idx="640">
                  <c:v>-5.9916772121429931</c:v>
                </c:pt>
                <c:pt idx="641">
                  <c:v>-6.1133358980954018</c:v>
                </c:pt>
                <c:pt idx="642">
                  <c:v>-6.2334579976215778</c:v>
                </c:pt>
                <c:pt idx="643">
                  <c:v>-6.3520856058503794</c:v>
                </c:pt>
                <c:pt idx="644">
                  <c:v>-6.4692591533890464</c:v>
                </c:pt>
                <c:pt idx="645">
                  <c:v>-6.5850174926241092</c:v>
                </c:pt>
                <c:pt idx="646">
                  <c:v>-6.6993979784907776</c:v>
                </c:pt>
                <c:pt idx="647">
                  <c:v>-6.8124365441315193</c:v>
                </c:pt>
                <c:pt idx="648">
                  <c:v>-6.9241677718274977</c:v>
                </c:pt>
                <c:pt idx="649">
                  <c:v>-7.0346249595534314</c:v>
                </c:pt>
                <c:pt idx="650">
                  <c:v>-7.1438401834764012</c:v>
                </c:pt>
                <c:pt idx="651">
                  <c:v>-7.2518443566919988</c:v>
                </c:pt>
                <c:pt idx="652">
                  <c:v>-7.3586672844668666</c:v>
                </c:pt>
                <c:pt idx="653">
                  <c:v>-7.4643377162342546</c:v>
                </c:pt>
                <c:pt idx="654">
                  <c:v>-7.5688833945693625</c:v>
                </c:pt>
                <c:pt idx="655">
                  <c:v>-7.6723311013527695</c:v>
                </c:pt>
                <c:pt idx="656">
                  <c:v>-7.774706701313808</c:v>
                </c:pt>
                <c:pt idx="657">
                  <c:v>-7.8760351831304849</c:v>
                </c:pt>
                <c:pt idx="658">
                  <c:v>-7.9763406982489364</c:v>
                </c:pt>
                <c:pt idx="659">
                  <c:v>-8.0756465975727636</c:v>
                </c:pt>
                <c:pt idx="660">
                  <c:v>-8.1739754661611936</c:v>
                </c:pt>
                <c:pt idx="661">
                  <c:v>-8.2713491560645345</c:v>
                </c:pt>
                <c:pt idx="662">
                  <c:v>-8.3677888174157538</c:v>
                </c:pt>
                <c:pt idx="663">
                  <c:v>-8.4633149278883817</c:v>
                </c:pt>
                <c:pt idx="664">
                  <c:v>-8.5579473206227838</c:v>
                </c:pt>
                <c:pt idx="665">
                  <c:v>-8.6517052107154662</c:v>
                </c:pt>
                <c:pt idx="666">
                  <c:v>-8.7446072203595069</c:v>
                </c:pt>
                <c:pt idx="667">
                  <c:v>-8.836671402717645</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-210.50844124668089</c:v>
                </c:pt>
                <c:pt idx="1">
                  <c:v>-229.65807222990631</c:v>
                </c:pt>
                <c:pt idx="2">
                  <c:v>-240.44352666195107</c:v>
                </c:pt>
                <c:pt idx="3">
                  <c:v>-246.91581195268571</c:v>
                </c:pt>
                <c:pt idx="4">
                  <c:v>-251.12455210745713</c:v>
                </c:pt>
                <c:pt idx="5">
                  <c:v>-254.04678291104656</c:v>
                </c:pt>
                <c:pt idx="6">
                  <c:v>-256.18053100457399</c:v>
                </c:pt>
                <c:pt idx="7">
                  <c:v>-257.80017289450899</c:v>
                </c:pt>
                <c:pt idx="8">
                  <c:v>-259.06752405967734</c:v>
                </c:pt>
                <c:pt idx="9">
                  <c:v>-260.08357807369458</c:v>
                </c:pt>
                <c:pt idx="10">
                  <c:v>-264.56406862315225</c:v>
                </c:pt>
                <c:pt idx="11">
                  <c:v>-265.87891564233138</c:v>
                </c:pt>
                <c:pt idx="12">
                  <c:v>-266.39058140699177</c:v>
                </c:pt>
                <c:pt idx="13">
                  <c:v>-266.57980385633277</c:v>
                </c:pt>
                <c:pt idx="14">
                  <c:v>-266.60757286489809</c:v>
                </c:pt>
                <c:pt idx="15">
                  <c:v>-266.54302393935802</c:v>
                </c:pt>
                <c:pt idx="16">
                  <c:v>-266.42076349297702</c:v>
                </c:pt>
                <c:pt idx="17">
                  <c:v>-266.26003134948701</c:v>
                </c:pt>
                <c:pt idx="18">
                  <c:v>-266.07237781373942</c:v>
                </c:pt>
                <c:pt idx="19">
                  <c:v>-263.60554679869557</c:v>
                </c:pt>
                <c:pt idx="20">
                  <c:v>-260.82330175848239</c:v>
                </c:pt>
                <c:pt idx="21">
                  <c:v>-257.97242020553222</c:v>
                </c:pt>
                <c:pt idx="22">
                  <c:v>-255.10539875500893</c:v>
                </c:pt>
                <c:pt idx="23">
                  <c:v>-252.24223412290047</c:v>
                </c:pt>
                <c:pt idx="24">
                  <c:v>-249.39351634875973</c:v>
                </c:pt>
                <c:pt idx="25">
                  <c:v>-246.56618480147017</c:v>
                </c:pt>
                <c:pt idx="26">
                  <c:v>-243.76543391384735</c:v>
                </c:pt>
                <c:pt idx="27">
                  <c:v>-240.99546640550921</c:v>
                </c:pt>
                <c:pt idx="28">
                  <c:v>-227.71600125164201</c:v>
                </c:pt>
                <c:pt idx="29">
                  <c:v>-215.57334357863573</c:v>
                </c:pt>
                <c:pt idx="30">
                  <c:v>-204.68806644933366</c:v>
                </c:pt>
                <c:pt idx="31">
                  <c:v>-195.05863425163534</c:v>
                </c:pt>
                <c:pt idx="32">
                  <c:v>-186.60790275191903</c:v>
                </c:pt>
                <c:pt idx="33">
                  <c:v>-179.22080042749133</c:v>
                </c:pt>
                <c:pt idx="34">
                  <c:v>-172.77018785946655</c:v>
                </c:pt>
                <c:pt idx="35">
                  <c:v>-167.1320776465011</c:v>
                </c:pt>
                <c:pt idx="36">
                  <c:v>-162.19322908859547</c:v>
                </c:pt>
                <c:pt idx="37">
                  <c:v>-157.85401512535105</c:v>
                </c:pt>
                <c:pt idx="38">
                  <c:v>-154.02867703737994</c:v>
                </c:pt>
                <c:pt idx="39">
                  <c:v>-150.64430561566675</c:v>
                </c:pt>
                <c:pt idx="40">
                  <c:v>-147.63931830752671</c:v>
                </c:pt>
                <c:pt idx="41">
                  <c:v>-144.9618393558558</c:v>
                </c:pt>
                <c:pt idx="42">
                  <c:v>-142.56817793900649</c:v>
                </c:pt>
                <c:pt idx="43">
                  <c:v>-140.42148303854162</c:v>
                </c:pt>
                <c:pt idx="44">
                  <c:v>-138.49059386869317</c:v>
                </c:pt>
                <c:pt idx="45">
                  <c:v>-136.74907630039067</c:v>
                </c:pt>
                <c:pt idx="46">
                  <c:v>-135.17442411629702</c:v>
                </c:pt>
                <c:pt idx="47">
                  <c:v>-133.74740086159048</c:v>
                </c:pt>
                <c:pt idx="48">
                  <c:v>-132.45149900420407</c:v>
                </c:pt>
                <c:pt idx="49">
                  <c:v>-131.27249572171701</c:v>
                </c:pt>
                <c:pt idx="50">
                  <c:v>-130.19808769975492</c:v>
                </c:pt>
                <c:pt idx="51">
                  <c:v>-129.21759029850756</c:v>
                </c:pt>
                <c:pt idx="52">
                  <c:v>-128.32168908798783</c:v>
                </c:pt>
                <c:pt idx="53">
                  <c:v>-127.50223400154471</c:v>
                </c:pt>
                <c:pt idx="54">
                  <c:v>-126.75206822083626</c:v>
                </c:pt>
                <c:pt idx="55">
                  <c:v>-126.06488542604357</c:v>
                </c:pt>
                <c:pt idx="56">
                  <c:v>-125.43511027420517</c:v>
                </c:pt>
                <c:pt idx="57">
                  <c:v>-124.85779795674392</c:v>
                </c:pt>
                <c:pt idx="58">
                  <c:v>-124.32854947963403</c:v>
                </c:pt>
                <c:pt idx="59">
                  <c:v>-123.84343994445672</c:v>
                </c:pt>
                <c:pt idx="60">
                  <c:v>-123.39895761736335</c:v>
                </c:pt>
                <c:pt idx="61">
                  <c:v>-122.99195198125145</c:v>
                </c:pt>
                <c:pt idx="62">
                  <c:v>-122.61958929474379</c:v>
                </c:pt>
                <c:pt idx="63">
                  <c:v>-122.27931444615183</c:v>
                </c:pt>
                <c:pt idx="64">
                  <c:v>-121.96881810443905</c:v>
                </c:pt>
                <c:pt idx="65">
                  <c:v>-121.68600834251814</c:v>
                </c:pt>
                <c:pt idx="66">
                  <c:v>-121.42898604913489</c:v>
                </c:pt>
                <c:pt idx="67">
                  <c:v>-121.19602356052339</c:v>
                </c:pt>
                <c:pt idx="68">
                  <c:v>-120.98554603706461</c:v>
                </c:pt>
                <c:pt idx="69">
                  <c:v>-120.79611518738358</c:v>
                </c:pt>
                <c:pt idx="70">
                  <c:v>-120.62641500590286</c:v>
                </c:pt>
                <c:pt idx="71">
                  <c:v>-120.47523924240609</c:v>
                </c:pt>
                <c:pt idx="72">
                  <c:v>-120.34148036570747</c:v>
                </c:pt>
                <c:pt idx="73">
                  <c:v>-120.224119819731</c:v>
                </c:pt>
                <c:pt idx="74">
                  <c:v>-120.12221940049866</c:v>
                </c:pt>
                <c:pt idx="75">
                  <c:v>-120.03491360778926</c:v>
                </c:pt>
                <c:pt idx="76">
                  <c:v>-119.96140284642618</c:v>
                </c:pt>
                <c:pt idx="77">
                  <c:v>-119.90094736998651</c:v>
                </c:pt>
                <c:pt idx="78">
                  <c:v>-119.85286187477828</c:v>
                </c:pt>
                <c:pt idx="79">
                  <c:v>-119.81651066466614</c:v>
                </c:pt>
                <c:pt idx="80">
                  <c:v>-119.79130331813479</c:v>
                </c:pt>
                <c:pt idx="81">
                  <c:v>-119.77669079817272</c:v>
                </c:pt>
                <c:pt idx="82">
                  <c:v>-119.77216195339975</c:v>
                </c:pt>
                <c:pt idx="83">
                  <c:v>-119.77724036556742</c:v>
                </c:pt>
                <c:pt idx="84">
                  <c:v>-119.79148150430831</c:v>
                </c:pt>
                <c:pt idx="85">
                  <c:v>-119.81447015494705</c:v>
                </c:pt>
                <c:pt idx="86">
                  <c:v>-119.84581808943875</c:v>
                </c:pt>
                <c:pt idx="87">
                  <c:v>-119.88516195417034</c:v>
                </c:pt>
                <c:pt idx="88">
                  <c:v>-119.9321613515344</c:v>
                </c:pt>
                <c:pt idx="89">
                  <c:v>-119.98649709493696</c:v>
                </c:pt>
                <c:pt idx="90">
                  <c:v>-120.04786961929108</c:v>
                </c:pt>
                <c:pt idx="91">
                  <c:v>-120.11599753112878</c:v>
                </c:pt>
                <c:pt idx="92">
                  <c:v>-120.19061628427805</c:v>
                </c:pt>
                <c:pt idx="93">
                  <c:v>-120.27147696863673</c:v>
                </c:pt>
                <c:pt idx="94">
                  <c:v>-120.35834520096442</c:v>
                </c:pt>
                <c:pt idx="95">
                  <c:v>-120.45100010782984</c:v>
                </c:pt>
                <c:pt idx="96">
                  <c:v>-120.54923339192081</c:v>
                </c:pt>
                <c:pt idx="97">
                  <c:v>-120.65284847386596</c:v>
                </c:pt>
                <c:pt idx="98">
                  <c:v>-120.76165970254684</c:v>
                </c:pt>
                <c:pt idx="99">
                  <c:v>-120.87549162761238</c:v>
                </c:pt>
                <c:pt idx="100">
                  <c:v>-120.99417832855553</c:v>
                </c:pt>
                <c:pt idx="101">
                  <c:v>-121.11756279528694</c:v>
                </c:pt>
                <c:pt idx="102">
                  <c:v>-121.24549635564988</c:v>
                </c:pt>
                <c:pt idx="103">
                  <c:v>-121.37783814577311</c:v>
                </c:pt>
                <c:pt idx="104">
                  <c:v>-121.51445461956246</c:v>
                </c:pt>
                <c:pt idx="105">
                  <c:v>-121.65521909398967</c:v>
                </c:pt>
                <c:pt idx="106">
                  <c:v>-121.80001132715938</c:v>
                </c:pt>
                <c:pt idx="107">
                  <c:v>-121.94871712641972</c:v>
                </c:pt>
                <c:pt idx="108">
                  <c:v>-122.10122798404001</c:v>
                </c:pt>
                <c:pt idx="109">
                  <c:v>-122.25744073820763</c:v>
                </c:pt>
                <c:pt idx="110">
                  <c:v>-122.41725725730299</c:v>
                </c:pt>
                <c:pt idx="111">
                  <c:v>-122.58058414559639</c:v>
                </c:pt>
                <c:pt idx="112">
                  <c:v>-122.74733246867649</c:v>
                </c:pt>
                <c:pt idx="113">
                  <c:v>-122.91741749707205</c:v>
                </c:pt>
                <c:pt idx="114">
                  <c:v>-123.09075846666073</c:v>
                </c:pt>
                <c:pt idx="115">
                  <c:v>-123.26727835458389</c:v>
                </c:pt>
                <c:pt idx="116">
                  <c:v>-123.44690366949452</c:v>
                </c:pt>
                <c:pt idx="117">
                  <c:v>-123.6295642550661</c:v>
                </c:pt>
                <c:pt idx="118">
                  <c:v>-123.81519310578011</c:v>
                </c:pt>
                <c:pt idx="119">
                  <c:v>-124.00372619409254</c:v>
                </c:pt>
                <c:pt idx="120">
                  <c:v>-124.19510230815283</c:v>
                </c:pt>
                <c:pt idx="121">
                  <c:v>-124.38926289931752</c:v>
                </c:pt>
                <c:pt idx="122">
                  <c:v>-124.58615193876136</c:v>
                </c:pt>
                <c:pt idx="123">
                  <c:v>-124.78571578254508</c:v>
                </c:pt>
                <c:pt idx="124">
                  <c:v>-124.98790304454943</c:v>
                </c:pt>
                <c:pt idx="125">
                  <c:v>-125.19266447673203</c:v>
                </c:pt>
                <c:pt idx="126">
                  <c:v>-125.3999528562058</c:v>
                </c:pt>
                <c:pt idx="127">
                  <c:v>-125.60972287867614</c:v>
                </c:pt>
                <c:pt idx="128">
                  <c:v>-125.82193105780986</c:v>
                </c:pt>
                <c:pt idx="129">
                  <c:v>-126.03653563014166</c:v>
                </c:pt>
                <c:pt idx="130">
                  <c:v>-126.25349646515187</c:v>
                </c:pt>
                <c:pt idx="131">
                  <c:v>-126.47277498017922</c:v>
                </c:pt>
                <c:pt idx="132">
                  <c:v>-126.69433405985467</c:v>
                </c:pt>
                <c:pt idx="133">
                  <c:v>-126.91813797976704</c:v>
                </c:pt>
                <c:pt idx="134">
                  <c:v>-127.14415233409133</c:v>
                </c:pt>
                <c:pt idx="135">
                  <c:v>-127.37234396693088</c:v>
                </c:pt>
                <c:pt idx="136">
                  <c:v>-127.60268090714132</c:v>
                </c:pt>
                <c:pt idx="137">
                  <c:v>-127.83513230642154</c:v>
                </c:pt>
                <c:pt idx="138">
                  <c:v>-128.069668380472</c:v>
                </c:pt>
                <c:pt idx="139">
                  <c:v>-128.30626035303402</c:v>
                </c:pt>
                <c:pt idx="140">
                  <c:v>-128.54488040263797</c:v>
                </c:pt>
                <c:pt idx="141">
                  <c:v>-128.78550161189821</c:v>
                </c:pt>
                <c:pt idx="142">
                  <c:v>-129.02809791920606</c:v>
                </c:pt>
                <c:pt idx="143">
                  <c:v>-129.27264407268041</c:v>
                </c:pt>
                <c:pt idx="144">
                  <c:v>-129.51911558624568</c:v>
                </c:pt>
                <c:pt idx="145">
                  <c:v>-129.76748869771646</c:v>
                </c:pt>
                <c:pt idx="146">
                  <c:v>-130.01774032877429</c:v>
                </c:pt>
                <c:pt idx="147">
                  <c:v>-130.26984804673219</c:v>
                </c:pt>
                <c:pt idx="148">
                  <c:v>-130.52379002798705</c:v>
                </c:pt>
                <c:pt idx="149">
                  <c:v>-130.77954502306849</c:v>
                </c:pt>
                <c:pt idx="150">
                  <c:v>-131.03709232319764</c:v>
                </c:pt>
                <c:pt idx="151">
                  <c:v>-131.29641172827539</c:v>
                </c:pt>
                <c:pt idx="152">
                  <c:v>-131.55748351622475</c:v>
                </c:pt>
                <c:pt idx="153">
                  <c:v>-131.82028841361733</c:v>
                </c:pt>
                <c:pt idx="154">
                  <c:v>-132.08480756751786</c:v>
                </c:pt>
                <c:pt idx="155">
                  <c:v>-132.35102251848477</c:v>
                </c:pt>
                <c:pt idx="156">
                  <c:v>-132.61891517467052</c:v>
                </c:pt>
                <c:pt idx="157">
                  <c:v>-132.88846778696615</c:v>
                </c:pt>
                <c:pt idx="158">
                  <c:v>-133.15966292514105</c:v>
                </c:pt>
                <c:pt idx="159">
                  <c:v>-133.43248345492989</c:v>
                </c:pt>
                <c:pt idx="160">
                  <c:v>-133.70691251602295</c:v>
                </c:pt>
                <c:pt idx="161">
                  <c:v>-133.98293350091836</c:v>
                </c:pt>
                <c:pt idx="162">
                  <c:v>-134.26053003459776</c:v>
                </c:pt>
                <c:pt idx="163">
                  <c:v>-134.53968595498907</c:v>
                </c:pt>
                <c:pt idx="164">
                  <c:v>-134.82038529418236</c:v>
                </c:pt>
                <c:pt idx="165">
                  <c:v>-135.10261226036727</c:v>
                </c:pt>
                <c:pt idx="166">
                  <c:v>-135.38635122046281</c:v>
                </c:pt>
                <c:pt idx="167">
                  <c:v>-135.67158668341065</c:v>
                </c:pt>
                <c:pt idx="168">
                  <c:v>-135.95830328410693</c:v>
                </c:pt>
                <c:pt idx="169">
                  <c:v>-136.2464857679484</c:v>
                </c:pt>
                <c:pt idx="170">
                  <c:v>-136.53611897596926</c:v>
                </c:pt>
                <c:pt idx="171">
                  <c:v>-136.82718783054861</c:v>
                </c:pt>
                <c:pt idx="172">
                  <c:v>-137.11967732166787</c:v>
                </c:pt>
                <c:pt idx="173">
                  <c:v>-137.41357249370037</c:v>
                </c:pt>
                <c:pt idx="174">
                  <c:v>-137.70885843271495</c:v>
                </c:pt>
                <c:pt idx="175">
                  <c:v>-138.00552025427854</c:v>
                </c:pt>
                <c:pt idx="176">
                  <c:v>-138.3035430917418</c:v>
                </c:pt>
                <c:pt idx="177">
                  <c:v>-138.60291208499396</c:v>
                </c:pt>
                <c:pt idx="178">
                  <c:v>-138.90361236967422</c:v>
                </c:pt>
                <c:pt idx="179">
                  <c:v>-139.20562906682682</c:v>
                </c:pt>
                <c:pt idx="180">
                  <c:v>-139.50894727298882</c:v>
                </c:pt>
                <c:pt idx="181">
                  <c:v>-139.81355205070003</c:v>
                </c:pt>
                <c:pt idx="182">
                  <c:v>-140.11942841942474</c:v>
                </c:pt>
                <c:pt idx="183">
                  <c:v>-140.42656134687667</c:v>
                </c:pt>
                <c:pt idx="184">
                  <c:v>-140.73493574073794</c:v>
                </c:pt>
                <c:pt idx="185">
                  <c:v>-141.04453644076443</c:v>
                </c:pt>
                <c:pt idx="186">
                  <c:v>-141.35534821126987</c:v>
                </c:pt>
                <c:pt idx="187">
                  <c:v>-141.66735573398199</c:v>
                </c:pt>
                <c:pt idx="188">
                  <c:v>-141.98054360126361</c:v>
                </c:pt>
                <c:pt idx="189">
                  <c:v>-142.29489630969374</c:v>
                </c:pt>
                <c:pt idx="190">
                  <c:v>-142.6103982540011</c:v>
                </c:pt>
                <c:pt idx="191">
                  <c:v>-142.92703372134716</c:v>
                </c:pt>
                <c:pt idx="192">
                  <c:v>-143.24478688595156</c:v>
                </c:pt>
                <c:pt idx="193">
                  <c:v>-143.5636418040564</c:v>
                </c:pt>
                <c:pt idx="194">
                  <c:v>-143.8835824092248</c:v>
                </c:pt>
                <c:pt idx="195">
                  <c:v>-144.20459250796921</c:v>
                </c:pt>
                <c:pt idx="196">
                  <c:v>-144.52665577570562</c:v>
                </c:pt>
                <c:pt idx="197">
                  <c:v>-144.84975575303014</c:v>
                </c:pt>
                <c:pt idx="198">
                  <c:v>-145.173875842314</c:v>
                </c:pt>
                <c:pt idx="199">
                  <c:v>-145.49899930461379</c:v>
                </c:pt>
                <c:pt idx="200">
                  <c:v>-145.82510925689286</c:v>
                </c:pt>
                <c:pt idx="201">
                  <c:v>-146.15218866955178</c:v>
                </c:pt>
                <c:pt idx="202">
                  <c:v>-146.48022036426343</c:v>
                </c:pt>
                <c:pt idx="203">
                  <c:v>-146.80918701211067</c:v>
                </c:pt>
                <c:pt idx="204">
                  <c:v>-147.13907113202225</c:v>
                </c:pt>
                <c:pt idx="205">
                  <c:v>-147.46985508950507</c:v>
                </c:pt>
                <c:pt idx="206">
                  <c:v>-147.80152109566896</c:v>
                </c:pt>
                <c:pt idx="207">
                  <c:v>-148.13405120654093</c:v>
                </c:pt>
                <c:pt idx="208">
                  <c:v>-148.467427322666</c:v>
                </c:pt>
                <c:pt idx="209">
                  <c:v>-148.80163118899131</c:v>
                </c:pt>
                <c:pt idx="210">
                  <c:v>-149.13664439502975</c:v>
                </c:pt>
                <c:pt idx="211">
                  <c:v>-149.47244837530087</c:v>
                </c:pt>
                <c:pt idx="212">
                  <c:v>-149.80902441004429</c:v>
                </c:pt>
                <c:pt idx="213">
                  <c:v>-150.14635362620328</c:v>
                </c:pt>
                <c:pt idx="214">
                  <c:v>-150.48441699867405</c:v>
                </c:pt>
                <c:pt idx="215">
                  <c:v>-150.82319535181728</c:v>
                </c:pt>
                <c:pt idx="216">
                  <c:v>-151.16266936122821</c:v>
                </c:pt>
                <c:pt idx="217">
                  <c:v>-151.50281955576085</c:v>
                </c:pt>
                <c:pt idx="218">
                  <c:v>-151.84362631980235</c:v>
                </c:pt>
                <c:pt idx="219">
                  <c:v>-152.18506989579333</c:v>
                </c:pt>
                <c:pt idx="220">
                  <c:v>-152.52713038698931</c:v>
                </c:pt>
                <c:pt idx="221">
                  <c:v>-152.86978776045896</c:v>
                </c:pt>
                <c:pt idx="222">
                  <c:v>-153.21302185031436</c:v>
                </c:pt>
                <c:pt idx="223">
                  <c:v>-153.55681236116763</c:v>
                </c:pt>
                <c:pt idx="224">
                  <c:v>-153.90113887180974</c:v>
                </c:pt>
                <c:pt idx="225">
                  <c:v>-154.24598083910553</c:v>
                </c:pt>
                <c:pt idx="226">
                  <c:v>-157.71815277626013</c:v>
                </c:pt>
                <c:pt idx="227">
                  <c:v>-161.21854996412978</c:v>
                </c:pt>
                <c:pt idx="228">
                  <c:v>-164.72542779570571</c:v>
                </c:pt>
                <c:pt idx="229">
                  <c:v>-168.21710575018827</c:v>
                </c:pt>
                <c:pt idx="230">
                  <c:v>-171.67266599640922</c:v>
                </c:pt>
                <c:pt idx="231">
                  <c:v>-175.07262439465589</c:v>
                </c:pt>
                <c:pt idx="232">
                  <c:v>-178.39950498452222</c:v>
                </c:pt>
                <c:pt idx="233">
                  <c:v>-181.63826829857737</c:v>
                </c:pt>
                <c:pt idx="234">
                  <c:v>-184.77656827689964</c:v>
                </c:pt>
                <c:pt idx="235">
                  <c:v>-187.80483696794778</c:v>
                </c:pt>
                <c:pt idx="236">
                  <c:v>-190.71621614661359</c:v>
                </c:pt>
                <c:pt idx="237">
                  <c:v>-193.50636789405291</c:v>
                </c:pt>
                <c:pt idx="238">
                  <c:v>-196.17320161188783</c:v>
                </c:pt>
                <c:pt idx="239">
                  <c:v>-198.71655407339483</c:v>
                </c:pt>
                <c:pt idx="240">
                  <c:v>-201.13785398207787</c:v>
                </c:pt>
                <c:pt idx="241">
                  <c:v>-203.4397952497531</c:v>
                </c:pt>
                <c:pt idx="242">
                  <c:v>-205.62603556709749</c:v>
                </c:pt>
                <c:pt idx="243">
                  <c:v>-207.70092997423052</c:v>
                </c:pt>
                <c:pt idx="244">
                  <c:v>-209.66930363151602</c:v>
                </c:pt>
                <c:pt idx="245">
                  <c:v>-211.53626398993421</c:v>
                </c:pt>
                <c:pt idx="246">
                  <c:v>-213.30704994206138</c:v>
                </c:pt>
                <c:pt idx="247">
                  <c:v>-214.98691404273904</c:v>
                </c:pt>
                <c:pt idx="248">
                  <c:v>-216.58103323303968</c:v>
                </c:pt>
                <c:pt idx="249">
                  <c:v>-218.09444341586337</c:v>
                </c:pt>
                <c:pt idx="250">
                  <c:v>-219.53199349953493</c:v>
                </c:pt>
                <c:pt idx="251">
                  <c:v>-220.89831498522551</c:v>
                </c:pt>
                <c:pt idx="252">
                  <c:v>-222.1978037127837</c:v>
                </c:pt>
                <c:pt idx="253">
                  <c:v>-223.43461092562791</c:v>
                </c:pt>
                <c:pt idx="254">
                  <c:v>-224.61264132654901</c:v>
                </c:pt>
                <c:pt idx="255">
                  <c:v>-225.7355562511554</c:v>
                </c:pt>
                <c:pt idx="256">
                  <c:v>-226.8067804763661</c:v>
                </c:pt>
                <c:pt idx="257">
                  <c:v>-227.82951150815424</c:v>
                </c:pt>
                <c:pt idx="258">
                  <c:v>-228.80673046056103</c:v>
                </c:pt>
                <c:pt idx="259">
                  <c:v>-229.7412138538686</c:v>
                </c:pt>
                <c:pt idx="260">
                  <c:v>-230.63554583140609</c:v>
                </c:pt>
                <c:pt idx="261">
                  <c:v>-231.49213042919672</c:v>
                </c:pt>
                <c:pt idx="262">
                  <c:v>-232.31320363727593</c:v>
                </c:pt>
                <c:pt idx="263">
                  <c:v>-233.100845071892</c:v>
                </c:pt>
                <c:pt idx="264">
                  <c:v>-233.85698913889144</c:v>
                </c:pt>
                <c:pt idx="265">
                  <c:v>-234.58343561449956</c:v>
                </c:pt>
                <c:pt idx="266">
                  <c:v>-235.28185960375674</c:v>
                </c:pt>
                <c:pt idx="267">
                  <c:v>-235.95382086175084</c:v>
                </c:pt>
                <c:pt idx="268">
                  <c:v>-236.60077248061782</c:v>
                </c:pt>
                <c:pt idx="269">
                  <c:v>-237.2240689577485</c:v>
                </c:pt>
                <c:pt idx="270">
                  <c:v>-237.82497366904764</c:v>
                </c:pt>
                <c:pt idx="271">
                  <c:v>-238.40466577646566</c:v>
                </c:pt>
                <c:pt idx="272">
                  <c:v>-238.96424660214677</c:v>
                </c:pt>
                <c:pt idx="273">
                  <c:v>-239.50474550301738</c:v>
                </c:pt>
                <c:pt idx="274">
                  <c:v>-240.02712527993492</c:v>
                </c:pt>
                <c:pt idx="275">
                  <c:v>-240.53228715498068</c:v>
                </c:pt>
                <c:pt idx="276">
                  <c:v>-241.02107534937429</c:v>
                </c:pt>
                <c:pt idx="277">
                  <c:v>-241.49428129300711</c:v>
                </c:pt>
                <c:pt idx="278">
                  <c:v>-241.95264749488814</c:v>
                </c:pt>
                <c:pt idx="279">
                  <c:v>-242.39687110196832</c:v>
                </c:pt>
                <c:pt idx="280">
                  <c:v>-242.8276071719433</c:v>
                </c:pt>
                <c:pt idx="281">
                  <c:v>-243.24547168377708</c:v>
                </c:pt>
                <c:pt idx="282">
                  <c:v>-243.65104430788423</c:v>
                </c:pt>
                <c:pt idx="283">
                  <c:v>-244.04487095617736</c:v>
                </c:pt>
                <c:pt idx="284">
                  <c:v>-244.42746613054652</c:v>
                </c:pt>
                <c:pt idx="285">
                  <c:v>-244.7993150867969</c:v>
                </c:pt>
                <c:pt idx="286">
                  <c:v>-245.16087582963598</c:v>
                </c:pt>
                <c:pt idx="287">
                  <c:v>-245.51258095296737</c:v>
                </c:pt>
                <c:pt idx="288">
                  <c:v>-245.85483933851899</c:v>
                </c:pt>
                <c:pt idx="289">
                  <c:v>-246.18803772470096</c:v>
                </c:pt>
                <c:pt idx="290">
                  <c:v>-246.5125421565493</c:v>
                </c:pt>
                <c:pt idx="291">
                  <c:v>-246.82869932665886</c:v>
                </c:pt>
                <c:pt idx="292">
                  <c:v>-247.13683781614208</c:v>
                </c:pt>
                <c:pt idx="293">
                  <c:v>-247.43726924385291</c:v>
                </c:pt>
                <c:pt idx="294">
                  <c:v>-247.73028933139528</c:v>
                </c:pt>
                <c:pt idx="295">
                  <c:v>-248.01617889077392</c:v>
                </c:pt>
                <c:pt idx="296">
                  <c:v>-248.29520474094693</c:v>
                </c:pt>
                <c:pt idx="297">
                  <c:v>-248.56762055899384</c:v>
                </c:pt>
                <c:pt idx="298">
                  <c:v>-248.8336676711161</c:v>
                </c:pt>
                <c:pt idx="299">
                  <c:v>-249.093575788236</c:v>
                </c:pt>
                <c:pt idx="300">
                  <c:v>-249.34756369054986</c:v>
                </c:pt>
                <c:pt idx="301">
                  <c:v>-249.59583986501826</c:v>
                </c:pt>
                <c:pt idx="302">
                  <c:v>-249.83860309943626</c:v>
                </c:pt>
                <c:pt idx="303">
                  <c:v>-250.07604303641872</c:v>
                </c:pt>
                <c:pt idx="304">
                  <c:v>-250.3083406903549</c:v>
                </c:pt>
                <c:pt idx="305">
                  <c:v>-250.53566893013016</c:v>
                </c:pt>
                <c:pt idx="306">
                  <c:v>-250.75819293018162</c:v>
                </c:pt>
                <c:pt idx="307">
                  <c:v>-250.97607059224072</c:v>
                </c:pt>
                <c:pt idx="308">
                  <c:v>-251.18945293992473</c:v>
                </c:pt>
                <c:pt idx="309">
                  <c:v>-251.39848448816116</c:v>
                </c:pt>
                <c:pt idx="310">
                  <c:v>-251.6033035892699</c:v>
                </c:pt>
                <c:pt idx="311">
                  <c:v>-251.80404275738155</c:v>
                </c:pt>
                <c:pt idx="312">
                  <c:v>-252.00082897273535</c:v>
                </c:pt>
                <c:pt idx="313">
                  <c:v>-252.19378396727899</c:v>
                </c:pt>
                <c:pt idx="314">
                  <c:v>-252.38302449288119</c:v>
                </c:pt>
                <c:pt idx="315">
                  <c:v>-252.56866257336458</c:v>
                </c:pt>
                <c:pt idx="316">
                  <c:v>-252.7508057414741</c:v>
                </c:pt>
                <c:pt idx="317">
                  <c:v>-252.92955726181017</c:v>
                </c:pt>
                <c:pt idx="318">
                  <c:v>-253.10501634067714</c:v>
                </c:pt>
                <c:pt idx="319">
                  <c:v>-253.27727832372619</c:v>
                </c:pt>
                <c:pt idx="320">
                  <c:v>-253.44643488220566</c:v>
                </c:pt>
                <c:pt idx="321">
                  <c:v>-253.61257418857124</c:v>
                </c:pt>
                <c:pt idx="322">
                  <c:v>-253.775781082153</c:v>
                </c:pt>
                <c:pt idx="323">
                  <c:v>-253.93613722552465</c:v>
                </c:pt>
                <c:pt idx="324">
                  <c:v>-254.09372125217507</c:v>
                </c:pt>
                <c:pt idx="325">
                  <c:v>-254.248608906036</c:v>
                </c:pt>
                <c:pt idx="326">
                  <c:v>-254.40087317338356</c:v>
                </c:pt>
                <c:pt idx="327">
                  <c:v>-254.55058440759103</c:v>
                </c:pt>
                <c:pt idx="328">
                  <c:v>-254.6978104471801</c:v>
                </c:pt>
                <c:pt idx="329">
                  <c:v>-254.84261672758328</c:v>
                </c:pt>
                <c:pt idx="330">
                  <c:v>-254.98506638700388</c:v>
                </c:pt>
                <c:pt idx="331">
                  <c:v>-255.12522036673204</c:v>
                </c:pt>
                <c:pt idx="332">
                  <c:v>-255.26313750625138</c:v>
                </c:pt>
                <c:pt idx="333">
                  <c:v>-255.39887463344832</c:v>
                </c:pt>
                <c:pt idx="334">
                  <c:v>-255.53248665021368</c:v>
                </c:pt>
                <c:pt idx="335">
                  <c:v>-255.66402661370927</c:v>
                </c:pt>
                <c:pt idx="336">
                  <c:v>-255.79354581355139</c:v>
                </c:pt>
                <c:pt idx="337">
                  <c:v>-255.92109384514919</c:v>
                </c:pt>
                <c:pt idx="338">
                  <c:v>-256.04671867941767</c:v>
                </c:pt>
                <c:pt idx="339">
                  <c:v>-256.17046672907361</c:v>
                </c:pt>
                <c:pt idx="340">
                  <c:v>-256.29238291170611</c:v>
                </c:pt>
                <c:pt idx="341">
                  <c:v>-256.41251070980525</c:v>
                </c:pt>
                <c:pt idx="342">
                  <c:v>-256.53089222791613</c:v>
                </c:pt>
                <c:pt idx="343">
                  <c:v>-256.64756824707888</c:v>
                </c:pt>
                <c:pt idx="344">
                  <c:v>-256.76257827670287</c:v>
                </c:pt>
                <c:pt idx="345">
                  <c:v>-256.8759606040158</c:v>
                </c:pt>
                <c:pt idx="346">
                  <c:v>-256.98775234121763</c:v>
                </c:pt>
                <c:pt idx="347">
                  <c:v>-257.0979894704634</c:v>
                </c:pt>
                <c:pt idx="348">
                  <c:v>-257.20670688679064</c:v>
                </c:pt>
                <c:pt idx="349">
                  <c:v>-257.31393843909956</c:v>
                </c:pt>
                <c:pt idx="350">
                  <c:v>-257.4197169692888</c:v>
                </c:pt>
                <c:pt idx="351">
                  <c:v>-257.52407434964232</c:v>
                </c:pt>
                <c:pt idx="352">
                  <c:v>-257.62704151855877</c:v>
                </c:pt>
                <c:pt idx="353">
                  <c:v>-257.72864851470729</c:v>
                </c:pt>
                <c:pt idx="354">
                  <c:v>-257.82892450969126</c:v>
                </c:pt>
                <c:pt idx="355">
                  <c:v>-257.92789783929447</c:v>
                </c:pt>
                <c:pt idx="356">
                  <c:v>-258.02559603338193</c:v>
                </c:pt>
                <c:pt idx="357">
                  <c:v>-258.12204584452167</c:v>
                </c:pt>
                <c:pt idx="358">
                  <c:v>-258.21727327539156</c:v>
                </c:pt>
                <c:pt idx="359">
                  <c:v>-258.31130360503056</c:v>
                </c:pt>
                <c:pt idx="360">
                  <c:v>-258.40416141399123</c:v>
                </c:pt>
                <c:pt idx="361">
                  <c:v>-258.49587060844635</c:v>
                </c:pt>
                <c:pt idx="362">
                  <c:v>-258.58645444330079</c:v>
                </c:pt>
                <c:pt idx="363">
                  <c:v>-258.67593554435587</c:v>
                </c:pt>
                <c:pt idx="364">
                  <c:v>-258.76433592957079</c:v>
                </c:pt>
                <c:pt idx="365">
                  <c:v>-258.85167702946524</c:v>
                </c:pt>
                <c:pt idx="366">
                  <c:v>-258.93797970670153</c:v>
                </c:pt>
                <c:pt idx="367">
                  <c:v>-259.02326427488646</c:v>
                </c:pt>
                <c:pt idx="368">
                  <c:v>-259.10755051662761</c:v>
                </c:pt>
                <c:pt idx="369">
                  <c:v>-259.19085770087918</c:v>
                </c:pt>
                <c:pt idx="370">
                  <c:v>-259.27320459960924</c:v>
                </c:pt>
                <c:pt idx="371">
                  <c:v>-259.35460950381986</c:v>
                </c:pt>
                <c:pt idx="372">
                  <c:v>-259.43509023894899</c:v>
                </c:pt>
                <c:pt idx="373">
                  <c:v>-259.51466417968157</c:v>
                </c:pt>
                <c:pt idx="374">
                  <c:v>-259.59334826419672</c:v>
                </c:pt>
                <c:pt idx="375">
                  <c:v>-259.67115900787559</c:v>
                </c:pt>
                <c:pt idx="376">
                  <c:v>-259.74811251649339</c:v>
                </c:pt>
                <c:pt idx="377">
                  <c:v>-259.82422449891908</c:v>
                </c:pt>
                <c:pt idx="378">
                  <c:v>-259.89951027934273</c:v>
                </c:pt>
                <c:pt idx="379">
                  <c:v>-259.97398480905235</c:v>
                </c:pt>
                <c:pt idx="380">
                  <c:v>-260.04766267777831</c:v>
                </c:pt>
                <c:pt idx="381">
                  <c:v>-260.12055812462472</c:v>
                </c:pt>
                <c:pt idx="382">
                  <c:v>-260.19268504860435</c:v>
                </c:pt>
                <c:pt idx="383">
                  <c:v>-260.26405701879514</c:v>
                </c:pt>
                <c:pt idx="384">
                  <c:v>-260.33468728413231</c:v>
                </c:pt>
                <c:pt idx="385">
                  <c:v>-260.40458878285301</c:v>
                </c:pt>
                <c:pt idx="386">
                  <c:v>-260.47377415160673</c:v>
                </c:pt>
                <c:pt idx="387">
                  <c:v>-260.54225573424571</c:v>
                </c:pt>
                <c:pt idx="388">
                  <c:v>-260.61004559030812</c:v>
                </c:pt>
                <c:pt idx="389">
                  <c:v>-260.67715550320708</c:v>
                </c:pt>
                <c:pt idx="390">
                  <c:v>-260.7435969881364</c:v>
                </c:pt>
                <c:pt idx="391">
                  <c:v>-260.80938129970559</c:v>
                </c:pt>
                <c:pt idx="392">
                  <c:v>-260.87451943931421</c:v>
                </c:pt>
                <c:pt idx="393">
                  <c:v>-260.93902216227571</c:v>
                </c:pt>
                <c:pt idx="394">
                  <c:v>-261.00289998470163</c:v>
                </c:pt>
                <c:pt idx="395">
                  <c:v>-261.06616319015427</c:v>
                </c:pt>
                <c:pt idx="396">
                  <c:v>-261.12882183607843</c:v>
                </c:pt>
                <c:pt idx="397">
                  <c:v>-261.19088576001877</c:v>
                </c:pt>
                <c:pt idx="398">
                  <c:v>-261.25236458563319</c:v>
                </c:pt>
                <c:pt idx="399">
                  <c:v>-261.31326772850883</c:v>
                </c:pt>
                <c:pt idx="400">
                  <c:v>-261.37360440178782</c:v>
                </c:pt>
                <c:pt idx="401">
                  <c:v>-261.4333836216116</c:v>
                </c:pt>
                <c:pt idx="402">
                  <c:v>-261.49261421238896</c:v>
                </c:pt>
                <c:pt idx="403">
                  <c:v>-261.5513048118957</c:v>
                </c:pt>
                <c:pt idx="404">
                  <c:v>-261.60946387621118</c:v>
                </c:pt>
                <c:pt idx="405">
                  <c:v>-261.66709968449845</c:v>
                </c:pt>
                <c:pt idx="406">
                  <c:v>-261.72422034363382</c:v>
                </c:pt>
                <c:pt idx="407">
                  <c:v>-261.78083379269094</c:v>
                </c:pt>
                <c:pt idx="408">
                  <c:v>-261.83694780728484</c:v>
                </c:pt>
                <c:pt idx="409">
                  <c:v>-261.8925700037812</c:v>
                </c:pt>
                <c:pt idx="410">
                  <c:v>-261.94770784337572</c:v>
                </c:pt>
                <c:pt idx="411">
                  <c:v>-262.002368636048</c:v>
                </c:pt>
                <c:pt idx="412">
                  <c:v>-262.05655954439482</c:v>
                </c:pt>
                <c:pt idx="413">
                  <c:v>-262.11028758734642</c:v>
                </c:pt>
                <c:pt idx="414">
                  <c:v>-262.16355964377112</c:v>
                </c:pt>
                <c:pt idx="415">
                  <c:v>-262.21638245597057</c:v>
                </c:pt>
                <c:pt idx="416">
                  <c:v>-262.26876263307133</c:v>
                </c:pt>
                <c:pt idx="417">
                  <c:v>-262.32070665431456</c:v>
                </c:pt>
                <c:pt idx="418">
                  <c:v>-262.37222087224882</c:v>
                </c:pt>
                <c:pt idx="419">
                  <c:v>-262.42331151582852</c:v>
                </c:pt>
                <c:pt idx="420">
                  <c:v>-262.47398469342147</c:v>
                </c:pt>
                <c:pt idx="421">
                  <c:v>-262.5242463957286</c:v>
                </c:pt>
                <c:pt idx="422">
                  <c:v>-262.57410249861903</c:v>
                </c:pt>
                <c:pt idx="423">
                  <c:v>-262.62355876588316</c:v>
                </c:pt>
                <c:pt idx="424">
                  <c:v>-262.6726208519064</c:v>
                </c:pt>
                <c:pt idx="425">
                  <c:v>-262.72129430426662</c:v>
                </c:pt>
                <c:pt idx="426">
                  <c:v>-262.76958456625755</c:v>
                </c:pt>
                <c:pt idx="427">
                  <c:v>-262.8174969793406</c:v>
                </c:pt>
                <c:pt idx="428">
                  <c:v>-262.86503678552737</c:v>
                </c:pt>
                <c:pt idx="429">
                  <c:v>-262.9122091296959</c:v>
                </c:pt>
                <c:pt idx="430">
                  <c:v>-262.9590190618415</c:v>
                </c:pt>
                <c:pt idx="431">
                  <c:v>-263.00547153926544</c:v>
                </c:pt>
                <c:pt idx="432">
                  <c:v>-263.05157142870269</c:v>
                </c:pt>
                <c:pt idx="433">
                  <c:v>-263.0973235083917</c:v>
                </c:pt>
                <c:pt idx="434">
                  <c:v>-263.14273247008663</c:v>
                </c:pt>
                <c:pt idx="435">
                  <c:v>-263.18780292101542</c:v>
                </c:pt>
                <c:pt idx="436">
                  <c:v>-263.23253938578421</c:v>
                </c:pt>
                <c:pt idx="437">
                  <c:v>-263.27694630823044</c:v>
                </c:pt>
                <c:pt idx="438">
                  <c:v>-263.32102805322609</c:v>
                </c:pt>
                <c:pt idx="439">
                  <c:v>-263.36478890843244</c:v>
                </c:pt>
                <c:pt idx="440">
                  <c:v>-263.40823308600858</c:v>
                </c:pt>
                <c:pt idx="441">
                  <c:v>-263.45136472427384</c:v>
                </c:pt>
                <c:pt idx="442">
                  <c:v>-263.49418788932672</c:v>
                </c:pt>
                <c:pt idx="443">
                  <c:v>-263.53670657662133</c:v>
                </c:pt>
                <c:pt idx="444">
                  <c:v>-263.57892471250233</c:v>
                </c:pt>
                <c:pt idx="445">
                  <c:v>-263.62084615569967</c:v>
                </c:pt>
                <c:pt idx="446">
                  <c:v>-263.66247469878522</c:v>
                </c:pt>
                <c:pt idx="447">
                  <c:v>-263.70381406959075</c:v>
                </c:pt>
                <c:pt idx="448">
                  <c:v>-263.74486793259075</c:v>
                </c:pt>
                <c:pt idx="449">
                  <c:v>-263.78563989024815</c:v>
                </c:pt>
                <c:pt idx="450">
                  <c:v>-263.82613348432756</c:v>
                </c:pt>
                <c:pt idx="451">
                  <c:v>-263.86635219717368</c:v>
                </c:pt>
                <c:pt idx="452">
                  <c:v>-263.90629945295814</c:v>
                </c:pt>
                <c:pt idx="453">
                  <c:v>-263.9459786188948</c:v>
                </c:pt>
                <c:pt idx="454">
                  <c:v>-263.9853930064246</c:v>
                </c:pt>
                <c:pt idx="455">
                  <c:v>-264.02454587237054</c:v>
                </c:pt>
                <c:pt idx="456">
                  <c:v>-264.06344042006481</c:v>
                </c:pt>
                <c:pt idx="457">
                  <c:v>-264.10207980044669</c:v>
                </c:pt>
                <c:pt idx="458">
                  <c:v>-264.14046711313472</c:v>
                </c:pt>
                <c:pt idx="459">
                  <c:v>-264.17860540747182</c:v>
                </c:pt>
                <c:pt idx="460">
                  <c:v>-264.21649768354479</c:v>
                </c:pt>
                <c:pt idx="461">
                  <c:v>-264.25414689317967</c:v>
                </c:pt>
                <c:pt idx="462">
                  <c:v>-264.29155594091208</c:v>
                </c:pt>
                <c:pt idx="463">
                  <c:v>-264.32872768493513</c:v>
                </c:pt>
                <c:pt idx="464">
                  <c:v>-264.36566493802343</c:v>
                </c:pt>
                <c:pt idx="465">
                  <c:v>-264.40237046843617</c:v>
                </c:pt>
                <c:pt idx="466">
                  <c:v>-264.43884700079747</c:v>
                </c:pt>
                <c:pt idx="467">
                  <c:v>-264.47509721695695</c:v>
                </c:pt>
                <c:pt idx="468">
                  <c:v>-264.51112375682914</c:v>
                </c:pt>
                <c:pt idx="469">
                  <c:v>-264.5469292192135</c:v>
                </c:pt>
                <c:pt idx="470">
                  <c:v>-264.58251616259497</c:v>
                </c:pt>
                <c:pt idx="471">
                  <c:v>-264.61788710592623</c:v>
                </c:pt>
                <c:pt idx="472">
                  <c:v>-264.65304452939114</c:v>
                </c:pt>
                <c:pt idx="473">
                  <c:v>-264.68799087515106</c:v>
                </c:pt>
                <c:pt idx="474">
                  <c:v>-264.72272854807363</c:v>
                </c:pt>
                <c:pt idx="475">
                  <c:v>-264.7572599164447</c:v>
                </c:pt>
                <c:pt idx="476">
                  <c:v>-264.79158731266443</c:v>
                </c:pt>
                <c:pt idx="477">
                  <c:v>-264.82571303392689</c:v>
                </c:pt>
                <c:pt idx="478">
                  <c:v>-264.85963934288446</c:v>
                </c:pt>
                <c:pt idx="479">
                  <c:v>-264.89336846829758</c:v>
                </c:pt>
                <c:pt idx="480">
                  <c:v>-264.92690260566911</c:v>
                </c:pt>
                <c:pt idx="481">
                  <c:v>-264.96024391786494</c:v>
                </c:pt>
                <c:pt idx="482">
                  <c:v>-264.99339453572065</c:v>
                </c:pt>
                <c:pt idx="483">
                  <c:v>-265.02635655863457</c:v>
                </c:pt>
                <c:pt idx="484">
                  <c:v>-265.05913205514747</c:v>
                </c:pt>
                <c:pt idx="485">
                  <c:v>-265.09172306350985</c:v>
                </c:pt>
                <c:pt idx="486">
                  <c:v>-265.12413159223627</c:v>
                </c:pt>
                <c:pt idx="487">
                  <c:v>-265.156359620648</c:v>
                </c:pt>
                <c:pt idx="488">
                  <c:v>-265.18840909940326</c:v>
                </c:pt>
                <c:pt idx="489">
                  <c:v>-265.22028195101626</c:v>
                </c:pt>
                <c:pt idx="490">
                  <c:v>-265.25198007036477</c:v>
                </c:pt>
                <c:pt idx="491">
                  <c:v>-265.28350532518687</c:v>
                </c:pt>
                <c:pt idx="492">
                  <c:v>-265.31485955656706</c:v>
                </c:pt>
                <c:pt idx="493">
                  <c:v>-265.3460445794114</c:v>
                </c:pt>
                <c:pt idx="494">
                  <c:v>-265.37706218291322</c:v>
                </c:pt>
                <c:pt idx="495">
                  <c:v>-265.4079141310084</c:v>
                </c:pt>
                <c:pt idx="496">
                  <c:v>-265.43860216282098</c:v>
                </c:pt>
                <c:pt idx="497">
                  <c:v>-265.46912799309968</c:v>
                </c:pt>
                <c:pt idx="498">
                  <c:v>-265.4994933126448</c:v>
                </c:pt>
                <c:pt idx="499">
                  <c:v>-265.52969978872659</c:v>
                </c:pt>
                <c:pt idx="500">
                  <c:v>-265.55974906549432</c:v>
                </c:pt>
                <c:pt idx="501">
                  <c:v>-265.58964276437723</c:v>
                </c:pt>
                <c:pt idx="502">
                  <c:v>-265.61938248447706</c:v>
                </c:pt>
                <c:pt idx="503">
                  <c:v>-265.64896980295231</c:v>
                </c:pt>
                <c:pt idx="504">
                  <c:v>-265.67840627539459</c:v>
                </c:pt>
                <c:pt idx="505">
                  <c:v>-265.70769343619753</c:v>
                </c:pt>
                <c:pt idx="506">
                  <c:v>-265.73683279891748</c:v>
                </c:pt>
                <c:pt idx="507">
                  <c:v>-265.76582585662766</c:v>
                </c:pt>
                <c:pt idx="508">
                  <c:v>-265.79467408226435</c:v>
                </c:pt>
                <c:pt idx="509">
                  <c:v>-265.82337892896646</c:v>
                </c:pt>
                <c:pt idx="510">
                  <c:v>-265.85194183040824</c:v>
                </c:pt>
                <c:pt idx="511">
                  <c:v>-265.88036420112496</c:v>
                </c:pt>
                <c:pt idx="512">
                  <c:v>-265.90864743683267</c:v>
                </c:pt>
                <c:pt idx="513">
                  <c:v>-265.93679291474064</c:v>
                </c:pt>
                <c:pt idx="514">
                  <c:v>-265.96480199385854</c:v>
                </c:pt>
                <c:pt idx="515">
                  <c:v>-265.99267601529687</c:v>
                </c:pt>
                <c:pt idx="516">
                  <c:v>-266.02041630256161</c:v>
                </c:pt>
                <c:pt idx="517">
                  <c:v>-266.04802416184299</c:v>
                </c:pt>
                <c:pt idx="518">
                  <c:v>-266.07550088229902</c:v>
                </c:pt>
                <c:pt idx="519">
                  <c:v>-266.10284773633254</c:v>
                </c:pt>
                <c:pt idx="520">
                  <c:v>-266.13006597986384</c:v>
                </c:pt>
                <c:pt idx="521">
                  <c:v>-266.15715685259744</c:v>
                </c:pt>
                <c:pt idx="522">
                  <c:v>-266.18412157828357</c:v>
                </c:pt>
                <c:pt idx="523">
                  <c:v>-266.21096136497488</c:v>
                </c:pt>
                <c:pt idx="524">
                  <c:v>-266.23767740527848</c:v>
                </c:pt>
                <c:pt idx="525">
                  <c:v>-266.2642708766021</c:v>
                </c:pt>
                <c:pt idx="526">
                  <c:v>-266.29074294139673</c:v>
                </c:pt>
                <c:pt idx="527">
                  <c:v>-266.31709474739392</c:v>
                </c:pt>
                <c:pt idx="528">
                  <c:v>-266.34332742783852</c:v>
                </c:pt>
                <c:pt idx="529">
                  <c:v>-266.36944210171748</c:v>
                </c:pt>
                <c:pt idx="530">
                  <c:v>-266.39543987398412</c:v>
                </c:pt>
                <c:pt idx="531">
                  <c:v>-266.42132183577763</c:v>
                </c:pt>
                <c:pt idx="532">
                  <c:v>-266.44708906463939</c:v>
                </c:pt>
                <c:pt idx="533">
                  <c:v>-266.47274262472456</c:v>
                </c:pt>
                <c:pt idx="534">
                  <c:v>-266.49828356700976</c:v>
                </c:pt>
                <c:pt idx="535">
                  <c:v>-266.52371292949744</c:v>
                </c:pt>
                <c:pt idx="536">
                  <c:v>-266.54903173741559</c:v>
                </c:pt>
                <c:pt idx="537">
                  <c:v>-266.5742410034145</c:v>
                </c:pt>
                <c:pt idx="538">
                  <c:v>-266.59934172775945</c:v>
                </c:pt>
                <c:pt idx="539">
                  <c:v>-266.62433489852003</c:v>
                </c:pt>
                <c:pt idx="540">
                  <c:v>-266.64922149175629</c:v>
                </c:pt>
                <c:pt idx="541">
                  <c:v>-266.67400247170042</c:v>
                </c:pt>
                <c:pt idx="542">
                  <c:v>-266.69867879093658</c:v>
                </c:pt>
                <c:pt idx="543">
                  <c:v>-266.72325139057659</c:v>
                </c:pt>
                <c:pt idx="544">
                  <c:v>-266.74772120043201</c:v>
                </c:pt>
                <c:pt idx="545">
                  <c:v>-266.77208913918469</c:v>
                </c:pt>
                <c:pt idx="546">
                  <c:v>-266.7963561145524</c:v>
                </c:pt>
                <c:pt idx="547">
                  <c:v>-266.82052302345267</c:v>
                </c:pt>
                <c:pt idx="548">
                  <c:v>-266.84459075216341</c:v>
                </c:pt>
                <c:pt idx="549">
                  <c:v>-266.86856017648074</c:v>
                </c:pt>
                <c:pt idx="550">
                  <c:v>-266.89243216187344</c:v>
                </c:pt>
                <c:pt idx="551">
                  <c:v>-266.91620756363557</c:v>
                </c:pt>
                <c:pt idx="552">
                  <c:v>-266.93988722703574</c:v>
                </c:pt>
                <c:pt idx="553">
                  <c:v>-266.96347198746412</c:v>
                </c:pt>
                <c:pt idx="554">
                  <c:v>-266.98696267057642</c:v>
                </c:pt>
                <c:pt idx="555">
                  <c:v>-267.01036009243586</c:v>
                </c:pt>
                <c:pt idx="556">
                  <c:v>-267.03366505965226</c:v>
                </c:pt>
                <c:pt idx="557">
                  <c:v>-267.0568783695191</c:v>
                </c:pt>
                <c:pt idx="558">
                  <c:v>-267.08000081014768</c:v>
                </c:pt>
                <c:pt idx="559">
                  <c:v>-267.10303316059958</c:v>
                </c:pt>
                <c:pt idx="560">
                  <c:v>-267.12597619101615</c:v>
                </c:pt>
                <c:pt idx="561">
                  <c:v>-267.14883066274649</c:v>
                </c:pt>
                <c:pt idx="562">
                  <c:v>-267.17159732847244</c:v>
                </c:pt>
                <c:pt idx="563">
                  <c:v>-267.1942769323324</c:v>
                </c:pt>
                <c:pt idx="564">
                  <c:v>-267.21687021004198</c:v>
                </c:pt>
                <c:pt idx="565">
                  <c:v>-267.23937788901338</c:v>
                </c:pt>
                <c:pt idx="566">
                  <c:v>-267.26180068847253</c:v>
                </c:pt>
                <c:pt idx="567">
                  <c:v>-267.28413931957397</c:v>
                </c:pt>
                <c:pt idx="568">
                  <c:v>-267.30639448551432</c:v>
                </c:pt>
                <c:pt idx="569">
                  <c:v>-267.32856688164321</c:v>
                </c:pt>
                <c:pt idx="570">
                  <c:v>-267.35065719557298</c:v>
                </c:pt>
                <c:pt idx="571">
                  <c:v>-267.37266610728602</c:v>
                </c:pt>
                <c:pt idx="572">
                  <c:v>-267.39459428924067</c:v>
                </c:pt>
                <c:pt idx="573">
                  <c:v>-267.4164424064752</c:v>
                </c:pt>
                <c:pt idx="574">
                  <c:v>-267.43821111671019</c:v>
                </c:pt>
                <c:pt idx="575">
                  <c:v>-267.45990107044889</c:v>
                </c:pt>
                <c:pt idx="576">
                  <c:v>-267.48151291107649</c:v>
                </c:pt>
                <c:pt idx="577">
                  <c:v>-267.503047274957</c:v>
                </c:pt>
                <c:pt idx="578">
                  <c:v>-267.52450479152958</c:v>
                </c:pt>
                <c:pt idx="579">
                  <c:v>-267.54588608340208</c:v>
                </c:pt>
                <c:pt idx="580">
                  <c:v>-267.5671917664439</c:v>
                </c:pt>
                <c:pt idx="581">
                  <c:v>-267.58842244987733</c:v>
                </c:pt>
                <c:pt idx="582">
                  <c:v>-267.6095787363667</c:v>
                </c:pt>
                <c:pt idx="583">
                  <c:v>-267.63066122210705</c:v>
                </c:pt>
                <c:pt idx="584">
                  <c:v>-267.65167049691047</c:v>
                </c:pt>
                <c:pt idx="585">
                  <c:v>-267.67260714429193</c:v>
                </c:pt>
                <c:pt idx="586">
                  <c:v>-267.69347174155263</c:v>
                </c:pt>
                <c:pt idx="587">
                  <c:v>-267.71426485986342</c:v>
                </c:pt>
                <c:pt idx="588">
                  <c:v>-267.73498706434543</c:v>
                </c:pt>
                <c:pt idx="589">
                  <c:v>-267.75563891415061</c:v>
                </c:pt>
                <c:pt idx="590">
                  <c:v>-267.77622096254021</c:v>
                </c:pt>
                <c:pt idx="591">
                  <c:v>-267.7967337569624</c:v>
                </c:pt>
                <c:pt idx="592">
                  <c:v>-267.81717783912859</c:v>
                </c:pt>
                <c:pt idx="593">
                  <c:v>-267.83755374508854</c:v>
                </c:pt>
                <c:pt idx="594">
                  <c:v>-267.85786200530413</c:v>
                </c:pt>
                <c:pt idx="595">
                  <c:v>-267.87810314472222</c:v>
                </c:pt>
                <c:pt idx="596">
                  <c:v>-267.89827768284641</c:v>
                </c:pt>
                <c:pt idx="597">
                  <c:v>-267.9183861338073</c:v>
                </c:pt>
                <c:pt idx="598">
                  <c:v>-267.9384290064321</c:v>
                </c:pt>
                <c:pt idx="599">
                  <c:v>-267.95840680431269</c:v>
                </c:pt>
                <c:pt idx="600">
                  <c:v>-267.9783200258733</c:v>
                </c:pt>
                <c:pt idx="601">
                  <c:v>-267.99816916443643</c:v>
                </c:pt>
                <c:pt idx="602">
                  <c:v>-268.01795470828824</c:v>
                </c:pt>
                <c:pt idx="603">
                  <c:v>-268.03767714074269</c:v>
                </c:pt>
                <c:pt idx="604">
                  <c:v>-268.05733694020478</c:v>
                </c:pt>
                <c:pt idx="605">
                  <c:v>-268.07693458023289</c:v>
                </c:pt>
                <c:pt idx="606">
                  <c:v>-268.98678223948025</c:v>
                </c:pt>
                <c:pt idx="607">
                  <c:v>-269.78718344221699</c:v>
                </c:pt>
                <c:pt idx="608">
                  <c:v>-270.50807168241806</c:v>
                </c:pt>
                <c:pt idx="609">
                  <c:v>-271.16932418577312</c:v>
                </c:pt>
                <c:pt idx="610">
                  <c:v>-271.78465781338377</c:v>
                </c:pt>
                <c:pt idx="611">
                  <c:v>-272.3638427938356</c:v>
                </c:pt>
                <c:pt idx="612">
                  <c:v>-272.91402528942098</c:v>
                </c:pt>
                <c:pt idx="613">
                  <c:v>-273.4405512510674</c:v>
                </c:pt>
                <c:pt idx="614">
                  <c:v>-273.94749809385149</c:v>
                </c:pt>
                <c:pt idx="615">
                  <c:v>-274.4380283928686</c:v>
                </c:pt>
                <c:pt idx="616">
                  <c:v>-274.91463146475792</c:v>
                </c:pt>
                <c:pt idx="617">
                  <c:v>-275.37929223183289</c:v>
                </c:pt>
                <c:pt idx="618">
                  <c:v>-275.57386627836934</c:v>
                </c:pt>
                <c:pt idx="619">
                  <c:v>-275.76646562787607</c:v>
                </c:pt>
                <c:pt idx="620">
                  <c:v>-275.95719608316654</c:v>
                </c:pt>
                <c:pt idx="621">
                  <c:v>-276.14615547995544</c:v>
                </c:pt>
                <c:pt idx="622">
                  <c:v>-276.33343441179284</c:v>
                </c:pt>
                <c:pt idx="623">
                  <c:v>-276.51911687735901</c:v>
                </c:pt>
                <c:pt idx="624">
                  <c:v>-276.70328085965053</c:v>
                </c:pt>
                <c:pt idx="625">
                  <c:v>-276.88599884527264</c:v>
                </c:pt>
                <c:pt idx="626">
                  <c:v>-277.06733829094185</c:v>
                </c:pt>
                <c:pt idx="627">
                  <c:v>-277.24736204335483</c:v>
                </c:pt>
                <c:pt idx="628">
                  <c:v>-277.42612871777283</c:v>
                </c:pt>
                <c:pt idx="629">
                  <c:v>-277.60369303998192</c:v>
                </c:pt>
                <c:pt idx="630">
                  <c:v>-277.7801061556965</c:v>
                </c:pt>
                <c:pt idx="631">
                  <c:v>-277.95541591096651</c:v>
                </c:pt>
                <c:pt idx="632">
                  <c:v>-278.12966710670992</c:v>
                </c:pt>
                <c:pt idx="633">
                  <c:v>-278.30290173011451</c:v>
                </c:pt>
                <c:pt idx="634">
                  <c:v>-278.47515916532484</c:v>
                </c:pt>
                <c:pt idx="635">
                  <c:v>-278.64647638554629</c:v>
                </c:pt>
                <c:pt idx="636">
                  <c:v>-278.8168881284513</c:v>
                </c:pt>
                <c:pt idx="637">
                  <c:v>-278.98642705655772</c:v>
                </c:pt>
                <c:pt idx="638">
                  <c:v>-279.15512390405934</c:v>
                </c:pt>
                <c:pt idx="639">
                  <c:v>-279.3230076114271</c:v>
                </c:pt>
                <c:pt idx="640">
                  <c:v>-279.49010544895293</c:v>
                </c:pt>
                <c:pt idx="641">
                  <c:v>-279.65644313028088</c:v>
                </c:pt>
                <c:pt idx="642">
                  <c:v>-279.82204491686241</c:v>
                </c:pt>
                <c:pt idx="643">
                  <c:v>-279.98693371416908</c:v>
                </c:pt>
                <c:pt idx="644">
                  <c:v>-280.15113116041357</c:v>
                </c:pt>
                <c:pt idx="645">
                  <c:v>-280.31465770845074</c:v>
                </c:pt>
                <c:pt idx="646">
                  <c:v>-280.47753270146245</c:v>
                </c:pt>
                <c:pt idx="647">
                  <c:v>-280.63977444297086</c:v>
                </c:pt>
                <c:pt idx="648">
                  <c:v>-280.80140026166964</c:v>
                </c:pt>
                <c:pt idx="649">
                  <c:v>-280.96242657151544</c:v>
                </c:pt>
                <c:pt idx="650">
                  <c:v>-281.12286892747954</c:v>
                </c:pt>
                <c:pt idx="651">
                  <c:v>-281.28274207732107</c:v>
                </c:pt>
                <c:pt idx="652">
                  <c:v>-281.44206000970911</c:v>
                </c:pt>
                <c:pt idx="653">
                  <c:v>-281.60083599899127</c:v>
                </c:pt>
                <c:pt idx="654">
                  <c:v>-281.75908264687831</c:v>
                </c:pt>
                <c:pt idx="655">
                  <c:v>-281.91681192128954</c:v>
                </c:pt>
                <c:pt idx="656">
                  <c:v>-282.07403519258293</c:v>
                </c:pt>
                <c:pt idx="657">
                  <c:v>-282.23076326737294</c:v>
                </c:pt>
                <c:pt idx="658">
                  <c:v>-282.38700642012128</c:v>
                </c:pt>
                <c:pt idx="659">
                  <c:v>-282.54277442267079</c:v>
                </c:pt>
                <c:pt idx="660">
                  <c:v>-282.69807657187584</c:v>
                </c:pt>
                <c:pt idx="661">
                  <c:v>-282.85292171547223</c:v>
                </c:pt>
                <c:pt idx="662">
                  <c:v>-283.00731827631523</c:v>
                </c:pt>
                <c:pt idx="663">
                  <c:v>-283.16127427510565</c:v>
                </c:pt>
                <c:pt idx="664">
                  <c:v>-283.31479735171195</c:v>
                </c:pt>
                <c:pt idx="665">
                  <c:v>-283.46789478518872</c:v>
                </c:pt>
                <c:pt idx="666">
                  <c:v>-283.62057351258488</c:v>
                </c:pt>
                <c:pt idx="667">
                  <c:v>-283.77284014662416</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Calculations'!$AR$9:$AR$209</c:f>
              <c:numCache>
                <c:formatCode>0.0</c:formatCode>
                <c:ptCount val="201"/>
                <c:pt idx="0">
                  <c:v>2.4918525092644233</c:v>
                </c:pt>
                <c:pt idx="1">
                  <c:v>2.8012385632358003</c:v>
                </c:pt>
                <c:pt idx="2">
                  <c:v>3.1107410088239527</c:v>
                </c:pt>
                <c:pt idx="3">
                  <c:v>3.4203603260538813</c:v>
                </c:pt>
                <c:pt idx="4">
                  <c:v>3.7300969955353551</c:v>
                </c:pt>
                <c:pt idx="5">
                  <c:v>4.0399514984653706</c:v>
                </c:pt>
                <c:pt idx="6">
                  <c:v>4.3499243166306094</c:v>
                </c:pt>
                <c:pt idx="7">
                  <c:v>4.6600159324099195</c:v>
                </c:pt>
                <c:pt idx="8">
                  <c:v>4.9702268287767888</c:v>
                </c:pt>
                <c:pt idx="9">
                  <c:v>5.280557489301823</c:v>
                </c:pt>
                <c:pt idx="10">
                  <c:v>5.591008398155239</c:v>
                </c:pt>
                <c:pt idx="11">
                  <c:v>5.9015800401093648</c:v>
                </c:pt>
                <c:pt idx="12">
                  <c:v>6.2122729005411363</c:v>
                </c:pt>
                <c:pt idx="13">
                  <c:v>6.5230874654346032</c:v>
                </c:pt>
                <c:pt idx="14">
                  <c:v>6.8340242213834532</c:v>
                </c:pt>
                <c:pt idx="15">
                  <c:v>7.1450836555935187</c:v>
                </c:pt>
                <c:pt idx="16">
                  <c:v>7.4562662558853248</c:v>
                </c:pt>
                <c:pt idx="17">
                  <c:v>7.7675725106965965</c:v>
                </c:pt>
                <c:pt idx="18">
                  <c:v>8.0790029090848225</c:v>
                </c:pt>
                <c:pt idx="19">
                  <c:v>8.3905579407297903</c:v>
                </c:pt>
                <c:pt idx="20">
                  <c:v>8.7022380959361403</c:v>
                </c:pt>
                <c:pt idx="21">
                  <c:v>9.014043865635923</c:v>
                </c:pt>
                <c:pt idx="22">
                  <c:v>9.3259757413911792</c:v>
                </c:pt>
                <c:pt idx="23">
                  <c:v>9.6380342153964982</c:v>
                </c:pt>
                <c:pt idx="24">
                  <c:v>9.8658337598851364</c:v>
                </c:pt>
                <c:pt idx="25">
                  <c:v>9.9812039974668476</c:v>
                </c:pt>
                <c:pt idx="26">
                  <c:v>10.096697628699644</c:v>
                </c:pt>
                <c:pt idx="27">
                  <c:v>10.212314873657222</c:v>
                </c:pt>
                <c:pt idx="28">
                  <c:v>10.328055952865801</c:v>
                </c:pt>
                <c:pt idx="29">
                  <c:v>10.443921087305439</c:v>
                </c:pt>
                <c:pt idx="30">
                  <c:v>10.559910498411366</c:v>
                </c:pt>
                <c:pt idx="31">
                  <c:v>10.676024408075277</c:v>
                </c:pt>
                <c:pt idx="32">
                  <c:v>10.792263038646682</c:v>
                </c:pt>
                <c:pt idx="33">
                  <c:v>10.908626612934228</c:v>
                </c:pt>
                <c:pt idx="34">
                  <c:v>11.025115354207028</c:v>
                </c:pt>
                <c:pt idx="35">
                  <c:v>11.141729486196006</c:v>
                </c:pt>
                <c:pt idx="36">
                  <c:v>11.258469233095241</c:v>
                </c:pt>
                <c:pt idx="37">
                  <c:v>11.375334819563308</c:v>
                </c:pt>
                <c:pt idx="38">
                  <c:v>11.492326470724636</c:v>
                </c:pt>
                <c:pt idx="39">
                  <c:v>11.609444412170854</c:v>
                </c:pt>
                <c:pt idx="40">
                  <c:v>11.726688869962167</c:v>
                </c:pt>
                <c:pt idx="41">
                  <c:v>11.8440600706287</c:v>
                </c:pt>
                <c:pt idx="42">
                  <c:v>11.961558241171893</c:v>
                </c:pt>
                <c:pt idx="43">
                  <c:v>12.079183609065842</c:v>
                </c:pt>
                <c:pt idx="44">
                  <c:v>12.196936402258713</c:v>
                </c:pt>
                <c:pt idx="45">
                  <c:v>12.31481684917409</c:v>
                </c:pt>
                <c:pt idx="46">
                  <c:v>12.432825178712385</c:v>
                </c:pt>
                <c:pt idx="47">
                  <c:v>12.550961620252219</c:v>
                </c:pt>
                <c:pt idx="48">
                  <c:v>12.669226403651829</c:v>
                </c:pt>
                <c:pt idx="49">
                  <c:v>12.787619759250443</c:v>
                </c:pt>
                <c:pt idx="50">
                  <c:v>12.906141917869718</c:v>
                </c:pt>
                <c:pt idx="51">
                  <c:v>13.024793110815121</c:v>
                </c:pt>
                <c:pt idx="52">
                  <c:v>13.143573569877365</c:v>
                </c:pt>
                <c:pt idx="53">
                  <c:v>13.262483527333801</c:v>
                </c:pt>
                <c:pt idx="54">
                  <c:v>13.381523215949878</c:v>
                </c:pt>
                <c:pt idx="55">
                  <c:v>13.500692868980538</c:v>
                </c:pt>
                <c:pt idx="56">
                  <c:v>13.619992720171656</c:v>
                </c:pt>
                <c:pt idx="57">
                  <c:v>13.739423003761489</c:v>
                </c:pt>
                <c:pt idx="58">
                  <c:v>13.858983954482104</c:v>
                </c:pt>
                <c:pt idx="59">
                  <c:v>13.978675807560844</c:v>
                </c:pt>
                <c:pt idx="60">
                  <c:v>14.098498798721756</c:v>
                </c:pt>
                <c:pt idx="61">
                  <c:v>14.21845316418705</c:v>
                </c:pt>
                <c:pt idx="62">
                  <c:v>14.338539140678577</c:v>
                </c:pt>
                <c:pt idx="63">
                  <c:v>14.458756965419287</c:v>
                </c:pt>
                <c:pt idx="64">
                  <c:v>14.579106876134674</c:v>
                </c:pt>
                <c:pt idx="65">
                  <c:v>14.699589111054301</c:v>
                </c:pt>
                <c:pt idx="66">
                  <c:v>14.820203908913232</c:v>
                </c:pt>
                <c:pt idx="67">
                  <c:v>14.940951508953553</c:v>
                </c:pt>
                <c:pt idx="68">
                  <c:v>15.061832150925824</c:v>
                </c:pt>
                <c:pt idx="69">
                  <c:v>15.18284607509062</c:v>
                </c:pt>
                <c:pt idx="70">
                  <c:v>15.303993522219978</c:v>
                </c:pt>
                <c:pt idx="71">
                  <c:v>15.425274733598959</c:v>
                </c:pt>
                <c:pt idx="72">
                  <c:v>15.54668995102711</c:v>
                </c:pt>
                <c:pt idx="73">
                  <c:v>15.668239416819985</c:v>
                </c:pt>
                <c:pt idx="74">
                  <c:v>15.789923373810694</c:v>
                </c:pt>
                <c:pt idx="75">
                  <c:v>15.911742065351403</c:v>
                </c:pt>
                <c:pt idx="76">
                  <c:v>16.033695735314868</c:v>
                </c:pt>
                <c:pt idx="77">
                  <c:v>16.155784628095958</c:v>
                </c:pt>
                <c:pt idx="78">
                  <c:v>16.27800898861322</c:v>
                </c:pt>
                <c:pt idx="79">
                  <c:v>16.400369062310418</c:v>
                </c:pt>
                <c:pt idx="80">
                  <c:v>16.52286509515805</c:v>
                </c:pt>
                <c:pt idx="81">
                  <c:v>16.645497333654944</c:v>
                </c:pt>
                <c:pt idx="82">
                  <c:v>16.768266024829803</c:v>
                </c:pt>
                <c:pt idx="83">
                  <c:v>16.891171416242763</c:v>
                </c:pt>
                <c:pt idx="84">
                  <c:v>17.014213755986965</c:v>
                </c:pt>
                <c:pt idx="85">
                  <c:v>17.137393292690145</c:v>
                </c:pt>
                <c:pt idx="86">
                  <c:v>17.2607102755162</c:v>
                </c:pt>
                <c:pt idx="87">
                  <c:v>17.384164954166774</c:v>
                </c:pt>
                <c:pt idx="88">
                  <c:v>17.50775757888286</c:v>
                </c:pt>
                <c:pt idx="89">
                  <c:v>17.63148840044639</c:v>
                </c:pt>
                <c:pt idx="90">
                  <c:v>17.755357670181844</c:v>
                </c:pt>
                <c:pt idx="91">
                  <c:v>17.879365639957832</c:v>
                </c:pt>
                <c:pt idx="92">
                  <c:v>18.00351256218875</c:v>
                </c:pt>
                <c:pt idx="93">
                  <c:v>18.127798689836354</c:v>
                </c:pt>
                <c:pt idx="94">
                  <c:v>18.252224276411425</c:v>
                </c:pt>
                <c:pt idx="95">
                  <c:v>18.376789575975351</c:v>
                </c:pt>
                <c:pt idx="96">
                  <c:v>18.50149484314181</c:v>
                </c:pt>
                <c:pt idx="97">
                  <c:v>18.626340333078385</c:v>
                </c:pt>
                <c:pt idx="98">
                  <c:v>18.751326301508183</c:v>
                </c:pt>
                <c:pt idx="99">
                  <c:v>18.876453004711557</c:v>
                </c:pt>
                <c:pt idx="100">
                  <c:v>19.001720699527699</c:v>
                </c:pt>
                <c:pt idx="101">
                  <c:v>19.127129643356316</c:v>
                </c:pt>
                <c:pt idx="102">
                  <c:v>19.25268009415932</c:v>
                </c:pt>
                <c:pt idx="103">
                  <c:v>19.378372310462478</c:v>
                </c:pt>
                <c:pt idx="104">
                  <c:v>19.504206551357104</c:v>
                </c:pt>
                <c:pt idx="105">
                  <c:v>19.630183076501734</c:v>
                </c:pt>
                <c:pt idx="106">
                  <c:v>19.756302146123826</c:v>
                </c:pt>
                <c:pt idx="107">
                  <c:v>19.882564021021455</c:v>
                </c:pt>
                <c:pt idx="108">
                  <c:v>20.008968962565</c:v>
                </c:pt>
                <c:pt idx="109">
                  <c:v>20.13551723269887</c:v>
                </c:pt>
                <c:pt idx="110">
                  <c:v>20.262209093943202</c:v>
                </c:pt>
                <c:pt idx="111">
                  <c:v>20.389044809395614</c:v>
                </c:pt>
                <c:pt idx="112">
                  <c:v>20.516024642732866</c:v>
                </c:pt>
                <c:pt idx="113">
                  <c:v>20.643148858212655</c:v>
                </c:pt>
                <c:pt idx="114">
                  <c:v>20.770417720675319</c:v>
                </c:pt>
                <c:pt idx="115">
                  <c:v>20.897831495545585</c:v>
                </c:pt>
                <c:pt idx="116">
                  <c:v>21.025390448834315</c:v>
                </c:pt>
                <c:pt idx="117">
                  <c:v>21.153094847140277</c:v>
                </c:pt>
                <c:pt idx="118">
                  <c:v>21.280944957651879</c:v>
                </c:pt>
                <c:pt idx="119">
                  <c:v>21.40894104814895</c:v>
                </c:pt>
                <c:pt idx="120">
                  <c:v>21.537083387004515</c:v>
                </c:pt>
                <c:pt idx="121">
                  <c:v>21.665372243186575</c:v>
                </c:pt>
                <c:pt idx="122">
                  <c:v>21.793807886259874</c:v>
                </c:pt>
                <c:pt idx="123">
                  <c:v>21.922390586387714</c:v>
                </c:pt>
                <c:pt idx="124">
                  <c:v>22.051120614333726</c:v>
                </c:pt>
                <c:pt idx="125">
                  <c:v>22.179998241463707</c:v>
                </c:pt>
                <c:pt idx="126">
                  <c:v>22.309023739747381</c:v>
                </c:pt>
                <c:pt idx="127">
                  <c:v>22.438197381760268</c:v>
                </c:pt>
                <c:pt idx="128">
                  <c:v>22.567519440685459</c:v>
                </c:pt>
                <c:pt idx="129">
                  <c:v>22.696990190315493</c:v>
                </c:pt>
                <c:pt idx="130">
                  <c:v>22.826609905054127</c:v>
                </c:pt>
                <c:pt idx="131">
                  <c:v>22.956378859918232</c:v>
                </c:pt>
                <c:pt idx="132">
                  <c:v>23.086297330539605</c:v>
                </c:pt>
                <c:pt idx="133">
                  <c:v>23.21636559316687</c:v>
                </c:pt>
                <c:pt idx="134">
                  <c:v>23.346583924667257</c:v>
                </c:pt>
                <c:pt idx="135">
                  <c:v>23.476952602528556</c:v>
                </c:pt>
                <c:pt idx="136">
                  <c:v>23.607471904860912</c:v>
                </c:pt>
                <c:pt idx="137">
                  <c:v>23.738142110398769</c:v>
                </c:pt>
                <c:pt idx="138">
                  <c:v>23.868963498502708</c:v>
                </c:pt>
                <c:pt idx="139">
                  <c:v>23.999936349161366</c:v>
                </c:pt>
                <c:pt idx="140">
                  <c:v>24.131060942993315</c:v>
                </c:pt>
                <c:pt idx="141">
                  <c:v>24.262337561248991</c:v>
                </c:pt>
                <c:pt idx="142">
                  <c:v>24.393766485812574</c:v>
                </c:pt>
                <c:pt idx="143">
                  <c:v>24.525347999203927</c:v>
                </c:pt>
                <c:pt idx="144">
                  <c:v>24.657082384580526</c:v>
                </c:pt>
                <c:pt idx="145">
                  <c:v>24.788969925739369</c:v>
                </c:pt>
                <c:pt idx="146">
                  <c:v>24.921010907118948</c:v>
                </c:pt>
                <c:pt idx="147">
                  <c:v>25.053205613801143</c:v>
                </c:pt>
                <c:pt idx="148">
                  <c:v>25.185554331513217</c:v>
                </c:pt>
                <c:pt idx="149">
                  <c:v>25.318057346629786</c:v>
                </c:pt>
                <c:pt idx="150">
                  <c:v>25.450714946174706</c:v>
                </c:pt>
                <c:pt idx="151">
                  <c:v>25.583527417823138</c:v>
                </c:pt>
                <c:pt idx="152">
                  <c:v>25.716495049903472</c:v>
                </c:pt>
                <c:pt idx="153">
                  <c:v>25.849618131399332</c:v>
                </c:pt>
                <c:pt idx="154">
                  <c:v>25.982896951951574</c:v>
                </c:pt>
                <c:pt idx="155">
                  <c:v>26.116331801860248</c:v>
                </c:pt>
                <c:pt idx="156">
                  <c:v>26.249922972086654</c:v>
                </c:pt>
                <c:pt idx="157">
                  <c:v>26.383670754255327</c:v>
                </c:pt>
                <c:pt idx="158">
                  <c:v>26.517575440656081</c:v>
                </c:pt>
                <c:pt idx="159">
                  <c:v>26.651637324245993</c:v>
                </c:pt>
                <c:pt idx="160">
                  <c:v>26.785856698651479</c:v>
                </c:pt>
                <c:pt idx="161">
                  <c:v>26.920233858170327</c:v>
                </c:pt>
                <c:pt idx="162">
                  <c:v>27.05476909777375</c:v>
                </c:pt>
                <c:pt idx="163">
                  <c:v>27.189462713108398</c:v>
                </c:pt>
                <c:pt idx="164">
                  <c:v>27.324315000498512</c:v>
                </c:pt>
                <c:pt idx="165">
                  <c:v>27.459326256947886</c:v>
                </c:pt>
                <c:pt idx="166">
                  <c:v>27.594496780142048</c:v>
                </c:pt>
                <c:pt idx="167">
                  <c:v>27.729826868450267</c:v>
                </c:pt>
                <c:pt idx="168">
                  <c:v>27.865316820927681</c:v>
                </c:pt>
                <c:pt idx="169">
                  <c:v>28.000966937317418</c:v>
                </c:pt>
                <c:pt idx="170">
                  <c:v>28.136777518052629</c:v>
                </c:pt>
                <c:pt idx="171">
                  <c:v>28.272748864258713</c:v>
                </c:pt>
                <c:pt idx="172">
                  <c:v>28.408881277755345</c:v>
                </c:pt>
                <c:pt idx="173">
                  <c:v>28.545175061058615</c:v>
                </c:pt>
                <c:pt idx="174">
                  <c:v>28.681630517383255</c:v>
                </c:pt>
                <c:pt idx="175">
                  <c:v>28.818247950644682</c:v>
                </c:pt>
                <c:pt idx="176">
                  <c:v>28.955027665461174</c:v>
                </c:pt>
                <c:pt idx="177">
                  <c:v>29.0919699671561</c:v>
                </c:pt>
                <c:pt idx="178">
                  <c:v>29.229075161759972</c:v>
                </c:pt>
                <c:pt idx="179">
                  <c:v>29.366343556012726</c:v>
                </c:pt>
                <c:pt idx="180">
                  <c:v>29.503775457365851</c:v>
                </c:pt>
                <c:pt idx="181">
                  <c:v>29.641371173984577</c:v>
                </c:pt>
                <c:pt idx="182">
                  <c:v>29.779131014750114</c:v>
                </c:pt>
                <c:pt idx="183">
                  <c:v>29.917055289261807</c:v>
                </c:pt>
                <c:pt idx="184">
                  <c:v>30.055144307839416</c:v>
                </c:pt>
                <c:pt idx="185">
                  <c:v>30.19339838152526</c:v>
                </c:pt>
                <c:pt idx="186">
                  <c:v>30.331817822086499</c:v>
                </c:pt>
                <c:pt idx="187">
                  <c:v>30.470402942017383</c:v>
                </c:pt>
                <c:pt idx="188">
                  <c:v>30.60915405454146</c:v>
                </c:pt>
                <c:pt idx="189">
                  <c:v>30.748071473613859</c:v>
                </c:pt>
                <c:pt idx="190">
                  <c:v>30.88715551392351</c:v>
                </c:pt>
                <c:pt idx="191">
                  <c:v>31.026406490895504</c:v>
                </c:pt>
                <c:pt idx="192">
                  <c:v>31.165824720693262</c:v>
                </c:pt>
                <c:pt idx="193">
                  <c:v>31.30541052022091</c:v>
                </c:pt>
                <c:pt idx="194">
                  <c:v>31.445164207125519</c:v>
                </c:pt>
                <c:pt idx="195">
                  <c:v>31.585086099799437</c:v>
                </c:pt>
                <c:pt idx="196">
                  <c:v>31.725176517382593</c:v>
                </c:pt>
                <c:pt idx="197">
                  <c:v>31.865435779764823</c:v>
                </c:pt>
                <c:pt idx="198">
                  <c:v>32.005864207588168</c:v>
                </c:pt>
                <c:pt idx="199">
                  <c:v>32.146462122249289</c:v>
                </c:pt>
                <c:pt idx="200">
                  <c:v>32.287229845901713</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Calculations'!$AS$9:$AS$209</c:f>
              <c:numCache>
                <c:formatCode>0.0</c:formatCode>
                <c:ptCount val="201"/>
                <c:pt idx="0">
                  <c:v>0.23423314105960921</c:v>
                </c:pt>
                <c:pt idx="1">
                  <c:v>0.24308382733431988</c:v>
                </c:pt>
                <c:pt idx="2">
                  <c:v>0.25227507113918879</c:v>
                </c:pt>
                <c:pt idx="3">
                  <c:v>0.2618068699464205</c:v>
                </c:pt>
                <c:pt idx="4">
                  <c:v>0.27167922400214067</c:v>
                </c:pt>
                <c:pt idx="5">
                  <c:v>0.28189213632587334</c:v>
                </c:pt>
                <c:pt idx="6">
                  <c:v>0.29244561271007463</c:v>
                </c:pt>
                <c:pt idx="7">
                  <c:v>0.30333966171972343</c:v>
                </c:pt>
                <c:pt idx="8">
                  <c:v>0.31457429469196718</c:v>
                </c:pt>
                <c:pt idx="9">
                  <c:v>0.32614952573582645</c:v>
                </c:pt>
                <c:pt idx="10">
                  <c:v>0.33806537173195372</c:v>
                </c:pt>
                <c:pt idx="11">
                  <c:v>0.35032185233245017</c:v>
                </c:pt>
                <c:pt idx="12">
                  <c:v>0.36291898996073813</c:v>
                </c:pt>
                <c:pt idx="13">
                  <c:v>0.37585680981149028</c:v>
                </c:pt>
                <c:pt idx="14">
                  <c:v>0.38913533985061499</c:v>
                </c:pt>
                <c:pt idx="15">
                  <c:v>0.40275461081529856</c:v>
                </c:pt>
                <c:pt idx="16">
                  <c:v>0.41671465621410386</c:v>
                </c:pt>
                <c:pt idx="17">
                  <c:v>0.43101551232712398</c:v>
                </c:pt>
                <c:pt idx="18">
                  <c:v>0.44565721820619436</c:v>
                </c:pt>
                <c:pt idx="19">
                  <c:v>0.4606398156751601</c:v>
                </c:pt>
                <c:pt idx="20">
                  <c:v>0.47596334933019907</c:v>
                </c:pt>
                <c:pt idx="21">
                  <c:v>0.49162786654020374</c:v>
                </c:pt>
                <c:pt idx="22">
                  <c:v>0.50763341744721646</c:v>
                </c:pt>
                <c:pt idx="23">
                  <c:v>0.52398005496692301</c:v>
                </c:pt>
                <c:pt idx="24">
                  <c:v>0.5443585697405412</c:v>
                </c:pt>
                <c:pt idx="25">
                  <c:v>0.57000138158996538</c:v>
                </c:pt>
                <c:pt idx="26">
                  <c:v>0.5959860582409805</c:v>
                </c:pt>
                <c:pt idx="27">
                  <c:v>0.62231269884826212</c:v>
                </c:pt>
                <c:pt idx="28">
                  <c:v>0.64898140534779947</c:v>
                </c:pt>
                <c:pt idx="29">
                  <c:v>0.67599228245820409</c:v>
                </c:pt>
                <c:pt idx="30">
                  <c:v>0.70334543768207469</c:v>
                </c:pt>
                <c:pt idx="31">
                  <c:v>0.73104098130741868</c:v>
                </c:pt>
                <c:pt idx="32">
                  <c:v>0.75907902640913083</c:v>
                </c:pt>
                <c:pt idx="33">
                  <c:v>0.78745968885052786</c:v>
                </c:pt>
                <c:pt idx="34">
                  <c:v>0.81618308728494005</c:v>
                </c:pt>
                <c:pt idx="35">
                  <c:v>0.84524934315736044</c:v>
                </c:pt>
                <c:pt idx="36">
                  <c:v>0.87465858070615077</c:v>
                </c:pt>
                <c:pt idx="37">
                  <c:v>0.90441092696480085</c:v>
                </c:pt>
                <c:pt idx="38">
                  <c:v>0.93450651176375166</c:v>
                </c:pt>
                <c:pt idx="39">
                  <c:v>0.96494546773226841</c:v>
                </c:pt>
                <c:pt idx="40">
                  <c:v>0.99572793030037721</c:v>
                </c:pt>
                <c:pt idx="41">
                  <c:v>1.0268540377008506</c:v>
                </c:pt>
                <c:pt idx="42">
                  <c:v>1.0583239309712615</c:v>
                </c:pt>
                <c:pt idx="43">
                  <c:v>1.0901377539560817</c:v>
                </c:pt>
                <c:pt idx="44">
                  <c:v>1.1222956533088482</c:v>
                </c:pt>
                <c:pt idx="45">
                  <c:v>1.1547977784943821</c:v>
                </c:pt>
                <c:pt idx="46">
                  <c:v>1.1876442817910644</c:v>
                </c:pt>
                <c:pt idx="47">
                  <c:v>1.2208353182931699</c:v>
                </c:pt>
                <c:pt idx="48">
                  <c:v>1.2543710459132631</c:v>
                </c:pt>
                <c:pt idx="49">
                  <c:v>1.2882516253846439</c:v>
                </c:pt>
                <c:pt idx="50">
                  <c:v>1.3224772202638566</c:v>
                </c:pt>
                <c:pt idx="51">
                  <c:v>1.3570479969332552</c:v>
                </c:pt>
                <c:pt idx="52">
                  <c:v>1.3919641246036274</c:v>
                </c:pt>
                <c:pt idx="53">
                  <c:v>1.4272257753168749</c:v>
                </c:pt>
                <c:pt idx="54">
                  <c:v>1.4628331239487524</c:v>
                </c:pt>
                <c:pt idx="55">
                  <c:v>1.4987863482116661</c:v>
                </c:pt>
                <c:pt idx="56">
                  <c:v>1.5350856286575305</c:v>
                </c:pt>
                <c:pt idx="57">
                  <c:v>1.5717311486806786</c:v>
                </c:pt>
                <c:pt idx="58">
                  <c:v>1.6087230945208395</c:v>
                </c:pt>
                <c:pt idx="59">
                  <c:v>1.6460616552661662</c:v>
                </c:pt>
                <c:pt idx="60">
                  <c:v>1.6837470228563252</c:v>
                </c:pt>
                <c:pt idx="61">
                  <c:v>1.7217793920856486</c:v>
                </c:pt>
                <c:pt idx="62">
                  <c:v>1.7601589606063368</c:v>
                </c:pt>
                <c:pt idx="63">
                  <c:v>1.7988859289317292</c:v>
                </c:pt>
                <c:pt idx="64">
                  <c:v>1.8379605004396264</c:v>
                </c:pt>
                <c:pt idx="65">
                  <c:v>1.8773828813756779</c:v>
                </c:pt>
                <c:pt idx="66">
                  <c:v>1.9171532808568215</c:v>
                </c:pt>
                <c:pt idx="67">
                  <c:v>1.9572719108747934</c:v>
                </c:pt>
                <c:pt idx="68">
                  <c:v>1.9977389862996844</c:v>
                </c:pt>
                <c:pt idx="69">
                  <c:v>2.0385547248835678</c:v>
                </c:pt>
                <c:pt idx="70">
                  <c:v>2.0797193472641777</c:v>
                </c:pt>
                <c:pt idx="71">
                  <c:v>2.1212330769686565</c:v>
                </c:pt>
                <c:pt idx="72">
                  <c:v>2.1630961404173492</c:v>
                </c:pt>
                <c:pt idx="73">
                  <c:v>2.2053087669276747</c:v>
                </c:pt>
                <c:pt idx="74">
                  <c:v>2.2478711887180434</c:v>
                </c:pt>
                <c:pt idx="75">
                  <c:v>2.2907836409118425</c:v>
                </c:pt>
                <c:pt idx="76">
                  <c:v>2.3340463615414788</c:v>
                </c:pt>
                <c:pt idx="77">
                  <c:v>2.3776595915524839</c:v>
                </c:pt>
                <c:pt idx="78">
                  <c:v>2.4216235748076804</c:v>
                </c:pt>
                <c:pt idx="79">
                  <c:v>2.4659385580914073</c:v>
                </c:pt>
                <c:pt idx="80">
                  <c:v>2.5106047911138072</c:v>
                </c:pt>
                <c:pt idx="81">
                  <c:v>2.5556225265151769</c:v>
                </c:pt>
                <c:pt idx="82">
                  <c:v>2.6009920198703762</c:v>
                </c:pt>
                <c:pt idx="83">
                  <c:v>2.6467135296933031</c:v>
                </c:pt>
                <c:pt idx="84">
                  <c:v>2.6927873174414234</c:v>
                </c:pt>
                <c:pt idx="85">
                  <c:v>2.7392136475203666</c:v>
                </c:pt>
                <c:pt idx="86">
                  <c:v>2.7859927872885892</c:v>
                </c:pt>
                <c:pt idx="87">
                  <c:v>2.833125007062089</c:v>
                </c:pt>
                <c:pt idx="88">
                  <c:v>2.8806105801191899</c:v>
                </c:pt>
                <c:pt idx="89">
                  <c:v>2.9284497827053864</c:v>
                </c:pt>
                <c:pt idx="90">
                  <c:v>2.9766428940382532</c:v>
                </c:pt>
                <c:pt idx="91">
                  <c:v>3.0251901963124124</c:v>
                </c:pt>
                <c:pt idx="92">
                  <c:v>3.0740919747045719</c:v>
                </c:pt>
                <c:pt idx="93">
                  <c:v>3.1233485173786186</c:v>
                </c:pt>
                <c:pt idx="94">
                  <c:v>3.1729601154907834</c:v>
                </c:pt>
                <c:pt idx="95">
                  <c:v>3.2229270631948594</c:v>
                </c:pt>
                <c:pt idx="96">
                  <c:v>3.2732496576474972</c:v>
                </c:pt>
                <c:pt idx="97">
                  <c:v>3.3239281990135527</c:v>
                </c:pt>
                <c:pt idx="98">
                  <c:v>3.3749629904715017</c:v>
                </c:pt>
                <c:pt idx="99">
                  <c:v>3.4263543382189288</c:v>
                </c:pt>
                <c:pt idx="100">
                  <c:v>3.4781025514780657</c:v>
                </c:pt>
                <c:pt idx="101">
                  <c:v>3.5302079425014004</c:v>
                </c:pt>
                <c:pt idx="102">
                  <c:v>3.5826708265773592</c:v>
                </c:pt>
                <c:pt idx="103">
                  <c:v>3.6354915220360455</c:v>
                </c:pt>
                <c:pt idx="104">
                  <c:v>3.6886703502550406</c:v>
                </c:pt>
                <c:pt idx="105">
                  <c:v>3.7422076356652796</c:v>
                </c:pt>
                <c:pt idx="106">
                  <c:v>3.7961037057569897</c:v>
                </c:pt>
                <c:pt idx="107">
                  <c:v>3.8503588910856918</c:v>
                </c:pt>
                <c:pt idx="108">
                  <c:v>3.904973525278272</c:v>
                </c:pt>
                <c:pt idx="109">
                  <c:v>3.9599479450391146</c:v>
                </c:pt>
                <c:pt idx="110">
                  <c:v>4.0152824901563102</c:v>
                </c:pt>
                <c:pt idx="111">
                  <c:v>4.0709775035079234</c:v>
                </c:pt>
                <c:pt idx="112">
                  <c:v>4.1270333310683274</c:v>
                </c:pt>
                <c:pt idx="113">
                  <c:v>4.1834503219146129</c:v>
                </c:pt>
                <c:pt idx="114">
                  <c:v>4.2402288282330636</c:v>
                </c:pt>
                <c:pt idx="115">
                  <c:v>4.2973692053256833</c:v>
                </c:pt>
                <c:pt idx="116">
                  <c:v>4.3548718116168166</c:v>
                </c:pt>
                <c:pt idx="117">
                  <c:v>4.4127370086598274</c:v>
                </c:pt>
                <c:pt idx="118">
                  <c:v>4.4709651611438321</c:v>
                </c:pt>
                <c:pt idx="119">
                  <c:v>4.5295566369005211</c:v>
                </c:pt>
                <c:pt idx="120">
                  <c:v>4.5885118069110469</c:v>
                </c:pt>
                <c:pt idx="121">
                  <c:v>4.6478310453129703</c:v>
                </c:pt>
                <c:pt idx="122">
                  <c:v>4.707514729407281</c:v>
                </c:pt>
                <c:pt idx="123">
                  <c:v>4.7675632396654981</c:v>
                </c:pt>
                <c:pt idx="124">
                  <c:v>4.8279769597368256</c:v>
                </c:pt>
                <c:pt idx="125">
                  <c:v>4.8887562764553909</c:v>
                </c:pt>
                <c:pt idx="126">
                  <c:v>4.9499015798475448</c:v>
                </c:pt>
                <c:pt idx="127">
                  <c:v>5.0114132631392305</c:v>
                </c:pt>
                <c:pt idx="128">
                  <c:v>5.0732917227634475</c:v>
                </c:pt>
                <c:pt idx="129">
                  <c:v>5.1355373583677491</c:v>
                </c:pt>
                <c:pt idx="130">
                  <c:v>5.1981505728218451</c:v>
                </c:pt>
                <c:pt idx="131">
                  <c:v>5.2611317722252506</c:v>
                </c:pt>
                <c:pt idx="132">
                  <c:v>5.3244813659150347</c:v>
                </c:pt>
                <c:pt idx="133">
                  <c:v>5.3881997664736216</c:v>
                </c:pt>
                <c:pt idx="134">
                  <c:v>5.4522873897366591</c:v>
                </c:pt>
                <c:pt idx="135">
                  <c:v>5.5167446548009833</c:v>
                </c:pt>
                <c:pt idx="136">
                  <c:v>5.5815719840326441</c:v>
                </c:pt>
                <c:pt idx="137">
                  <c:v>5.6467698030749993</c:v>
                </c:pt>
                <c:pt idx="138">
                  <c:v>5.7123385408568961</c:v>
                </c:pt>
                <c:pt idx="139">
                  <c:v>5.7782786296009121</c:v>
                </c:pt>
                <c:pt idx="140">
                  <c:v>5.8445905048316851</c:v>
                </c:pt>
                <c:pt idx="141">
                  <c:v>5.9112746053843068</c:v>
                </c:pt>
                <c:pt idx="142">
                  <c:v>5.9783313734128019</c:v>
                </c:pt>
                <c:pt idx="143">
                  <c:v>6.0457612543986672</c:v>
                </c:pt>
                <c:pt idx="144">
                  <c:v>6.1135646971595179</c:v>
                </c:pt>
                <c:pt idx="145">
                  <c:v>6.1817421538577664</c:v>
                </c:pt>
                <c:pt idx="146">
                  <c:v>6.2502940800094215</c:v>
                </c:pt>
                <c:pt idx="147">
                  <c:v>6.3192209344929253</c:v>
                </c:pt>
                <c:pt idx="148">
                  <c:v>6.3885231795581028</c:v>
                </c:pt>
                <c:pt idx="149">
                  <c:v>6.4582012808351665</c:v>
                </c:pt>
                <c:pt idx="150">
                  <c:v>6.5282557073438054</c:v>
                </c:pt>
                <c:pt idx="151">
                  <c:v>6.5986869315023489</c:v>
                </c:pt>
                <c:pt idx="152">
                  <c:v>6.6694954291370241</c:v>
                </c:pt>
                <c:pt idx="153">
                  <c:v>6.7406816794912752</c:v>
                </c:pt>
                <c:pt idx="154">
                  <c:v>6.8122461652351642</c:v>
                </c:pt>
                <c:pt idx="155">
                  <c:v>6.8841893724748662</c:v>
                </c:pt>
                <c:pt idx="156">
                  <c:v>6.9565117907622165</c:v>
                </c:pt>
                <c:pt idx="157">
                  <c:v>7.0292139131043943</c:v>
                </c:pt>
                <c:pt idx="158">
                  <c:v>7.1022962359735988</c:v>
                </c:pt>
                <c:pt idx="159">
                  <c:v>7.1757592593168962</c:v>
                </c:pt>
                <c:pt idx="160">
                  <c:v>7.2496034865660981</c:v>
                </c:pt>
                <c:pt idx="161">
                  <c:v>7.3238294246477276</c:v>
                </c:pt>
                <c:pt idx="162">
                  <c:v>7.3984375839930774</c:v>
                </c:pt>
                <c:pt idx="163">
                  <c:v>7.4734284785483549</c:v>
                </c:pt>
                <c:pt idx="164">
                  <c:v>7.5488026257848997</c:v>
                </c:pt>
                <c:pt idx="165">
                  <c:v>7.6245605467094766</c:v>
                </c:pt>
                <c:pt idx="166">
                  <c:v>7.7007027658746843</c:v>
                </c:pt>
                <c:pt idx="167">
                  <c:v>7.7772298113894047</c:v>
                </c:pt>
                <c:pt idx="168">
                  <c:v>7.8541422149293911</c:v>
                </c:pt>
                <c:pt idx="169">
                  <c:v>7.9314405117478834</c:v>
                </c:pt>
                <c:pt idx="170">
                  <c:v>8.0091252406863518</c:v>
                </c:pt>
                <c:pt idx="171">
                  <c:v>8.0871969441853171</c:v>
                </c:pt>
                <c:pt idx="172">
                  <c:v>8.1656561682952358</c:v>
                </c:pt>
                <c:pt idx="173">
                  <c:v>8.2445034626875042</c:v>
                </c:pt>
                <c:pt idx="174">
                  <c:v>8.3237393806655362</c:v>
                </c:pt>
                <c:pt idx="175">
                  <c:v>8.4033644791759077</c:v>
                </c:pt>
                <c:pt idx="176">
                  <c:v>8.4833793188196402</c:v>
                </c:pt>
                <c:pt idx="177">
                  <c:v>8.5637844638635112</c:v>
                </c:pt>
                <c:pt idx="178">
                  <c:v>8.6445804822515075</c:v>
                </c:pt>
                <c:pt idx="179">
                  <c:v>8.7257679456163491</c:v>
                </c:pt>
                <c:pt idx="180">
                  <c:v>8.8073474292910721</c:v>
                </c:pt>
                <c:pt idx="181">
                  <c:v>8.8893195123207516</c:v>
                </c:pt>
                <c:pt idx="182">
                  <c:v>8.9716847774743052</c:v>
                </c:pt>
                <c:pt idx="183">
                  <c:v>9.0544438112563537</c:v>
                </c:pt>
                <c:pt idx="184">
                  <c:v>9.1375972039191957</c:v>
                </c:pt>
                <c:pt idx="185">
                  <c:v>9.2211455494749099</c:v>
                </c:pt>
                <c:pt idx="186">
                  <c:v>9.3050894457074786</c:v>
                </c:pt>
                <c:pt idx="187">
                  <c:v>9.389429494185066</c:v>
                </c:pt>
                <c:pt idx="188">
                  <c:v>9.4741663002723548</c:v>
                </c:pt>
                <c:pt idx="189">
                  <c:v>9.5593004731430078</c:v>
                </c:pt>
                <c:pt idx="190">
                  <c:v>9.644832625792187</c:v>
                </c:pt>
                <c:pt idx="191">
                  <c:v>9.7307633750492002</c:v>
                </c:pt>
                <c:pt idx="192">
                  <c:v>9.8170933415902191</c:v>
                </c:pt>
                <c:pt idx="193">
                  <c:v>9.9038231499511333</c:v>
                </c:pt>
                <c:pt idx="194">
                  <c:v>9.9909534285404415</c:v>
                </c:pt>
                <c:pt idx="195">
                  <c:v>10.078484809652286</c:v>
                </c:pt>
                <c:pt idx="196">
                  <c:v>10.166417929479595</c:v>
                </c:pt>
                <c:pt idx="197">
                  <c:v>10.254753428127252</c:v>
                </c:pt>
                <c:pt idx="198">
                  <c:v>10.34349194962547</c:v>
                </c:pt>
                <c:pt idx="199">
                  <c:v>10.43263414194316</c:v>
                </c:pt>
                <c:pt idx="200">
                  <c:v>10.52218065700149</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Calculations'!$AC$9:$AC$209</c:f>
              <c:numCache>
                <c:formatCode>0.0000</c:formatCode>
                <c:ptCount val="201"/>
                <c:pt idx="0">
                  <c:v>4.9837050185288466E-2</c:v>
                </c:pt>
                <c:pt idx="1">
                  <c:v>5.6024771264716007E-2</c:v>
                </c:pt>
                <c:pt idx="2">
                  <c:v>6.2214820176479051E-2</c:v>
                </c:pt>
                <c:pt idx="3">
                  <c:v>6.8407206521077624E-2</c:v>
                </c:pt>
                <c:pt idx="4">
                  <c:v>7.4601939910707099E-2</c:v>
                </c:pt>
                <c:pt idx="5">
                  <c:v>8.079902996930742E-2</c:v>
                </c:pt>
                <c:pt idx="6">
                  <c:v>8.6998486332612188E-2</c:v>
                </c:pt>
                <c:pt idx="7">
                  <c:v>9.3200318648198388E-2</c:v>
                </c:pt>
                <c:pt idx="8">
                  <c:v>9.9404536575535773E-2</c:v>
                </c:pt>
                <c:pt idx="9">
                  <c:v>0.10561114978603646</c:v>
                </c:pt>
                <c:pt idx="10">
                  <c:v>0.11182016796310477</c:v>
                </c:pt>
                <c:pt idx="11">
                  <c:v>0.1180316008021873</c:v>
                </c:pt>
                <c:pt idx="12">
                  <c:v>0.12424545801082273</c:v>
                </c:pt>
                <c:pt idx="13">
                  <c:v>0.13046174930869206</c:v>
                </c:pt>
                <c:pt idx="14">
                  <c:v>0.13668048442766906</c:v>
                </c:pt>
                <c:pt idx="15">
                  <c:v>0.14290167311187038</c:v>
                </c:pt>
                <c:pt idx="16">
                  <c:v>0.14912532511770649</c:v>
                </c:pt>
                <c:pt idx="17">
                  <c:v>0.15535145021393193</c:v>
                </c:pt>
                <c:pt idx="18">
                  <c:v>0.16158005818169646</c:v>
                </c:pt>
                <c:pt idx="19">
                  <c:v>0.1678111588145958</c:v>
                </c:pt>
                <c:pt idx="20">
                  <c:v>0.17404476191872281</c:v>
                </c:pt>
                <c:pt idx="21">
                  <c:v>0.18028087731271847</c:v>
                </c:pt>
                <c:pt idx="22">
                  <c:v>0.18651951482782358</c:v>
                </c:pt>
                <c:pt idx="23">
                  <c:v>0.19276068430792995</c:v>
                </c:pt>
                <c:pt idx="24">
                  <c:v>0.19731667519770274</c:v>
                </c:pt>
                <c:pt idx="25">
                  <c:v>0.19962407994933695</c:v>
                </c:pt>
                <c:pt idx="26">
                  <c:v>0.20193395257399288</c:v>
                </c:pt>
                <c:pt idx="27">
                  <c:v>0.20424629747314446</c:v>
                </c:pt>
                <c:pt idx="28">
                  <c:v>0.20656111905731603</c:v>
                </c:pt>
                <c:pt idx="29">
                  <c:v>0.20887842174610879</c:v>
                </c:pt>
                <c:pt idx="30">
                  <c:v>0.21119820996822733</c:v>
                </c:pt>
                <c:pt idx="31">
                  <c:v>0.21352048816150554</c:v>
                </c:pt>
                <c:pt idx="32">
                  <c:v>0.21584526077293364</c:v>
                </c:pt>
                <c:pt idx="33">
                  <c:v>0.21817253225868455</c:v>
                </c:pt>
                <c:pt idx="34">
                  <c:v>0.22050230708414056</c:v>
                </c:pt>
                <c:pt idx="35">
                  <c:v>0.22283458972392012</c:v>
                </c:pt>
                <c:pt idx="36">
                  <c:v>0.22516938466190481</c:v>
                </c:pt>
                <c:pt idx="37">
                  <c:v>0.22750669639126617</c:v>
                </c:pt>
                <c:pt idx="38">
                  <c:v>0.22984652941449271</c:v>
                </c:pt>
                <c:pt idx="39">
                  <c:v>0.23218888824341707</c:v>
                </c:pt>
                <c:pt idx="40">
                  <c:v>0.23453377739924333</c:v>
                </c:pt>
                <c:pt idx="41">
                  <c:v>0.23688120141257402</c:v>
                </c:pt>
                <c:pt idx="42">
                  <c:v>0.23923116482343787</c:v>
                </c:pt>
                <c:pt idx="43">
                  <c:v>0.24158367218131685</c:v>
                </c:pt>
                <c:pt idx="44">
                  <c:v>0.24393872804517425</c:v>
                </c:pt>
                <c:pt idx="45">
                  <c:v>0.2462963369834818</c:v>
                </c:pt>
                <c:pt idx="46">
                  <c:v>0.24865650357424771</c:v>
                </c:pt>
                <c:pt idx="47">
                  <c:v>0.25101923240504437</c:v>
                </c:pt>
                <c:pt idx="48">
                  <c:v>0.25338452807303657</c:v>
                </c:pt>
                <c:pt idx="49">
                  <c:v>0.25575239518500886</c:v>
                </c:pt>
                <c:pt idx="50">
                  <c:v>0.25812283835739436</c:v>
                </c:pt>
                <c:pt idx="51">
                  <c:v>0.26049586221630244</c:v>
                </c:pt>
                <c:pt idx="52">
                  <c:v>0.2628714713975473</c:v>
                </c:pt>
                <c:pt idx="53">
                  <c:v>0.26524967054667603</c:v>
                </c:pt>
                <c:pt idx="54">
                  <c:v>0.26763046431899756</c:v>
                </c:pt>
                <c:pt idx="55">
                  <c:v>0.27001385737961076</c:v>
                </c:pt>
                <c:pt idx="56">
                  <c:v>0.27239985440343312</c:v>
                </c:pt>
                <c:pt idx="57">
                  <c:v>0.27478846007522978</c:v>
                </c:pt>
                <c:pt idx="58">
                  <c:v>0.27717967908964208</c:v>
                </c:pt>
                <c:pt idx="59">
                  <c:v>0.27957351615121689</c:v>
                </c:pt>
                <c:pt idx="60">
                  <c:v>0.28196997597443513</c:v>
                </c:pt>
                <c:pt idx="61">
                  <c:v>0.28436906328374101</c:v>
                </c:pt>
                <c:pt idx="62">
                  <c:v>0.28677078281357155</c:v>
                </c:pt>
                <c:pt idx="63">
                  <c:v>0.28917513930838573</c:v>
                </c:pt>
                <c:pt idx="64">
                  <c:v>0.29158213752269346</c:v>
                </c:pt>
                <c:pt idx="65">
                  <c:v>0.29399178222108602</c:v>
                </c:pt>
                <c:pt idx="66">
                  <c:v>0.29640407817826464</c:v>
                </c:pt>
                <c:pt idx="67">
                  <c:v>0.29881903017907108</c:v>
                </c:pt>
                <c:pt idx="68">
                  <c:v>0.30123664301851649</c:v>
                </c:pt>
                <c:pt idx="69">
                  <c:v>0.30365692150181239</c:v>
                </c:pt>
                <c:pt idx="70">
                  <c:v>0.30607987044439955</c:v>
                </c:pt>
                <c:pt idx="71">
                  <c:v>0.30850549467197919</c:v>
                </c:pt>
                <c:pt idx="72">
                  <c:v>0.31093379902054219</c:v>
                </c:pt>
                <c:pt idx="73">
                  <c:v>0.31336478833639969</c:v>
                </c:pt>
                <c:pt idx="74">
                  <c:v>0.31579846747621387</c:v>
                </c:pt>
                <c:pt idx="75">
                  <c:v>0.31823484130702806</c:v>
                </c:pt>
                <c:pt idx="76">
                  <c:v>0.32067391470629736</c:v>
                </c:pt>
                <c:pt idx="77">
                  <c:v>0.32311569256191913</c:v>
                </c:pt>
                <c:pt idx="78">
                  <c:v>0.32556017977226442</c:v>
                </c:pt>
                <c:pt idx="79">
                  <c:v>0.32800738124620837</c:v>
                </c:pt>
                <c:pt idx="80">
                  <c:v>0.33045730190316097</c:v>
                </c:pt>
                <c:pt idx="81">
                  <c:v>0.33290994667309892</c:v>
                </c:pt>
                <c:pt idx="82">
                  <c:v>0.33536532049659606</c:v>
                </c:pt>
                <c:pt idx="83">
                  <c:v>0.33782342832485523</c:v>
                </c:pt>
                <c:pt idx="84">
                  <c:v>0.3402842751197393</c:v>
                </c:pt>
                <c:pt idx="85">
                  <c:v>0.3427478658538029</c:v>
                </c:pt>
                <c:pt idx="86">
                  <c:v>0.345214205510324</c:v>
                </c:pt>
                <c:pt idx="87">
                  <c:v>0.34768329908333545</c:v>
                </c:pt>
                <c:pt idx="88">
                  <c:v>0.3501551515776572</c:v>
                </c:pt>
                <c:pt idx="89">
                  <c:v>0.35262976800892781</c:v>
                </c:pt>
                <c:pt idx="90">
                  <c:v>0.35510715340363685</c:v>
                </c:pt>
                <c:pt idx="91">
                  <c:v>0.35758731279915668</c:v>
                </c:pt>
                <c:pt idx="92">
                  <c:v>0.36007025124377501</c:v>
                </c:pt>
                <c:pt idx="93">
                  <c:v>0.3625559737967271</c:v>
                </c:pt>
                <c:pt idx="94">
                  <c:v>0.36504448552822849</c:v>
                </c:pt>
                <c:pt idx="95">
                  <c:v>0.36753579151950699</c:v>
                </c:pt>
                <c:pt idx="96">
                  <c:v>0.37002989686283622</c:v>
                </c:pt>
                <c:pt idx="97">
                  <c:v>0.37252680666156768</c:v>
                </c:pt>
                <c:pt idx="98">
                  <c:v>0.37502652603016368</c:v>
                </c:pt>
                <c:pt idx="99">
                  <c:v>0.37752906009423115</c:v>
                </c:pt>
                <c:pt idx="100">
                  <c:v>0.38003441399055399</c:v>
                </c:pt>
                <c:pt idx="101">
                  <c:v>0.38254259286712633</c:v>
                </c:pt>
                <c:pt idx="102">
                  <c:v>0.38505360188318644</c:v>
                </c:pt>
                <c:pt idx="103">
                  <c:v>0.38756744620924954</c:v>
                </c:pt>
                <c:pt idx="104">
                  <c:v>0.39008413102714207</c:v>
                </c:pt>
                <c:pt idx="105">
                  <c:v>0.39260366153003468</c:v>
                </c:pt>
                <c:pt idx="106">
                  <c:v>0.39512604292247649</c:v>
                </c:pt>
                <c:pt idx="107">
                  <c:v>0.39765128042042908</c:v>
                </c:pt>
                <c:pt idx="108">
                  <c:v>0.40017937925129998</c:v>
                </c:pt>
                <c:pt idx="109">
                  <c:v>0.40271034465397737</c:v>
                </c:pt>
                <c:pt idx="110">
                  <c:v>0.40524418187886407</c:v>
                </c:pt>
                <c:pt idx="111">
                  <c:v>0.40778089618791225</c:v>
                </c:pt>
                <c:pt idx="112">
                  <c:v>0.41032049285465733</c:v>
                </c:pt>
                <c:pt idx="113">
                  <c:v>0.41286297716425308</c:v>
                </c:pt>
                <c:pt idx="114">
                  <c:v>0.41540835441350638</c:v>
                </c:pt>
                <c:pt idx="115">
                  <c:v>0.4179566299109117</c:v>
                </c:pt>
                <c:pt idx="116">
                  <c:v>0.42050780897668633</c:v>
                </c:pt>
                <c:pt idx="117">
                  <c:v>0.42306189694280555</c:v>
                </c:pt>
                <c:pt idx="118">
                  <c:v>0.42561889915303758</c:v>
                </c:pt>
                <c:pt idx="119">
                  <c:v>0.42817882096297899</c:v>
                </c:pt>
                <c:pt idx="120">
                  <c:v>0.43074166774009032</c:v>
                </c:pt>
                <c:pt idx="121">
                  <c:v>0.43330744486373152</c:v>
                </c:pt>
                <c:pt idx="122">
                  <c:v>0.4358761577251975</c:v>
                </c:pt>
                <c:pt idx="123">
                  <c:v>0.43844781172775427</c:v>
                </c:pt>
                <c:pt idx="124">
                  <c:v>0.44102241228667455</c:v>
                </c:pt>
                <c:pt idx="125">
                  <c:v>0.44359996482927411</c:v>
                </c:pt>
                <c:pt idx="126">
                  <c:v>0.4461804747949476</c:v>
                </c:pt>
                <c:pt idx="127">
                  <c:v>0.44876394763520538</c:v>
                </c:pt>
                <c:pt idx="128">
                  <c:v>0.4513503888137092</c:v>
                </c:pt>
                <c:pt idx="129">
                  <c:v>0.45393980380630983</c:v>
                </c:pt>
                <c:pt idx="130">
                  <c:v>0.45653219810108253</c:v>
                </c:pt>
                <c:pt idx="131">
                  <c:v>0.45912757719836461</c:v>
                </c:pt>
                <c:pt idx="132">
                  <c:v>0.46172594661079208</c:v>
                </c:pt>
                <c:pt idx="133">
                  <c:v>0.46432731186333737</c:v>
                </c:pt>
                <c:pt idx="134">
                  <c:v>0.46693167849334516</c:v>
                </c:pt>
                <c:pt idx="135">
                  <c:v>0.46953905205057112</c:v>
                </c:pt>
                <c:pt idx="136">
                  <c:v>0.47214943809721821</c:v>
                </c:pt>
                <c:pt idx="137">
                  <c:v>0.47476284220797538</c:v>
                </c:pt>
                <c:pt idx="138">
                  <c:v>0.4773792699700542</c:v>
                </c:pt>
                <c:pt idx="139">
                  <c:v>0.47999872698322732</c:v>
                </c:pt>
                <c:pt idx="140">
                  <c:v>0.48262121885986631</c:v>
                </c:pt>
                <c:pt idx="141">
                  <c:v>0.48524675122497979</c:v>
                </c:pt>
                <c:pt idx="142">
                  <c:v>0.48787532971625147</c:v>
                </c:pt>
                <c:pt idx="143">
                  <c:v>0.49050695998407851</c:v>
                </c:pt>
                <c:pt idx="144">
                  <c:v>0.49314164769161051</c:v>
                </c:pt>
                <c:pt idx="145">
                  <c:v>0.49577939851478742</c:v>
                </c:pt>
                <c:pt idx="146">
                  <c:v>0.49842021814237897</c:v>
                </c:pt>
                <c:pt idx="147">
                  <c:v>0.50106411227602288</c:v>
                </c:pt>
                <c:pt idx="148">
                  <c:v>0.50371108663026432</c:v>
                </c:pt>
                <c:pt idx="149">
                  <c:v>0.50636114693259571</c:v>
                </c:pt>
                <c:pt idx="150">
                  <c:v>0.50901429892349415</c:v>
                </c:pt>
                <c:pt idx="151">
                  <c:v>0.51167054835646275</c:v>
                </c:pt>
                <c:pt idx="152">
                  <c:v>0.51432990099806941</c:v>
                </c:pt>
                <c:pt idx="153">
                  <c:v>0.51699236262798665</c:v>
                </c:pt>
                <c:pt idx="154">
                  <c:v>0.51965793903903146</c:v>
                </c:pt>
                <c:pt idx="155">
                  <c:v>0.52232663603720497</c:v>
                </c:pt>
                <c:pt idx="156">
                  <c:v>0.52499845944173307</c:v>
                </c:pt>
                <c:pt idx="157">
                  <c:v>0.52767341508510657</c:v>
                </c:pt>
                <c:pt idx="158">
                  <c:v>0.53035150881312165</c:v>
                </c:pt>
                <c:pt idx="159">
                  <c:v>0.53303274648491983</c:v>
                </c:pt>
                <c:pt idx="160">
                  <c:v>0.53571713397302956</c:v>
                </c:pt>
                <c:pt idx="161">
                  <c:v>0.53840467716340656</c:v>
                </c:pt>
                <c:pt idx="162">
                  <c:v>0.54109538195547502</c:v>
                </c:pt>
                <c:pt idx="163">
                  <c:v>0.54378925426216795</c:v>
                </c:pt>
                <c:pt idx="164">
                  <c:v>0.54648630000997023</c:v>
                </c:pt>
                <c:pt idx="165">
                  <c:v>0.54918652513895772</c:v>
                </c:pt>
                <c:pt idx="166">
                  <c:v>0.55188993560284094</c:v>
                </c:pt>
                <c:pt idx="167">
                  <c:v>0.55459653736900538</c:v>
                </c:pt>
                <c:pt idx="168">
                  <c:v>0.55730633641855365</c:v>
                </c:pt>
                <c:pt idx="169">
                  <c:v>0.56001933874634835</c:v>
                </c:pt>
                <c:pt idx="170">
                  <c:v>0.56273555036105261</c:v>
                </c:pt>
                <c:pt idx="171">
                  <c:v>0.56545497728517424</c:v>
                </c:pt>
                <c:pt idx="172">
                  <c:v>0.56817762555510687</c:v>
                </c:pt>
                <c:pt idx="173">
                  <c:v>0.57090350122117228</c:v>
                </c:pt>
                <c:pt idx="174">
                  <c:v>0.57363261034766511</c:v>
                </c:pt>
                <c:pt idx="175">
                  <c:v>0.57636495901289364</c:v>
                </c:pt>
                <c:pt idx="176">
                  <c:v>0.5791005533092235</c:v>
                </c:pt>
                <c:pt idx="177">
                  <c:v>0.58183939934312201</c:v>
                </c:pt>
                <c:pt idx="178">
                  <c:v>0.58458150323519942</c:v>
                </c:pt>
                <c:pt idx="179">
                  <c:v>0.5873268711202545</c:v>
                </c:pt>
                <c:pt idx="180">
                  <c:v>0.59007550914731699</c:v>
                </c:pt>
                <c:pt idx="181">
                  <c:v>0.59282742347969153</c:v>
                </c:pt>
                <c:pt idx="182">
                  <c:v>0.59558262029500231</c:v>
                </c:pt>
                <c:pt idx="183">
                  <c:v>0.59834110578523614</c:v>
                </c:pt>
                <c:pt idx="184">
                  <c:v>0.60110288615678831</c:v>
                </c:pt>
                <c:pt idx="185">
                  <c:v>0.60386796763050521</c:v>
                </c:pt>
                <c:pt idx="186">
                  <c:v>0.60663635644172997</c:v>
                </c:pt>
                <c:pt idx="187">
                  <c:v>0.60940805884034766</c:v>
                </c:pt>
                <c:pt idx="188">
                  <c:v>0.6121830810908292</c:v>
                </c:pt>
                <c:pt idx="189">
                  <c:v>0.61496142947227717</c:v>
                </c:pt>
                <c:pt idx="190">
                  <c:v>0.61774311027847018</c:v>
                </c:pt>
                <c:pt idx="191">
                  <c:v>0.62052812981791006</c:v>
                </c:pt>
                <c:pt idx="192">
                  <c:v>0.62331649441386527</c:v>
                </c:pt>
                <c:pt idx="193">
                  <c:v>0.62610821040441822</c:v>
                </c:pt>
                <c:pt idx="194">
                  <c:v>0.6289032841425104</c:v>
                </c:pt>
                <c:pt idx="195">
                  <c:v>0.63170172199598873</c:v>
                </c:pt>
                <c:pt idx="196">
                  <c:v>0.63450353034765183</c:v>
                </c:pt>
                <c:pt idx="197">
                  <c:v>0.63730871559529645</c:v>
                </c:pt>
                <c:pt idx="198">
                  <c:v>0.64011728415176339</c:v>
                </c:pt>
                <c:pt idx="199">
                  <c:v>0.64292924244498584</c:v>
                </c:pt>
                <c:pt idx="200">
                  <c:v>0.64574459691803421</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Calculations'!$AG$9:$AG$209</c:f>
              <c:numCache>
                <c:formatCode>0.0000</c:formatCode>
                <c:ptCount val="201"/>
                <c:pt idx="0">
                  <c:v>5.8558285264902303E-3</c:v>
                </c:pt>
                <c:pt idx="1">
                  <c:v>6.0770956833579972E-3</c:v>
                </c:pt>
                <c:pt idx="2">
                  <c:v>6.3068767784797194E-3</c:v>
                </c:pt>
                <c:pt idx="3">
                  <c:v>6.5451717486605127E-3</c:v>
                </c:pt>
                <c:pt idx="4">
                  <c:v>6.7919806000535168E-3</c:v>
                </c:pt>
                <c:pt idx="5">
                  <c:v>7.0473034081468336E-3</c:v>
                </c:pt>
                <c:pt idx="6">
                  <c:v>7.3111403177518654E-3</c:v>
                </c:pt>
                <c:pt idx="7">
                  <c:v>7.5834915429930858E-3</c:v>
                </c:pt>
                <c:pt idx="8">
                  <c:v>7.8643573672991796E-3</c:v>
                </c:pt>
                <c:pt idx="9">
                  <c:v>8.1537381433956606E-3</c:v>
                </c:pt>
                <c:pt idx="10">
                  <c:v>8.4516342932988431E-3</c:v>
                </c:pt>
                <c:pt idx="11">
                  <c:v>8.7580463083112535E-3</c:v>
                </c:pt>
                <c:pt idx="12">
                  <c:v>9.0729747490184524E-3</c:v>
                </c:pt>
                <c:pt idx="13">
                  <c:v>9.3964202452872566E-3</c:v>
                </c:pt>
                <c:pt idx="14">
                  <c:v>9.7283834962653744E-3</c:v>
                </c:pt>
                <c:pt idx="15">
                  <c:v>1.0068865270382464E-2</c:v>
                </c:pt>
                <c:pt idx="16">
                  <c:v>1.0417866405352597E-2</c:v>
                </c:pt>
                <c:pt idx="17">
                  <c:v>1.07753878081781E-2</c:v>
                </c:pt>
                <c:pt idx="18">
                  <c:v>1.1141430455154859E-2</c:v>
                </c:pt>
                <c:pt idx="19">
                  <c:v>1.1515995391879003E-2</c:v>
                </c:pt>
                <c:pt idx="20">
                  <c:v>1.1899083733254977E-2</c:v>
                </c:pt>
                <c:pt idx="21">
                  <c:v>1.2290696663505093E-2</c:v>
                </c:pt>
                <c:pt idx="22">
                  <c:v>1.2690835436180411E-2</c:v>
                </c:pt>
                <c:pt idx="23">
                  <c:v>1.3099501374173076E-2</c:v>
                </c:pt>
                <c:pt idx="24">
                  <c:v>1.360896424351353E-2</c:v>
                </c:pt>
                <c:pt idx="25">
                  <c:v>1.4250034539749136E-2</c:v>
                </c:pt>
                <c:pt idx="26">
                  <c:v>1.4899651456024511E-2</c:v>
                </c:pt>
                <c:pt idx="27">
                  <c:v>1.5557817471206553E-2</c:v>
                </c:pt>
                <c:pt idx="28">
                  <c:v>1.6224535133694987E-2</c:v>
                </c:pt>
                <c:pt idx="29">
                  <c:v>1.6899807061455101E-2</c:v>
                </c:pt>
                <c:pt idx="30">
                  <c:v>1.7583635942051867E-2</c:v>
                </c:pt>
                <c:pt idx="31">
                  <c:v>1.8276024532685467E-2</c:v>
                </c:pt>
                <c:pt idx="32">
                  <c:v>1.8976975660228271E-2</c:v>
                </c:pt>
                <c:pt idx="33">
                  <c:v>1.9686492221263195E-2</c:v>
                </c:pt>
                <c:pt idx="34">
                  <c:v>2.04045771821235E-2</c:v>
                </c:pt>
                <c:pt idx="35">
                  <c:v>2.1131233578934011E-2</c:v>
                </c:pt>
                <c:pt idx="36">
                  <c:v>2.1866464517653769E-2</c:v>
                </c:pt>
                <c:pt idx="37">
                  <c:v>2.2610273174120021E-2</c:v>
                </c:pt>
                <c:pt idx="38">
                  <c:v>2.336266279409379E-2</c:v>
                </c:pt>
                <c:pt idx="39">
                  <c:v>2.4123636693306711E-2</c:v>
                </c:pt>
                <c:pt idx="40">
                  <c:v>2.4893198257509429E-2</c:v>
                </c:pt>
                <c:pt idx="41">
                  <c:v>2.5671350942521265E-2</c:v>
                </c:pt>
                <c:pt idx="42">
                  <c:v>2.6458098274281538E-2</c:v>
                </c:pt>
                <c:pt idx="43">
                  <c:v>2.7253443848902041E-2</c:v>
                </c:pt>
                <c:pt idx="44">
                  <c:v>2.8057391332721206E-2</c:v>
                </c:pt>
                <c:pt idx="45">
                  <c:v>2.8869944462359555E-2</c:v>
                </c:pt>
                <c:pt idx="46">
                  <c:v>2.9691107044776607E-2</c:v>
                </c:pt>
                <c:pt idx="47">
                  <c:v>3.0520882957329246E-2</c:v>
                </c:pt>
                <c:pt idx="48">
                  <c:v>3.1359276147831579E-2</c:v>
                </c:pt>
                <c:pt idx="49">
                  <c:v>3.2206290634616094E-2</c:v>
                </c:pt>
                <c:pt idx="50">
                  <c:v>3.3061930506596414E-2</c:v>
                </c:pt>
                <c:pt idx="51">
                  <c:v>3.3926199923331381E-2</c:v>
                </c:pt>
                <c:pt idx="52">
                  <c:v>3.4799103115090685E-2</c:v>
                </c:pt>
                <c:pt idx="53">
                  <c:v>3.5680644382921872E-2</c:v>
                </c:pt>
                <c:pt idx="54">
                  <c:v>3.6570828098718811E-2</c:v>
                </c:pt>
                <c:pt idx="55">
                  <c:v>3.7469658705291654E-2</c:v>
                </c:pt>
                <c:pt idx="56">
                  <c:v>3.837714071643826E-2</c:v>
                </c:pt>
                <c:pt idx="57">
                  <c:v>3.9293278717016968E-2</c:v>
                </c:pt>
                <c:pt idx="58">
                  <c:v>4.0218077363020986E-2</c:v>
                </c:pt>
                <c:pt idx="59">
                  <c:v>4.1151541381654153E-2</c:v>
                </c:pt>
                <c:pt idx="60">
                  <c:v>4.2093675571408126E-2</c:v>
                </c:pt>
                <c:pt idx="61">
                  <c:v>4.3044484802141215E-2</c:v>
                </c:pt>
                <c:pt idx="62">
                  <c:v>4.4003974015158417E-2</c:v>
                </c:pt>
                <c:pt idx="63">
                  <c:v>4.4972148223293228E-2</c:v>
                </c:pt>
                <c:pt idx="64">
                  <c:v>4.5949012510990664E-2</c:v>
                </c:pt>
                <c:pt idx="65">
                  <c:v>4.6934572034391948E-2</c:v>
                </c:pt>
                <c:pt idx="66">
                  <c:v>4.7928832021420537E-2</c:v>
                </c:pt>
                <c:pt idx="67">
                  <c:v>4.8931797771869831E-2</c:v>
                </c:pt>
                <c:pt idx="68">
                  <c:v>4.9943474657492111E-2</c:v>
                </c:pt>
                <c:pt idx="69">
                  <c:v>5.0963868122089195E-2</c:v>
                </c:pt>
                <c:pt idx="70">
                  <c:v>5.1992983681604439E-2</c:v>
                </c:pt>
                <c:pt idx="71">
                  <c:v>5.3030826924216408E-2</c:v>
                </c:pt>
                <c:pt idx="72">
                  <c:v>5.4077403510433733E-2</c:v>
                </c:pt>
                <c:pt idx="73">
                  <c:v>5.5132719173191867E-2</c:v>
                </c:pt>
                <c:pt idx="74">
                  <c:v>5.6196779717951083E-2</c:v>
                </c:pt>
                <c:pt idx="75">
                  <c:v>5.7269591022796065E-2</c:v>
                </c:pt>
                <c:pt idx="76">
                  <c:v>5.8351159038536972E-2</c:v>
                </c:pt>
                <c:pt idx="77">
                  <c:v>5.9441489788812099E-2</c:v>
                </c:pt>
                <c:pt idx="78">
                  <c:v>6.0540589370192008E-2</c:v>
                </c:pt>
                <c:pt idx="79">
                  <c:v>6.1648463952285182E-2</c:v>
                </c:pt>
                <c:pt idx="80">
                  <c:v>6.2765119777845185E-2</c:v>
                </c:pt>
                <c:pt idx="81">
                  <c:v>6.3890563162879416E-2</c:v>
                </c:pt>
                <c:pt idx="82">
                  <c:v>6.5024800496759405E-2</c:v>
                </c:pt>
                <c:pt idx="83">
                  <c:v>6.6167838242332577E-2</c:v>
                </c:pt>
                <c:pt idx="84">
                  <c:v>6.7319682936035588E-2</c:v>
                </c:pt>
                <c:pt idx="85">
                  <c:v>6.8480341188009164E-2</c:v>
                </c:pt>
                <c:pt idx="86">
                  <c:v>6.9649819682214731E-2</c:v>
                </c:pt>
                <c:pt idx="87">
                  <c:v>7.0828125176552223E-2</c:v>
                </c:pt>
                <c:pt idx="88">
                  <c:v>7.2015264502979751E-2</c:v>
                </c:pt>
                <c:pt idx="89">
                  <c:v>7.3211244567634656E-2</c:v>
                </c:pt>
                <c:pt idx="90">
                  <c:v>7.4416072350956333E-2</c:v>
                </c:pt>
                <c:pt idx="91">
                  <c:v>7.5629754907810307E-2</c:v>
                </c:pt>
                <c:pt idx="92">
                  <c:v>7.6852299367614299E-2</c:v>
                </c:pt>
                <c:pt idx="93">
                  <c:v>7.8083712934465463E-2</c:v>
                </c:pt>
                <c:pt idx="94">
                  <c:v>7.9324002887269582E-2</c:v>
                </c:pt>
                <c:pt idx="95">
                  <c:v>8.0573176579871481E-2</c:v>
                </c:pt>
                <c:pt idx="96">
                  <c:v>8.1831241441187433E-2</c:v>
                </c:pt>
                <c:pt idx="97">
                  <c:v>8.3098204975338819E-2</c:v>
                </c:pt>
                <c:pt idx="98">
                  <c:v>8.4374074761787543E-2</c:v>
                </c:pt>
                <c:pt idx="99">
                  <c:v>8.5658858455473219E-2</c:v>
                </c:pt>
                <c:pt idx="100">
                  <c:v>8.6952563786951639E-2</c:v>
                </c:pt>
                <c:pt idx="101">
                  <c:v>8.8255198562535012E-2</c:v>
                </c:pt>
                <c:pt idx="102">
                  <c:v>8.9566770664433984E-2</c:v>
                </c:pt>
                <c:pt idx="103">
                  <c:v>9.0887288050901141E-2</c:v>
                </c:pt>
                <c:pt idx="104">
                  <c:v>9.2216758756376013E-2</c:v>
                </c:pt>
                <c:pt idx="105">
                  <c:v>9.3555190891631987E-2</c:v>
                </c:pt>
                <c:pt idx="106">
                  <c:v>9.4902592643924741E-2</c:v>
                </c:pt>
                <c:pt idx="107">
                  <c:v>9.6258972277142293E-2</c:v>
                </c:pt>
                <c:pt idx="108">
                  <c:v>9.7624338131956798E-2</c:v>
                </c:pt>
                <c:pt idx="109">
                  <c:v>9.8998698625977863E-2</c:v>
                </c:pt>
                <c:pt idx="110">
                  <c:v>0.10038206225390775</c:v>
                </c:pt>
                <c:pt idx="111">
                  <c:v>0.10177443758769808</c:v>
                </c:pt>
                <c:pt idx="112">
                  <c:v>0.10317583327670818</c:v>
                </c:pt>
                <c:pt idx="113">
                  <c:v>0.10458625804786531</c:v>
                </c:pt>
                <c:pt idx="114">
                  <c:v>0.10600572070582659</c:v>
                </c:pt>
                <c:pt idx="115">
                  <c:v>0.10743423013314207</c:v>
                </c:pt>
                <c:pt idx="116">
                  <c:v>0.10887179529042042</c:v>
                </c:pt>
                <c:pt idx="117">
                  <c:v>0.11031842521649568</c:v>
                </c:pt>
                <c:pt idx="118">
                  <c:v>0.11177412902859581</c:v>
                </c:pt>
                <c:pt idx="119">
                  <c:v>0.11323891592251303</c:v>
                </c:pt>
                <c:pt idx="120">
                  <c:v>0.11471279517277617</c:v>
                </c:pt>
                <c:pt idx="121">
                  <c:v>0.11619577613282425</c:v>
                </c:pt>
                <c:pt idx="122">
                  <c:v>0.11768786823518203</c:v>
                </c:pt>
                <c:pt idx="123">
                  <c:v>0.11918908099163746</c:v>
                </c:pt>
                <c:pt idx="124">
                  <c:v>0.12069942399342064</c:v>
                </c:pt>
                <c:pt idx="125">
                  <c:v>0.12221890691138478</c:v>
                </c:pt>
                <c:pt idx="126">
                  <c:v>0.12374753949618862</c:v>
                </c:pt>
                <c:pt idx="127">
                  <c:v>0.12528533157848076</c:v>
                </c:pt>
                <c:pt idx="128">
                  <c:v>0.12683229306908619</c:v>
                </c:pt>
                <c:pt idx="129">
                  <c:v>0.12838843395919372</c:v>
                </c:pt>
                <c:pt idx="130">
                  <c:v>0.12995376432054612</c:v>
                </c:pt>
                <c:pt idx="131">
                  <c:v>0.13152829430563126</c:v>
                </c:pt>
                <c:pt idx="132">
                  <c:v>0.13311203414787587</c:v>
                </c:pt>
                <c:pt idx="133">
                  <c:v>0.13470499416184054</c:v>
                </c:pt>
                <c:pt idx="134">
                  <c:v>0.13630718474341647</c:v>
                </c:pt>
                <c:pt idx="135">
                  <c:v>0.13791861637002459</c:v>
                </c:pt>
                <c:pt idx="136">
                  <c:v>0.1395392996008161</c:v>
                </c:pt>
                <c:pt idx="137">
                  <c:v>0.14116924507687498</c:v>
                </c:pt>
                <c:pt idx="138">
                  <c:v>0.1428084635214224</c:v>
                </c:pt>
                <c:pt idx="139">
                  <c:v>0.14445696574002281</c:v>
                </c:pt>
                <c:pt idx="140">
                  <c:v>0.14611476262079212</c:v>
                </c:pt>
                <c:pt idx="141">
                  <c:v>0.14778186513460767</c:v>
                </c:pt>
                <c:pt idx="142">
                  <c:v>0.14945828433532005</c:v>
                </c:pt>
                <c:pt idx="143">
                  <c:v>0.15114403135996668</c:v>
                </c:pt>
                <c:pt idx="144">
                  <c:v>0.15283911742898795</c:v>
                </c:pt>
                <c:pt idx="145">
                  <c:v>0.15454355384644416</c:v>
                </c:pt>
                <c:pt idx="146">
                  <c:v>0.15625735200023555</c:v>
                </c:pt>
                <c:pt idx="147">
                  <c:v>0.15798052336232313</c:v>
                </c:pt>
                <c:pt idx="148">
                  <c:v>0.15971307948895258</c:v>
                </c:pt>
                <c:pt idx="149">
                  <c:v>0.16145503202087916</c:v>
                </c:pt>
                <c:pt idx="150">
                  <c:v>0.16320639268359513</c:v>
                </c:pt>
                <c:pt idx="151">
                  <c:v>0.16496717328755872</c:v>
                </c:pt>
                <c:pt idx="152">
                  <c:v>0.16673738572842561</c:v>
                </c:pt>
                <c:pt idx="153">
                  <c:v>0.16851704198728187</c:v>
                </c:pt>
                <c:pt idx="154">
                  <c:v>0.1703061541308791</c:v>
                </c:pt>
                <c:pt idx="155">
                  <c:v>0.17210473431187165</c:v>
                </c:pt>
                <c:pt idx="156">
                  <c:v>0.17391279476905541</c:v>
                </c:pt>
                <c:pt idx="157">
                  <c:v>0.17573034782760985</c:v>
                </c:pt>
                <c:pt idx="158">
                  <c:v>0.17755740589933997</c:v>
                </c:pt>
                <c:pt idx="159">
                  <c:v>0.1793939814829224</c:v>
                </c:pt>
                <c:pt idx="160">
                  <c:v>0.18124008716415246</c:v>
                </c:pt>
                <c:pt idx="161">
                  <c:v>0.18309573561619319</c:v>
                </c:pt>
                <c:pt idx="162">
                  <c:v>0.18496093959982693</c:v>
                </c:pt>
                <c:pt idx="163">
                  <c:v>0.18683571196370888</c:v>
                </c:pt>
                <c:pt idx="164">
                  <c:v>0.18872006564462249</c:v>
                </c:pt>
                <c:pt idx="165">
                  <c:v>0.19061401366773692</c:v>
                </c:pt>
                <c:pt idx="166">
                  <c:v>0.1925175691468671</c:v>
                </c:pt>
                <c:pt idx="167">
                  <c:v>0.19443074528473511</c:v>
                </c:pt>
                <c:pt idx="168">
                  <c:v>0.19635355537323479</c:v>
                </c:pt>
                <c:pt idx="169">
                  <c:v>0.19828601279369709</c:v>
                </c:pt>
                <c:pt idx="170">
                  <c:v>0.20022813101715878</c:v>
                </c:pt>
                <c:pt idx="171">
                  <c:v>0.20217992360463294</c:v>
                </c:pt>
                <c:pt idx="172">
                  <c:v>0.20414140420738089</c:v>
                </c:pt>
                <c:pt idx="173">
                  <c:v>0.20611258656718762</c:v>
                </c:pt>
                <c:pt idx="174">
                  <c:v>0.20809348451663839</c:v>
                </c:pt>
                <c:pt idx="175">
                  <c:v>0.21008411197939769</c:v>
                </c:pt>
                <c:pt idx="176">
                  <c:v>0.21208448297049098</c:v>
                </c:pt>
                <c:pt idx="177">
                  <c:v>0.2140946115965878</c:v>
                </c:pt>
                <c:pt idx="178">
                  <c:v>0.21611451205628771</c:v>
                </c:pt>
                <c:pt idx="179">
                  <c:v>0.21814419864040871</c:v>
                </c:pt>
                <c:pt idx="180">
                  <c:v>0.22018368573227678</c:v>
                </c:pt>
                <c:pt idx="181">
                  <c:v>0.22223298780801878</c:v>
                </c:pt>
                <c:pt idx="182">
                  <c:v>0.22429211943685765</c:v>
                </c:pt>
                <c:pt idx="183">
                  <c:v>0.22636109528140885</c:v>
                </c:pt>
                <c:pt idx="184">
                  <c:v>0.22843993009797992</c:v>
                </c:pt>
                <c:pt idx="185">
                  <c:v>0.23052863873687274</c:v>
                </c:pt>
                <c:pt idx="186">
                  <c:v>0.23262723614268696</c:v>
                </c:pt>
                <c:pt idx="187">
                  <c:v>0.23473573735462666</c:v>
                </c:pt>
                <c:pt idx="188">
                  <c:v>0.23685415750680888</c:v>
                </c:pt>
                <c:pt idx="189">
                  <c:v>0.23898251182857522</c:v>
                </c:pt>
                <c:pt idx="190">
                  <c:v>0.2411208156448047</c:v>
                </c:pt>
                <c:pt idx="191">
                  <c:v>0.24326908437622999</c:v>
                </c:pt>
                <c:pt idx="192">
                  <c:v>0.24542733353975549</c:v>
                </c:pt>
                <c:pt idx="193">
                  <c:v>0.24759557874877836</c:v>
                </c:pt>
                <c:pt idx="194">
                  <c:v>0.24977383571351103</c:v>
                </c:pt>
                <c:pt idx="195">
                  <c:v>0.25196212024130715</c:v>
                </c:pt>
                <c:pt idx="196">
                  <c:v>0.25416044823698986</c:v>
                </c:pt>
                <c:pt idx="197">
                  <c:v>0.25636883570318131</c:v>
                </c:pt>
                <c:pt idx="198">
                  <c:v>0.25858729874063674</c:v>
                </c:pt>
                <c:pt idx="199">
                  <c:v>0.260815853548579</c:v>
                </c:pt>
                <c:pt idx="200">
                  <c:v>0.26305451642503724</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Calculations'!$Q$9:$Q$209</c:f>
              <c:numCache>
                <c:formatCode>0.0000</c:formatCode>
                <c:ptCount val="201"/>
                <c:pt idx="0">
                  <c:v>0.2033106671216357</c:v>
                </c:pt>
                <c:pt idx="1">
                  <c:v>0.20332968970688026</c:v>
                </c:pt>
                <c:pt idx="2">
                  <c:v>0.20338473189985995</c:v>
                </c:pt>
                <c:pt idx="3">
                  <c:v>0.20347579465197391</c:v>
                </c:pt>
                <c:pt idx="4">
                  <c:v>0.20360287953726086</c:v>
                </c:pt>
                <c:pt idx="5">
                  <c:v>0.20376598875246715</c:v>
                </c:pt>
                <c:pt idx="6">
                  <c:v>0.20396512511714163</c:v>
                </c:pt>
                <c:pt idx="7">
                  <c:v>0.20420029207375756</c:v>
                </c:pt>
                <c:pt idx="8">
                  <c:v>0.20447149368786136</c:v>
                </c:pt>
                <c:pt idx="9">
                  <c:v>0.20477873464824833</c:v>
                </c:pt>
                <c:pt idx="10">
                  <c:v>0.20512202026716542</c:v>
                </c:pt>
                <c:pt idx="11">
                  <c:v>0.20550135648054071</c:v>
                </c:pt>
                <c:pt idx="12">
                  <c:v>0.20591674984824032</c:v>
                </c:pt>
                <c:pt idx="13">
                  <c:v>0.20636820755435178</c:v>
                </c:pt>
                <c:pt idx="14">
                  <c:v>0.20685573740749497</c:v>
                </c:pt>
                <c:pt idx="15">
                  <c:v>0.20737934784115969</c:v>
                </c:pt>
                <c:pt idx="16">
                  <c:v>0.20793904791407072</c:v>
                </c:pt>
                <c:pt idx="17">
                  <c:v>0.20853484731057953</c:v>
                </c:pt>
                <c:pt idx="18">
                  <c:v>0.20916675634108362</c:v>
                </c:pt>
                <c:pt idx="19">
                  <c:v>0.2098347859424726</c:v>
                </c:pt>
                <c:pt idx="20">
                  <c:v>0.2105389476786019</c:v>
                </c:pt>
                <c:pt idx="21">
                  <c:v>0.21127925374079345</c:v>
                </c:pt>
                <c:pt idx="22">
                  <c:v>0.21205571694836373</c:v>
                </c:pt>
                <c:pt idx="23">
                  <c:v>0.2128683507491792</c:v>
                </c:pt>
                <c:pt idx="24">
                  <c:v>0.21371716922023912</c:v>
                </c:pt>
                <c:pt idx="25">
                  <c:v>0.21460218706828571</c:v>
                </c:pt>
                <c:pt idx="26">
                  <c:v>0.21552341963044194</c:v>
                </c:pt>
                <c:pt idx="27">
                  <c:v>0.21648088287487671</c:v>
                </c:pt>
                <c:pt idx="28">
                  <c:v>0.21747459340149769</c:v>
                </c:pt>
                <c:pt idx="29">
                  <c:v>0.21850456844267185</c:v>
                </c:pt>
                <c:pt idx="30">
                  <c:v>0.21957082586397353</c:v>
                </c:pt>
                <c:pt idx="31">
                  <c:v>0.22067338416496046</c:v>
                </c:pt>
                <c:pt idx="32">
                  <c:v>0.22181226247997751</c:v>
                </c:pt>
                <c:pt idx="33">
                  <c:v>0.22298748057898832</c:v>
                </c:pt>
                <c:pt idx="34">
                  <c:v>0.22419905886843491</c:v>
                </c:pt>
                <c:pt idx="35">
                  <c:v>0.22544701839212533</c:v>
                </c:pt>
                <c:pt idx="36">
                  <c:v>0.22673138083214955</c:v>
                </c:pt>
                <c:pt idx="37">
                  <c:v>0.22805216850982302</c:v>
                </c:pt>
                <c:pt idx="38">
                  <c:v>0.22940940438665922</c:v>
                </c:pt>
                <c:pt idx="39">
                  <c:v>0.23080311206536994</c:v>
                </c:pt>
                <c:pt idx="40">
                  <c:v>0.23223331579089435</c:v>
                </c:pt>
                <c:pt idx="41">
                  <c:v>0.23370004045145615</c:v>
                </c:pt>
                <c:pt idx="42">
                  <c:v>0.23520331157964991</c:v>
                </c:pt>
                <c:pt idx="43">
                  <c:v>0.2367431553535555</c:v>
                </c:pt>
                <c:pt idx="44">
                  <c:v>0.2383195985978816</c:v>
                </c:pt>
                <c:pt idx="45">
                  <c:v>0.23993266878513794</c:v>
                </c:pt>
                <c:pt idx="46">
                  <c:v>0.24158239403683665</c:v>
                </c:pt>
                <c:pt idx="47">
                  <c:v>0.24326880312472238</c:v>
                </c:pt>
                <c:pt idx="48">
                  <c:v>0.24499192547203197</c:v>
                </c:pt>
                <c:pt idx="49">
                  <c:v>0.24675179115478296</c:v>
                </c:pt>
                <c:pt idx="50">
                  <c:v>0.2485484309030917</c:v>
                </c:pt>
                <c:pt idx="51">
                  <c:v>0.25038187610252088</c:v>
                </c:pt>
                <c:pt idx="52">
                  <c:v>0.25225215879545682</c:v>
                </c:pt>
                <c:pt idx="53">
                  <c:v>0.25415931168251582</c:v>
                </c:pt>
                <c:pt idx="54">
                  <c:v>0.25610336812398138</c:v>
                </c:pt>
                <c:pt idx="55">
                  <c:v>0.25808436214127012</c:v>
                </c:pt>
                <c:pt idx="56">
                  <c:v>0.26010232841842895</c:v>
                </c:pt>
                <c:pt idx="57">
                  <c:v>0.26215730230366135</c:v>
                </c:pt>
                <c:pt idx="58">
                  <c:v>0.26424931981088479</c:v>
                </c:pt>
                <c:pt idx="59">
                  <c:v>0.26637841762131798</c:v>
                </c:pt>
                <c:pt idx="60">
                  <c:v>0.26854463308509896</c:v>
                </c:pt>
                <c:pt idx="61">
                  <c:v>0.27074800422293405</c:v>
                </c:pt>
                <c:pt idx="62">
                  <c:v>0.27298856972777691</c:v>
                </c:pt>
                <c:pt idx="63">
                  <c:v>0.27526636896653983</c:v>
                </c:pt>
                <c:pt idx="64">
                  <c:v>0.27758144198183471</c:v>
                </c:pt>
                <c:pt idx="65">
                  <c:v>0.27993382949374623</c:v>
                </c:pt>
                <c:pt idx="66">
                  <c:v>0.28232357290163623</c:v>
                </c:pt>
                <c:pt idx="67">
                  <c:v>0.28475071428597931</c:v>
                </c:pt>
                <c:pt idx="68">
                  <c:v>0.28721529641023086</c:v>
                </c:pt>
                <c:pt idx="69">
                  <c:v>0.28971736272272591</c:v>
                </c:pt>
                <c:pt idx="70">
                  <c:v>0.29225695735861096</c:v>
                </c:pt>
                <c:pt idx="71">
                  <c:v>0.29483412514180773</c:v>
                </c:pt>
                <c:pt idx="72">
                  <c:v>0.29744891158700859</c:v>
                </c:pt>
                <c:pt idx="73">
                  <c:v>0.30010136290170564</c:v>
                </c:pt>
                <c:pt idx="74">
                  <c:v>0.3027915259882516</c:v>
                </c:pt>
                <c:pt idx="75">
                  <c:v>0.30551944844595391</c:v>
                </c:pt>
                <c:pt idx="76">
                  <c:v>0.30828517857320176</c:v>
                </c:pt>
                <c:pt idx="77">
                  <c:v>0.31108876536962649</c:v>
                </c:pt>
                <c:pt idx="78">
                  <c:v>0.3139302585382952</c:v>
                </c:pt>
                <c:pt idx="79">
                  <c:v>0.3168097084879381</c:v>
                </c:pt>
                <c:pt idx="80">
                  <c:v>0.31972716633520937</c:v>
                </c:pt>
                <c:pt idx="81">
                  <c:v>0.32268268390698218</c:v>
                </c:pt>
                <c:pt idx="82">
                  <c:v>0.32567631374267825</c:v>
                </c:pt>
                <c:pt idx="83">
                  <c:v>0.32870810909663084</c:v>
                </c:pt>
                <c:pt idx="84">
                  <c:v>0.33177812394048284</c:v>
                </c:pt>
                <c:pt idx="85">
                  <c:v>0.33488641296562011</c:v>
                </c:pt>
                <c:pt idx="86">
                  <c:v>0.3380330315856388</c:v>
                </c:pt>
                <c:pt idx="87">
                  <c:v>0.3412180359388482</c:v>
                </c:pt>
                <c:pt idx="88">
                  <c:v>0.34444148289080978</c:v>
                </c:pt>
                <c:pt idx="89">
                  <c:v>0.34770343003691018</c:v>
                </c:pt>
                <c:pt idx="90">
                  <c:v>0.35100393570497201</c:v>
                </c:pt>
                <c:pt idx="91">
                  <c:v>0.35434305895789875</c:v>
                </c:pt>
                <c:pt idx="92">
                  <c:v>0.35772085959635747</c:v>
                </c:pt>
                <c:pt idx="93">
                  <c:v>0.36113739816149726</c:v>
                </c:pt>
                <c:pt idx="94">
                  <c:v>0.3645927359377048</c:v>
                </c:pt>
                <c:pt idx="95">
                  <c:v>0.36808693495539624</c:v>
                </c:pt>
                <c:pt idx="96">
                  <c:v>0.37162005799384712</c:v>
                </c:pt>
                <c:pt idx="97">
                  <c:v>0.3751921685840594</c:v>
                </c:pt>
                <c:pt idx="98">
                  <c:v>0.37880333101166608</c:v>
                </c:pt>
                <c:pt idx="99">
                  <c:v>0.38245361031987402</c:v>
                </c:pt>
                <c:pt idx="100">
                  <c:v>0.38614307231244493</c:v>
                </c:pt>
                <c:pt idx="101">
                  <c:v>0.38987178355671431</c:v>
                </c:pt>
                <c:pt idx="102">
                  <c:v>0.39363981138665038</c:v>
                </c:pt>
                <c:pt idx="103">
                  <c:v>0.39744722390595072</c:v>
                </c:pt>
                <c:pt idx="104">
                  <c:v>0.40129408999117888</c:v>
                </c:pt>
                <c:pt idx="105">
                  <c:v>0.40518047929494028</c:v>
                </c:pt>
                <c:pt idx="106">
                  <c:v>0.4091064622490983</c:v>
                </c:pt>
                <c:pt idx="107">
                  <c:v>0.41307211006803013</c:v>
                </c:pt>
                <c:pt idx="108">
                  <c:v>0.41707749475192291</c:v>
                </c:pt>
                <c:pt idx="109">
                  <c:v>0.42112268909011108</c:v>
                </c:pt>
                <c:pt idx="110">
                  <c:v>0.42520776666445448</c:v>
                </c:pt>
                <c:pt idx="111">
                  <c:v>0.42933280185275735</c:v>
                </c:pt>
                <c:pt idx="112">
                  <c:v>0.43349786983222965</c:v>
                </c:pt>
                <c:pt idx="113">
                  <c:v>0.43770304658298936</c:v>
                </c:pt>
                <c:pt idx="114">
                  <c:v>0.44194840889160847</c:v>
                </c:pt>
                <c:pt idx="115">
                  <c:v>0.44623403435469911</c:v>
                </c:pt>
                <c:pt idx="116">
                  <c:v>0.45056000138254532</c:v>
                </c:pt>
                <c:pt idx="117">
                  <c:v>0.45492638920277589</c:v>
                </c:pt>
                <c:pt idx="118">
                  <c:v>0.45933327786408151</c:v>
                </c:pt>
                <c:pt idx="119">
                  <c:v>0.46378074823997562</c:v>
                </c:pt>
                <c:pt idx="120">
                  <c:v>0.46826888203259981</c:v>
                </c:pt>
                <c:pt idx="121">
                  <c:v>0.47279776177657296</c:v>
                </c:pt>
                <c:pt idx="122">
                  <c:v>0.47736747084288589</c:v>
                </c:pt>
                <c:pt idx="123">
                  <c:v>0.48197809344284087</c:v>
                </c:pt>
                <c:pt idx="124">
                  <c:v>0.48662971463203675</c:v>
                </c:pt>
                <c:pt idx="125">
                  <c:v>0.49132242031440065</c:v>
                </c:pt>
                <c:pt idx="126">
                  <c:v>0.49605629724626432</c:v>
                </c:pt>
                <c:pt idx="127">
                  <c:v>0.50083143304048883</c:v>
                </c:pt>
                <c:pt idx="128">
                  <c:v>0.50564791617063598</c:v>
                </c:pt>
                <c:pt idx="129">
                  <c:v>0.51050583597518617</c:v>
                </c:pt>
                <c:pt idx="130">
                  <c:v>0.51540528266180485</c:v>
                </c:pt>
                <c:pt idx="131">
                  <c:v>0.52034634731165708</c:v>
                </c:pt>
                <c:pt idx="132">
                  <c:v>0.52532912188377101</c:v>
                </c:pt>
                <c:pt idx="133">
                  <c:v>0.5303536992194493</c:v>
                </c:pt>
                <c:pt idx="134">
                  <c:v>0.53542017304673117</c:v>
                </c:pt>
                <c:pt idx="135">
                  <c:v>0.5405286379849028</c:v>
                </c:pt>
                <c:pt idx="136">
                  <c:v>0.54567918954906014</c:v>
                </c:pt>
                <c:pt idx="137">
                  <c:v>0.55087192415471975</c:v>
                </c:pt>
                <c:pt idx="138">
                  <c:v>0.55610693912248321</c:v>
                </c:pt>
                <c:pt idx="139">
                  <c:v>0.56138433268275079</c:v>
                </c:pt>
                <c:pt idx="140">
                  <c:v>0.56670420398048882</c:v>
                </c:pt>
                <c:pt idx="141">
                  <c:v>0.57206665308004867</c:v>
                </c:pt>
                <c:pt idx="142">
                  <c:v>0.57747178097003782</c:v>
                </c:pt>
                <c:pt idx="143">
                  <c:v>0.58291968956824669</c:v>
                </c:pt>
                <c:pt idx="144">
                  <c:v>0.58841048172662624</c:v>
                </c:pt>
                <c:pt idx="145">
                  <c:v>0.59394426123632127</c:v>
                </c:pt>
                <c:pt idx="146">
                  <c:v>0.59952113283275998</c:v>
                </c:pt>
                <c:pt idx="147">
                  <c:v>0.60514120220079448</c:v>
                </c:pt>
                <c:pt idx="148">
                  <c:v>0.61080457597990168</c:v>
                </c:pt>
                <c:pt idx="149">
                  <c:v>0.61651136176943711</c:v>
                </c:pt>
                <c:pt idx="150">
                  <c:v>0.62226166813394745</c:v>
                </c:pt>
                <c:pt idx="151">
                  <c:v>0.62805560460853793</c:v>
                </c:pt>
                <c:pt idx="152">
                  <c:v>0.63389328170430048</c:v>
                </c:pt>
                <c:pt idx="153">
                  <c:v>0.63977481091379729</c:v>
                </c:pt>
                <c:pt idx="154">
                  <c:v>0.64570030471660456</c:v>
                </c:pt>
                <c:pt idx="155">
                  <c:v>0.65166987658491515</c:v>
                </c:pt>
                <c:pt idx="156">
                  <c:v>0.6576836409892014</c:v>
                </c:pt>
                <c:pt idx="157">
                  <c:v>0.66374171340393795</c:v>
                </c:pt>
                <c:pt idx="158">
                  <c:v>0.66984421031338481</c:v>
                </c:pt>
                <c:pt idx="159">
                  <c:v>0.67599124921743359</c:v>
                </c:pt>
                <c:pt idx="160">
                  <c:v>0.68218294863751416</c:v>
                </c:pt>
                <c:pt idx="161">
                  <c:v>0.6884194281225644</c:v>
                </c:pt>
                <c:pt idx="162">
                  <c:v>0.69470080825506431</c:v>
                </c:pt>
                <c:pt idx="163">
                  <c:v>0.70102721065713181</c:v>
                </c:pt>
                <c:pt idx="164">
                  <c:v>0.70739875799668495</c:v>
                </c:pt>
                <c:pt idx="165">
                  <c:v>0.71381557399366691</c:v>
                </c:pt>
                <c:pt idx="166">
                  <c:v>0.72027778342633941</c:v>
                </c:pt>
                <c:pt idx="167">
                  <c:v>0.72678551213764009</c:v>
                </c:pt>
                <c:pt idx="168">
                  <c:v>0.73333888704160688</c:v>
                </c:pt>
                <c:pt idx="169">
                  <c:v>0.73993803612987175</c:v>
                </c:pt>
                <c:pt idx="170">
                  <c:v>0.74658308847822052</c:v>
                </c:pt>
                <c:pt idx="171">
                  <c:v>0.75327417425322296</c:v>
                </c:pt>
                <c:pt idx="172">
                  <c:v>0.76001142471893046</c:v>
                </c:pt>
                <c:pt idx="173">
                  <c:v>0.76679497224364601</c:v>
                </c:pt>
                <c:pt idx="174">
                  <c:v>0.77362495030676448</c:v>
                </c:pt>
                <c:pt idx="175">
                  <c:v>0.78050149350568288</c:v>
                </c:pt>
                <c:pt idx="176">
                  <c:v>0.78742473756278453</c:v>
                </c:pt>
                <c:pt idx="177">
                  <c:v>0.79439481933249545</c:v>
                </c:pt>
                <c:pt idx="178">
                  <c:v>0.80141187680841419</c:v>
                </c:pt>
                <c:pt idx="179">
                  <c:v>0.80847604913051696</c:v>
                </c:pt>
                <c:pt idx="180">
                  <c:v>0.81558747659243669</c:v>
                </c:pt>
                <c:pt idx="181">
                  <c:v>0.82274630064881737</c:v>
                </c:pt>
                <c:pt idx="182">
                  <c:v>0.82995266392274902</c:v>
                </c:pt>
                <c:pt idx="183">
                  <c:v>0.83720671021327298</c:v>
                </c:pt>
                <c:pt idx="184">
                  <c:v>0.8445085845029725</c:v>
                </c:pt>
                <c:pt idx="185">
                  <c:v>0.85185843296563801</c:v>
                </c:pt>
                <c:pt idx="186">
                  <c:v>0.85925640297401218</c:v>
                </c:pt>
                <c:pt idx="187">
                  <c:v>0.86670264310761835</c:v>
                </c:pt>
                <c:pt idx="188">
                  <c:v>0.87419730316066713</c:v>
                </c:pt>
                <c:pt idx="189">
                  <c:v>0.88174053415004616</c:v>
                </c:pt>
                <c:pt idx="190">
                  <c:v>0.8893324883233944</c:v>
                </c:pt>
                <c:pt idx="191">
                  <c:v>0.89697331916725709</c:v>
                </c:pt>
                <c:pt idx="192">
                  <c:v>0.90466318141532898</c:v>
                </c:pt>
                <c:pt idx="193">
                  <c:v>0.91240223105678053</c:v>
                </c:pt>
                <c:pt idx="194">
                  <c:v>0.92019062534467122</c:v>
                </c:pt>
                <c:pt idx="195">
                  <c:v>0.92802852280445047</c:v>
                </c:pt>
                <c:pt idx="196">
                  <c:v>0.93591608324254727</c:v>
                </c:pt>
                <c:pt idx="197">
                  <c:v>0.94385346775504764</c:v>
                </c:pt>
                <c:pt idx="198">
                  <c:v>0.95184083873646252</c:v>
                </c:pt>
                <c:pt idx="199">
                  <c:v>0.95987835988858894</c:v>
                </c:pt>
                <c:pt idx="200">
                  <c:v>0.96796619622945879</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Calculations'!$AQ$9:$AQ$209</c:f>
              <c:numCache>
                <c:formatCode>0.00%</c:formatCode>
                <c:ptCount val="201"/>
                <c:pt idx="0">
                  <c:v>0</c:v>
                </c:pt>
                <c:pt idx="1">
                  <c:v>0.16137031524664749</c:v>
                </c:pt>
                <c:pt idx="2">
                  <c:v>0.2762723782971605</c:v>
                </c:pt>
                <c:pt idx="3">
                  <c:v>0.362238019750033</c:v>
                </c:pt>
                <c:pt idx="4">
                  <c:v>0.42896495131694551</c:v>
                </c:pt>
                <c:pt idx="5">
                  <c:v>0.48225290491878509</c:v>
                </c:pt>
                <c:pt idx="6">
                  <c:v>0.52578328396004392</c:v>
                </c:pt>
                <c:pt idx="7">
                  <c:v>0.5620053800104744</c:v>
                </c:pt>
                <c:pt idx="8">
                  <c:v>0.59261203557326991</c:v>
                </c:pt>
                <c:pt idx="9">
                  <c:v>0.61881074310822759</c:v>
                </c:pt>
                <c:pt idx="10">
                  <c:v>0.64148595288324339</c:v>
                </c:pt>
                <c:pt idx="11">
                  <c:v>0.66130033042543501</c:v>
                </c:pt>
                <c:pt idx="12">
                  <c:v>0.67876017385547804</c:v>
                </c:pt>
                <c:pt idx="13">
                  <c:v>0.69425896656349695</c:v>
                </c:pt>
                <c:pt idx="14">
                  <c:v>0.70810714123057739</c:v>
                </c:pt>
                <c:pt idx="15">
                  <c:v>0.72055289294996394</c:v>
                </c:pt>
                <c:pt idx="16">
                  <c:v>0.7317970319842485</c:v>
                </c:pt>
                <c:pt idx="17">
                  <c:v>0.74200377682578456</c:v>
                </c:pt>
                <c:pt idx="18">
                  <c:v>0.75130872572968521</c:v>
                </c:pt>
                <c:pt idx="19">
                  <c:v>0.75982483133037437</c:v>
                </c:pt>
                <c:pt idx="20">
                  <c:v>0.76764693856452326</c:v>
                </c:pt>
                <c:pt idx="21">
                  <c:v>0.77485527342498206</c:v>
                </c:pt>
                <c:pt idx="22">
                  <c:v>0.78151815504169375</c:v>
                </c:pt>
                <c:pt idx="23">
                  <c:v>0.78769412559456931</c:v>
                </c:pt>
                <c:pt idx="24">
                  <c:v>0.79370726146605919</c:v>
                </c:pt>
                <c:pt idx="25">
                  <c:v>0.79966865598725667</c:v>
                </c:pt>
                <c:pt idx="26">
                  <c:v>0.80524375726775832</c:v>
                </c:pt>
                <c:pt idx="27">
                  <c:v>0.81046807584617508</c:v>
                </c:pt>
                <c:pt idx="28">
                  <c:v>0.8153728990537622</c:v>
                </c:pt>
                <c:pt idx="29">
                  <c:v>0.81998590069225685</c:v>
                </c:pt>
                <c:pt idx="30">
                  <c:v>0.82433164805721793</c:v>
                </c:pt>
                <c:pt idx="31">
                  <c:v>0.82843202592162157</c:v>
                </c:pt>
                <c:pt idx="32">
                  <c:v>0.83230659292496312</c:v>
                </c:pt>
                <c:pt idx="33">
                  <c:v>0.83597288261491087</c:v>
                </c:pt>
                <c:pt idx="34">
                  <c:v>0.83944665891657322</c:v>
                </c:pt>
                <c:pt idx="35">
                  <c:v>0.84274213387996677</c:v>
                </c:pt>
                <c:pt idx="36">
                  <c:v>0.84587215404780924</c:v>
                </c:pt>
                <c:pt idx="37">
                  <c:v>0.84884836059571511</c:v>
                </c:pt>
                <c:pt idx="38">
                  <c:v>0.85168132745229685</c:v>
                </c:pt>
                <c:pt idx="39">
                  <c:v>0.85438068085254726</c:v>
                </c:pt>
                <c:pt idx="40">
                  <c:v>0.85695520317248908</c:v>
                </c:pt>
                <c:pt idx="41">
                  <c:v>0.85941292340451392</c:v>
                </c:pt>
                <c:pt idx="42">
                  <c:v>0.86176119623658209</c:v>
                </c:pt>
                <c:pt idx="43">
                  <c:v>0.86400677137553084</c:v>
                </c:pt>
                <c:pt idx="44">
                  <c:v>0.8661558544903647</c:v>
                </c:pt>
                <c:pt idx="45">
                  <c:v>0.86821416093402615</c:v>
                </c:pt>
                <c:pt idx="46">
                  <c:v>0.87018696322264733</c:v>
                </c:pt>
                <c:pt idx="47">
                  <c:v>0.87207913310249108</c:v>
                </c:pt>
                <c:pt idx="48">
                  <c:v>0.8738951789109537</c:v>
                </c:pt>
                <c:pt idx="49">
                  <c:v>0.87563927883456949</c:v>
                </c:pt>
                <c:pt idx="50">
                  <c:v>0.87731531058026191</c:v>
                </c:pt>
                <c:pt idx="51">
                  <c:v>0.87892687790315904</c:v>
                </c:pt>
                <c:pt idx="52">
                  <c:v>0.8804773343727571</c:v>
                </c:pt>
                <c:pt idx="53">
                  <c:v>0.88196980470712827</c:v>
                </c:pt>
                <c:pt idx="54">
                  <c:v>0.88340720396063777</c:v>
                </c:pt>
                <c:pt idx="55">
                  <c:v>0.88479225481297208</c:v>
                </c:pt>
                <c:pt idx="56">
                  <c:v>0.88612750317511912</c:v>
                </c:pt>
                <c:pt idx="57">
                  <c:v>0.88741533230039271</c:v>
                </c:pt>
                <c:pt idx="58">
                  <c:v>0.88865797556495307</c:v>
                </c:pt>
                <c:pt idx="59">
                  <c:v>0.88985752806191876</c:v>
                </c:pt>
                <c:pt idx="60">
                  <c:v>0.89101595713559778</c:v>
                </c:pt>
                <c:pt idx="61">
                  <c:v>0.89213511196718398</c:v>
                </c:pt>
                <c:pt idx="62">
                  <c:v>0.89321673231008369</c:v>
                </c:pt>
                <c:pt idx="63">
                  <c:v>0.89426245646160563</c:v>
                </c:pt>
                <c:pt idx="64">
                  <c:v>0.89527382854777637</c:v>
                </c:pt>
                <c:pt idx="65">
                  <c:v>0.89625230518935073</c:v>
                </c:pt>
                <c:pt idx="66">
                  <c:v>0.89719926160948738</c:v>
                </c:pt>
                <c:pt idx="67">
                  <c:v>0.89811599723689628</c:v>
                </c:pt>
                <c:pt idx="68">
                  <c:v>0.8990037408524213</c:v>
                </c:pt>
                <c:pt idx="69">
                  <c:v>0.89986365532187851</c:v>
                </c:pt>
                <c:pt idx="70">
                  <c:v>0.90069684195344291</c:v>
                </c:pt>
                <c:pt idx="71">
                  <c:v>0.90150434451387806</c:v>
                </c:pt>
                <c:pt idx="72">
                  <c:v>0.90228715293436756</c:v>
                </c:pt>
                <c:pt idx="73">
                  <c:v>0.90304620673358427</c:v>
                </c:pt>
                <c:pt idx="74">
                  <c:v>0.90378239818284656</c:v>
                </c:pt>
                <c:pt idx="75">
                  <c:v>0.90449657523575577</c:v>
                </c:pt>
                <c:pt idx="76">
                  <c:v>0.90518954424250908</c:v>
                </c:pt>
                <c:pt idx="77">
                  <c:v>0.90586207246712525</c:v>
                </c:pt>
                <c:pt idx="78">
                  <c:v>0.90651489042408429</c:v>
                </c:pt>
                <c:pt idx="79">
                  <c:v>0.90714869404931064</c:v>
                </c:pt>
                <c:pt idx="80">
                  <c:v>0.90776414671904682</c:v>
                </c:pt>
                <c:pt idx="81">
                  <c:v>0.90836188112890304</c:v>
                </c:pt>
                <c:pt idx="82">
                  <c:v>0.90894250104425622</c:v>
                </c:pt>
                <c:pt idx="83">
                  <c:v>0.90950658293215303</c:v>
                </c:pt>
                <c:pt idx="84">
                  <c:v>0.91005467748397717</c:v>
                </c:pt>
                <c:pt idx="85">
                  <c:v>0.91058731103731194</c:v>
                </c:pt>
                <c:pt idx="86">
                  <c:v>0.91110498690470254</c:v>
                </c:pt>
                <c:pt idx="87">
                  <c:v>0.91160818661635012</c:v>
                </c:pt>
                <c:pt idx="88">
                  <c:v>0.91209737108317557</c:v>
                </c:pt>
                <c:pt idx="89">
                  <c:v>0.91257298168613921</c:v>
                </c:pt>
                <c:pt idx="90">
                  <c:v>0.9130354412972167</c:v>
                </c:pt>
                <c:pt idx="91">
                  <c:v>0.91348515523698148</c:v>
                </c:pt>
                <c:pt idx="92">
                  <c:v>0.91392251217333786</c:v>
                </c:pt>
                <c:pt idx="93">
                  <c:v>0.91434788496558206</c:v>
                </c:pt>
                <c:pt idx="94">
                  <c:v>0.9147616314576319</c:v>
                </c:pt>
                <c:pt idx="95">
                  <c:v>0.91516409522396047</c:v>
                </c:pt>
                <c:pt idx="96">
                  <c:v>0.91555560627149302</c:v>
                </c:pt>
                <c:pt idx="97">
                  <c:v>0.91593648170046826</c:v>
                </c:pt>
                <c:pt idx="98">
                  <c:v>0.91630702632703576</c:v>
                </c:pt>
                <c:pt idx="99">
                  <c:v>0.91666753327015349</c:v>
                </c:pt>
                <c:pt idx="100">
                  <c:v>0.91701828450514389</c:v>
                </c:pt>
                <c:pt idx="101">
                  <c:v>0.91735955138610459</c:v>
                </c:pt>
                <c:pt idx="102">
                  <c:v>0.91769159513919429</c:v>
                </c:pt>
                <c:pt idx="103">
                  <c:v>0.9180146673286721</c:v>
                </c:pt>
                <c:pt idx="104">
                  <c:v>0.91832901029743064</c:v>
                </c:pt>
                <c:pt idx="105">
                  <c:v>0.91863485758363628</c:v>
                </c:pt>
                <c:pt idx="106">
                  <c:v>0.91893243431497296</c:v>
                </c:pt>
                <c:pt idx="107">
                  <c:v>0.91922195758188519</c:v>
                </c:pt>
                <c:pt idx="108">
                  <c:v>0.91950363679110991</c:v>
                </c:pt>
                <c:pt idx="109">
                  <c:v>0.91977767400070376</c:v>
                </c:pt>
                <c:pt idx="110">
                  <c:v>0.92004426423768448</c:v>
                </c:pt>
                <c:pt idx="111">
                  <c:v>0.92030359579932908</c:v>
                </c:pt>
                <c:pt idx="112">
                  <c:v>0.92055585053910494</c:v>
                </c:pt>
                <c:pt idx="113">
                  <c:v>0.92080120413813538</c:v>
                </c:pt>
                <c:pt idx="114">
                  <c:v>0.92103982636305048</c:v>
                </c:pt>
                <c:pt idx="115">
                  <c:v>0.92127188131101079</c:v>
                </c:pt>
                <c:pt idx="116">
                  <c:v>0.92149752764264259</c:v>
                </c:pt>
                <c:pt idx="117">
                  <c:v>0.92171691880357487</c:v>
                </c:pt>
                <c:pt idx="118">
                  <c:v>0.92193020323522401</c:v>
                </c:pt>
                <c:pt idx="119">
                  <c:v>0.92213752457542841</c:v>
                </c:pt>
                <c:pt idx="120">
                  <c:v>0.92233902184950112</c:v>
                </c:pt>
                <c:pt idx="121">
                  <c:v>0.92253482965222555</c:v>
                </c:pt>
                <c:pt idx="122">
                  <c:v>0.92272507832129802</c:v>
                </c:pt>
                <c:pt idx="123">
                  <c:v>0.92290989410267499</c:v>
                </c:pt>
                <c:pt idx="124">
                  <c:v>0.92308939930826828</c:v>
                </c:pt>
                <c:pt idx="125">
                  <c:v>0.92326371246639372</c:v>
                </c:pt>
                <c:pt idx="126">
                  <c:v>0.92343294846536184</c:v>
                </c:pt>
                <c:pt idx="127">
                  <c:v>0.92359721869057065</c:v>
                </c:pt>
                <c:pt idx="128">
                  <c:v>0.92375663115544149</c:v>
                </c:pt>
                <c:pt idx="129">
                  <c:v>0.92391129062651756</c:v>
                </c:pt>
                <c:pt idx="130">
                  <c:v>0.92406129874302856</c:v>
                </c:pt>
                <c:pt idx="131">
                  <c:v>0.9242067541312009</c:v>
                </c:pt>
                <c:pt idx="132">
                  <c:v>0.92434775251358392</c:v>
                </c:pt>
                <c:pt idx="133">
                  <c:v>0.92448438681364398</c:v>
                </c:pt>
                <c:pt idx="134">
                  <c:v>0.92461674725586063</c:v>
                </c:pt>
                <c:pt idx="135">
                  <c:v>0.92474492146155218</c:v>
                </c:pt>
                <c:pt idx="136">
                  <c:v>0.92486899454063831</c:v>
                </c:pt>
                <c:pt idx="137">
                  <c:v>0.92498904917954383</c:v>
                </c:pt>
                <c:pt idx="138">
                  <c:v>0.92510516572542534</c:v>
                </c:pt>
                <c:pt idx="139">
                  <c:v>0.92521742226690484</c:v>
                </c:pt>
                <c:pt idx="140">
                  <c:v>0.92532589471147442</c:v>
                </c:pt>
                <c:pt idx="141">
                  <c:v>0.92543065685973125</c:v>
                </c:pt>
                <c:pt idx="142">
                  <c:v>0.9255317804765959</c:v>
                </c:pt>
                <c:pt idx="143">
                  <c:v>0.92562933535965175</c:v>
                </c:pt>
                <c:pt idx="144">
                  <c:v>0.92572338940474486</c:v>
                </c:pt>
                <c:pt idx="145">
                  <c:v>0.92581400866896624</c:v>
                </c:pt>
                <c:pt idx="146">
                  <c:v>0.92590125743114371</c:v>
                </c:pt>
                <c:pt idx="147">
                  <c:v>0.92598519824995096</c:v>
                </c:pt>
                <c:pt idx="148">
                  <c:v>0.92606589201974787</c:v>
                </c:pt>
                <c:pt idx="149">
                  <c:v>0.9261433980242515</c:v>
                </c:pt>
                <c:pt idx="150">
                  <c:v>0.92621777398813565</c:v>
                </c:pt>
                <c:pt idx="151">
                  <c:v>0.92628907612665368</c:v>
                </c:pt>
                <c:pt idx="152">
                  <c:v>0.92635735919336915</c:v>
                </c:pt>
                <c:pt idx="153">
                  <c:v>0.92642267652608135</c:v>
                </c:pt>
                <c:pt idx="154">
                  <c:v>0.92648508009102115</c:v>
                </c:pt>
                <c:pt idx="155">
                  <c:v>0.92654462052539477</c:v>
                </c:pt>
                <c:pt idx="156">
                  <c:v>0.92660134717834819</c:v>
                </c:pt>
                <c:pt idx="157">
                  <c:v>0.92665530815041597</c:v>
                </c:pt>
                <c:pt idx="158">
                  <c:v>0.92670655033152427</c:v>
                </c:pt>
                <c:pt idx="159">
                  <c:v>0.92675511943760513</c:v>
                </c:pt>
                <c:pt idx="160">
                  <c:v>0.92680106004588414</c:v>
                </c:pt>
                <c:pt idx="161">
                  <c:v>0.92684441562889563</c:v>
                </c:pt>
                <c:pt idx="162">
                  <c:v>0.92688522858727751</c:v>
                </c:pt>
                <c:pt idx="163">
                  <c:v>0.92692354028139934</c:v>
                </c:pt>
                <c:pt idx="164">
                  <c:v>0.92695939106186798</c:v>
                </c:pt>
                <c:pt idx="165">
                  <c:v>0.92699282029896057</c:v>
                </c:pt>
                <c:pt idx="166">
                  <c:v>0.92702386641102597</c:v>
                </c:pt>
                <c:pt idx="167">
                  <c:v>0.92705256689189708</c:v>
                </c:pt>
                <c:pt idx="168">
                  <c:v>0.92707895833735565</c:v>
                </c:pt>
                <c:pt idx="169">
                  <c:v>0.92710307647068368</c:v>
                </c:pt>
                <c:pt idx="170">
                  <c:v>0.92712495616734225</c:v>
                </c:pt>
                <c:pt idx="171">
                  <c:v>0.92714463147881021</c:v>
                </c:pt>
                <c:pt idx="172">
                  <c:v>0.92716213565561367</c:v>
                </c:pt>
                <c:pt idx="173">
                  <c:v>0.9271775011695832</c:v>
                </c:pt>
                <c:pt idx="174">
                  <c:v>0.92719075973536369</c:v>
                </c:pt>
                <c:pt idx="175">
                  <c:v>0.92720194233120923</c:v>
                </c:pt>
                <c:pt idx="176">
                  <c:v>0.92721107921908796</c:v>
                </c:pt>
                <c:pt idx="177">
                  <c:v>0.92721819996412636</c:v>
                </c:pt>
                <c:pt idx="178">
                  <c:v>0.92722333345341501</c:v>
                </c:pt>
                <c:pt idx="179">
                  <c:v>0.9272265079142018</c:v>
                </c:pt>
                <c:pt idx="180">
                  <c:v>0.92722775093149568</c:v>
                </c:pt>
                <c:pt idx="181">
                  <c:v>0.92722708946510246</c:v>
                </c:pt>
                <c:pt idx="182">
                  <c:v>0.9272245498661138</c:v>
                </c:pt>
                <c:pt idx="183">
                  <c:v>0.92722015789287027</c:v>
                </c:pt>
                <c:pt idx="184">
                  <c:v>0.927213938726417</c:v>
                </c:pt>
                <c:pt idx="185">
                  <c:v>0.92720591698547228</c:v>
                </c:pt>
                <c:pt idx="186">
                  <c:v>0.9271961167409235</c:v>
                </c:pt>
                <c:pt idx="187">
                  <c:v>0.92718456152987216</c:v>
                </c:pt>
                <c:pt idx="188">
                  <c:v>0.92717127436924041</c:v>
                </c:pt>
                <c:pt idx="189">
                  <c:v>0.92715627776895604</c:v>
                </c:pt>
                <c:pt idx="190">
                  <c:v>0.92713959374473209</c:v>
                </c:pt>
                <c:pt idx="191">
                  <c:v>0.9271212438304548</c:v>
                </c:pt>
                <c:pt idx="192">
                  <c:v>0.92710124909019243</c:v>
                </c:pt>
                <c:pt idx="193">
                  <c:v>0.92707963012984029</c:v>
                </c:pt>
                <c:pt idx="194">
                  <c:v>0.92705640710841397</c:v>
                </c:pt>
                <c:pt idx="195">
                  <c:v>0.9270315997490024</c:v>
                </c:pt>
                <c:pt idx="196">
                  <c:v>0.92700522734939406</c:v>
                </c:pt>
                <c:pt idx="197">
                  <c:v>0.9269773087923846</c:v>
                </c:pt>
                <c:pt idx="198">
                  <c:v>0.92694786255578177</c:v>
                </c:pt>
                <c:pt idx="199">
                  <c:v>0.92691690672211247</c:v>
                </c:pt>
                <c:pt idx="200">
                  <c:v>0.92688445898804572</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Range="$1:$1048576"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1" max="150" min="10" page="10" val="48"/>
</file>

<file path=xl/ctrlProps/ctrlProp5.xml><?xml version="1.0" encoding="utf-8"?>
<formControlPr xmlns="http://schemas.microsoft.com/office/spreadsheetml/2009/9/main" objectType="Spin" dx="16" fmlaLink="$E$67" max="100" min="1" page="10" val="4"/>
</file>

<file path=xl/ctrlProps/ctrlProp6.xml><?xml version="1.0" encoding="utf-8"?>
<formControlPr xmlns="http://schemas.microsoft.com/office/spreadsheetml/2009/9/main" objectType="Spin" dx="16" fmlaLink="$E$68" max="100" min="1" page="10" val="5"/>
</file>

<file path=xl/ctrlProps/ctrlProp7.xml><?xml version="1.0" encoding="utf-8"?>
<formControlPr xmlns="http://schemas.microsoft.com/office/spreadsheetml/2009/9/main" objectType="Spin" dx="16" fmlaLink="$E$69" inc="10" max="1000" min="100" page="10" val="200"/>
</file>

<file path=xl/ctrlProps/ctrlProp8.xml><?xml version="1.0" encoding="utf-8"?>
<formControlPr xmlns="http://schemas.microsoft.com/office/spreadsheetml/2009/9/main" objectType="Spin" dx="16" fmlaLink="$E$70" inc="10" max="1000" min="100" page="10" val="1000"/>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4"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1" val="0"/>
</file>

<file path=xl/ctrlProps/ctrlProp16.xml><?xml version="1.0" encoding="utf-8"?>
<formControlPr xmlns="http://schemas.microsoft.com/office/spreadsheetml/2009/9/main" objectType="Drop" dropLines="3" dropStyle="combo" dx="16" fmlaLink="$Q$40" fmlaRange="'Variable Management'!$L$69:$L$71" noThreeD="1" sel="1"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5" val="0"/>
</file>

<file path=xl/ctrlProps/ctrlProp34.xml><?xml version="1.0" encoding="utf-8"?>
<formControlPr xmlns="http://schemas.microsoft.com/office/spreadsheetml/2009/9/main" objectType="Drop" dropLines="5" dropStyle="combo" dx="16" fmlaLink="$Q$44" fmlaRange="'Variable Management'!$L$69:$L$73" noThreeD="1" sel="5"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8.emf"/></Relationships>
</file>

<file path=xl/drawings/_rels/drawing4.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jpeg"/><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jpeg"/><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FIX</a:t>
              </a:r>
            </a:p>
            <a:p>
              <a:pPr algn="ctr" rtl="0">
                <a:defRPr sz="1000"/>
              </a:pPr>
              <a:r>
                <a:rPr lang="ja-JP" alt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1699260</xdr:colOff>
          <xdr:row>0</xdr:row>
          <xdr:rowOff>449580</xdr:rowOff>
        </xdr:from>
        <xdr:to>
          <xdr:col>16</xdr:col>
          <xdr:colOff>2080260</xdr:colOff>
          <xdr:row>1</xdr:row>
          <xdr:rowOff>30480</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2545342</xdr:colOff>
          <xdr:row>33</xdr:row>
          <xdr:rowOff>46285</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194"/>
                </a:ext>
              </a:extLst>
            </xdr:cNvPicPr>
          </xdr:nvPicPr>
          <xdr:blipFill>
            <a:blip xmlns:r="http://schemas.openxmlformats.org/officeDocument/2006/relationships" r:embed="rId1"/>
            <a:stretch>
              <a:fillRect/>
            </a:stretch>
          </xdr:blipFill>
          <xdr:spPr>
            <a:xfrm>
              <a:off x="4145157" y="1377690"/>
              <a:ext cx="9094689" cy="5241673"/>
            </a:xfrm>
            <a:prstGeom prst="rect">
              <a:avLst/>
            </a:prstGeom>
          </xdr:spPr>
        </xdr:pic>
        <xdr:clientData/>
      </xdr:twoCellAnchor>
    </mc:Choice>
    <mc:Fallback/>
  </mc:AlternateContent>
  <xdr:twoCellAnchor editAs="absolute">
    <xdr:from>
      <xdr:col>6</xdr:col>
      <xdr:colOff>228601</xdr:colOff>
      <xdr:row>42</xdr:row>
      <xdr:rowOff>29120</xdr:rowOff>
    </xdr:from>
    <xdr:to>
      <xdr:col>16</xdr:col>
      <xdr:colOff>2217468</xdr:colOff>
      <xdr:row>69</xdr:row>
      <xdr:rowOff>20955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556558</xdr:colOff>
      <xdr:row>61</xdr:row>
      <xdr:rowOff>168096</xdr:rowOff>
    </xdr:from>
    <xdr:to>
      <xdr:col>10</xdr:col>
      <xdr:colOff>395010</xdr:colOff>
      <xdr:row>63</xdr:row>
      <xdr:rowOff>7107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922818" y="11940996"/>
          <a:ext cx="2132072" cy="21239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56 kHz</a:t>
          </a:fld>
          <a:endParaRPr lang="en-US" sz="1050" b="1" i="0" u="none" strike="noStrike" baseline="0">
            <a:solidFill>
              <a:srgbClr val="FF0000"/>
            </a:solidFill>
            <a:latin typeface="Arial"/>
            <a:cs typeface="Arial"/>
          </a:endParaRPr>
        </a:p>
      </xdr:txBody>
    </xdr:sp>
    <xdr:clientData/>
  </xdr:twoCellAnchor>
  <xdr:twoCellAnchor>
    <xdr:from>
      <xdr:col>7</xdr:col>
      <xdr:colOff>552320</xdr:colOff>
      <xdr:row>63</xdr:row>
      <xdr:rowOff>130042</xdr:rowOff>
    </xdr:from>
    <xdr:to>
      <xdr:col>9</xdr:col>
      <xdr:colOff>472440</xdr:colOff>
      <xdr:row>64</xdr:row>
      <xdr:rowOff>187504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918580" y="12276322"/>
          <a:ext cx="1360300" cy="25558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57°</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596595</xdr:colOff>
      <xdr:row>13</xdr:row>
      <xdr:rowOff>151039</xdr:rowOff>
    </xdr:from>
    <xdr:to>
      <xdr:col>7</xdr:col>
      <xdr:colOff>243939</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47980" y="2982162"/>
          <a:ext cx="274528" cy="22860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7</xdr:col>
      <xdr:colOff>4833</xdr:colOff>
      <xdr:row>11</xdr:row>
      <xdr:rowOff>3919</xdr:rowOff>
    </xdr:from>
    <xdr:to>
      <xdr:col>7</xdr:col>
      <xdr:colOff>283187</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83402" y="2459904"/>
          <a:ext cx="278354" cy="24632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1918678</xdr:colOff>
      <xdr:row>20</xdr:row>
      <xdr:rowOff>55039</xdr:rowOff>
    </xdr:from>
    <xdr:to>
      <xdr:col>16</xdr:col>
      <xdr:colOff>2340467</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613182" y="4169839"/>
          <a:ext cx="421789" cy="23203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500911</xdr:colOff>
      <xdr:row>29</xdr:row>
      <xdr:rowOff>74937</xdr:rowOff>
    </xdr:from>
    <xdr:to>
      <xdr:col>14</xdr:col>
      <xdr:colOff>363846</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287357" y="5977506"/>
          <a:ext cx="490120" cy="26769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996587</xdr:colOff>
      <xdr:row>14</xdr:row>
      <xdr:rowOff>242483</xdr:rowOff>
    </xdr:from>
    <xdr:to>
      <xdr:col>16</xdr:col>
      <xdr:colOff>1341658</xdr:colOff>
      <xdr:row>16</xdr:row>
      <xdr:rowOff>96723</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691091" y="3204344"/>
          <a:ext cx="345071" cy="27830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a:t>
          </a:r>
        </a:p>
      </xdr:txBody>
    </xdr:sp>
    <xdr:clientData/>
  </xdr:twoCellAnchor>
  <xdr:twoCellAnchor>
    <xdr:from>
      <xdr:col>16</xdr:col>
      <xdr:colOff>866398</xdr:colOff>
      <xdr:row>20</xdr:row>
      <xdr:rowOff>87726</xdr:rowOff>
    </xdr:from>
    <xdr:to>
      <xdr:col>16</xdr:col>
      <xdr:colOff>1192164</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560902" y="4202526"/>
          <a:ext cx="325766" cy="23123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359741</xdr:colOff>
      <xdr:row>26</xdr:row>
      <xdr:rowOff>21177</xdr:rowOff>
    </xdr:from>
    <xdr:to>
      <xdr:col>16</xdr:col>
      <xdr:colOff>41176</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400556" y="5396208"/>
          <a:ext cx="373097" cy="22823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450896</xdr:colOff>
      <xdr:row>13</xdr:row>
      <xdr:rowOff>86966</xdr:rowOff>
    </xdr:from>
    <xdr:to>
      <xdr:col>9</xdr:col>
      <xdr:colOff>775670</xdr:colOff>
      <xdr:row>14</xdr:row>
      <xdr:rowOff>191636</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71404" y="2918089"/>
          <a:ext cx="324774" cy="28051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291234</xdr:colOff>
      <xdr:row>19</xdr:row>
      <xdr:rowOff>37243</xdr:rowOff>
    </xdr:from>
    <xdr:to>
      <xdr:col>7</xdr:col>
      <xdr:colOff>686223</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69803" y="4017228"/>
          <a:ext cx="394989" cy="234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62964</xdr:colOff>
      <xdr:row>17</xdr:row>
      <xdr:rowOff>144748</xdr:rowOff>
    </xdr:from>
    <xdr:to>
      <xdr:col>8</xdr:col>
      <xdr:colOff>331120</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56287" y="3755456"/>
          <a:ext cx="268156" cy="21849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76163</xdr:colOff>
      <xdr:row>13</xdr:row>
      <xdr:rowOff>129764</xdr:rowOff>
    </xdr:from>
    <xdr:to>
      <xdr:col>8</xdr:col>
      <xdr:colOff>415626</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69486" y="2960887"/>
          <a:ext cx="339463" cy="24605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353305</xdr:colOff>
      <xdr:row>27</xdr:row>
      <xdr:rowOff>76189</xdr:rowOff>
    </xdr:from>
    <xdr:to>
      <xdr:col>16</xdr:col>
      <xdr:colOff>79973</xdr:colOff>
      <xdr:row>28</xdr:row>
      <xdr:rowOff>165468</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394120" y="5627066"/>
          <a:ext cx="418330" cy="265125"/>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3.3nF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528573</xdr:colOff>
      <xdr:row>17</xdr:row>
      <xdr:rowOff>145320</xdr:rowOff>
    </xdr:from>
    <xdr:to>
      <xdr:col>9</xdr:col>
      <xdr:colOff>373520</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721896" y="3756028"/>
          <a:ext cx="472132" cy="225619"/>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12pF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751046</xdr:colOff>
      <xdr:row>14</xdr:row>
      <xdr:rowOff>168174</xdr:rowOff>
    </xdr:from>
    <xdr:to>
      <xdr:col>8</xdr:col>
      <xdr:colOff>475416</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129615" y="3175143"/>
          <a:ext cx="539124" cy="232960"/>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13kΩ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608891</xdr:colOff>
      <xdr:row>20</xdr:row>
      <xdr:rowOff>92775</xdr:rowOff>
    </xdr:from>
    <xdr:to>
      <xdr:col>7</xdr:col>
      <xdr:colOff>592711</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60276" y="4266190"/>
          <a:ext cx="611004" cy="243286"/>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490702</xdr:colOff>
      <xdr:row>12</xdr:row>
      <xdr:rowOff>37083</xdr:rowOff>
    </xdr:from>
    <xdr:to>
      <xdr:col>7</xdr:col>
      <xdr:colOff>277268</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242087" y="2668914"/>
          <a:ext cx="413750" cy="274578"/>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470Ω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450615</xdr:colOff>
      <xdr:row>14</xdr:row>
      <xdr:rowOff>178913</xdr:rowOff>
    </xdr:from>
    <xdr:to>
      <xdr:col>7</xdr:col>
      <xdr:colOff>319549</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202000" y="3185882"/>
          <a:ext cx="496118" cy="194179"/>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2200pF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1834680</xdr:colOff>
      <xdr:row>21</xdr:row>
      <xdr:rowOff>108054</xdr:rowOff>
    </xdr:from>
    <xdr:to>
      <xdr:col>16</xdr:col>
      <xdr:colOff>2524681</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529184" y="4415011"/>
          <a:ext cx="690001" cy="23993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493518</xdr:colOff>
      <xdr:row>30</xdr:row>
      <xdr:rowOff>59671</xdr:rowOff>
    </xdr:from>
    <xdr:to>
      <xdr:col>14</xdr:col>
      <xdr:colOff>454588</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279964" y="6190840"/>
          <a:ext cx="588255" cy="222017"/>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958420</xdr:colOff>
      <xdr:row>17</xdr:row>
      <xdr:rowOff>139630</xdr:rowOff>
    </xdr:from>
    <xdr:to>
      <xdr:col>16</xdr:col>
      <xdr:colOff>1420200</xdr:colOff>
      <xdr:row>19</xdr:row>
      <xdr:rowOff>49126</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652924" y="3697839"/>
          <a:ext cx="461780" cy="273930"/>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9.5µH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820892</xdr:colOff>
      <xdr:row>21</xdr:row>
      <xdr:rowOff>101486</xdr:rowOff>
    </xdr:from>
    <xdr:to>
      <xdr:col>16</xdr:col>
      <xdr:colOff>1458918</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515396" y="4408443"/>
          <a:ext cx="638026" cy="23117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29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403006</xdr:colOff>
      <xdr:row>14</xdr:row>
      <xdr:rowOff>183310</xdr:rowOff>
    </xdr:from>
    <xdr:to>
      <xdr:col>9</xdr:col>
      <xdr:colOff>756630</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223514" y="3190279"/>
          <a:ext cx="353624" cy="239890"/>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782099</xdr:colOff>
      <xdr:row>9</xdr:row>
      <xdr:rowOff>124531</xdr:rowOff>
    </xdr:from>
    <xdr:to>
      <xdr:col>16</xdr:col>
      <xdr:colOff>1150439</xdr:colOff>
      <xdr:row>11</xdr:row>
      <xdr:rowOff>19472</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476603" y="2198496"/>
          <a:ext cx="368340" cy="239498"/>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2153596</xdr:colOff>
      <xdr:row>18</xdr:row>
      <xdr:rowOff>89339</xdr:rowOff>
    </xdr:from>
    <xdr:to>
      <xdr:col>16</xdr:col>
      <xdr:colOff>2438400</xdr:colOff>
      <xdr:row>19</xdr:row>
      <xdr:rowOff>141401</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848100" y="3819826"/>
          <a:ext cx="284804" cy="244218"/>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2093962</xdr:colOff>
      <xdr:row>19</xdr:row>
      <xdr:rowOff>116485</xdr:rowOff>
    </xdr:from>
    <xdr:to>
      <xdr:col>16</xdr:col>
      <xdr:colOff>2564296</xdr:colOff>
      <xdr:row>20</xdr:row>
      <xdr:rowOff>172500</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788466" y="4039128"/>
          <a:ext cx="470334" cy="248172"/>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609638</xdr:colOff>
      <xdr:row>10</xdr:row>
      <xdr:rowOff>38586</xdr:rowOff>
    </xdr:from>
    <xdr:to>
      <xdr:col>10</xdr:col>
      <xdr:colOff>139318</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430146" y="2318724"/>
          <a:ext cx="385464" cy="26111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474919</xdr:colOff>
      <xdr:row>11</xdr:row>
      <xdr:rowOff>83690</xdr:rowOff>
    </xdr:from>
    <xdr:to>
      <xdr:col>10</xdr:col>
      <xdr:colOff>156634</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95427" y="2539675"/>
          <a:ext cx="537499" cy="243306"/>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290845</xdr:colOff>
      <xdr:row>18</xdr:row>
      <xdr:rowOff>62727</xdr:rowOff>
    </xdr:from>
    <xdr:to>
      <xdr:col>16</xdr:col>
      <xdr:colOff>609880</xdr:colOff>
      <xdr:row>19</xdr:row>
      <xdr:rowOff>176994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1023322" y="3849281"/>
          <a:ext cx="319035" cy="30769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239500</xdr:colOff>
      <xdr:row>13</xdr:row>
      <xdr:rowOff>17014</xdr:rowOff>
    </xdr:from>
    <xdr:to>
      <xdr:col>16</xdr:col>
      <xdr:colOff>562345</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934004" y="2806597"/>
          <a:ext cx="322845" cy="26812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11</xdr:col>
      <xdr:colOff>38412</xdr:colOff>
      <xdr:row>6</xdr:row>
      <xdr:rowOff>39262</xdr:rowOff>
    </xdr:from>
    <xdr:to>
      <xdr:col>11</xdr:col>
      <xdr:colOff>607274</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313855" y="1596392"/>
          <a:ext cx="568862" cy="216689"/>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210793</xdr:colOff>
      <xdr:row>5</xdr:row>
      <xdr:rowOff>8247</xdr:rowOff>
    </xdr:from>
    <xdr:to>
      <xdr:col>11</xdr:col>
      <xdr:colOff>631862</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486236" y="1393099"/>
          <a:ext cx="421069" cy="2026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787842</xdr:colOff>
      <xdr:row>6</xdr:row>
      <xdr:rowOff>29009</xdr:rowOff>
    </xdr:from>
    <xdr:to>
      <xdr:col>12</xdr:col>
      <xdr:colOff>521557</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8063285" y="1586139"/>
          <a:ext cx="588481" cy="208977"/>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12</xdr:col>
      <xdr:colOff>66917</xdr:colOff>
      <xdr:row>4</xdr:row>
      <xdr:rowOff>242103</xdr:rowOff>
    </xdr:from>
    <xdr:to>
      <xdr:col>12</xdr:col>
      <xdr:colOff>501223</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197126" y="1375164"/>
          <a:ext cx="434306" cy="21084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932560</xdr:colOff>
      <xdr:row>18</xdr:row>
      <xdr:rowOff>171948</xdr:rowOff>
    </xdr:from>
    <xdr:to>
      <xdr:col>16</xdr:col>
      <xdr:colOff>1454388</xdr:colOff>
      <xdr:row>20</xdr:row>
      <xdr:rowOff>67046</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627064" y="3902435"/>
          <a:ext cx="521828" cy="2794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12</xdr:col>
      <xdr:colOff>52938</xdr:colOff>
      <xdr:row>28</xdr:row>
      <xdr:rowOff>53618</xdr:rowOff>
    </xdr:from>
    <xdr:to>
      <xdr:col>12</xdr:col>
      <xdr:colOff>560576</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183147" y="5705670"/>
          <a:ext cx="507638" cy="22945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12</xdr:col>
      <xdr:colOff>70286</xdr:colOff>
      <xdr:row>29</xdr:row>
      <xdr:rowOff>62180</xdr:rowOff>
    </xdr:from>
    <xdr:to>
      <xdr:col>13</xdr:col>
      <xdr:colOff>78514</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200495" y="5886510"/>
          <a:ext cx="631080" cy="24822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160020</xdr:rowOff>
        </xdr:from>
        <xdr:to>
          <xdr:col>5</xdr:col>
          <xdr:colOff>182880</xdr:colOff>
          <xdr:row>61</xdr:row>
          <xdr:rowOff>7620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182880</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182880</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182880</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182880</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288536</xdr:colOff>
      <xdr:row>0</xdr:row>
      <xdr:rowOff>590091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7620</xdr:colOff>
          <xdr:row>23</xdr:row>
          <xdr:rowOff>0</xdr:rowOff>
        </xdr:from>
        <xdr:to>
          <xdr:col>1</xdr:col>
          <xdr:colOff>525780</xdr:colOff>
          <xdr:row>24</xdr:row>
          <xdr:rowOff>0</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298909</xdr:colOff>
      <xdr:row>23</xdr:row>
      <xdr:rowOff>61229</xdr:rowOff>
    </xdr:from>
    <xdr:to>
      <xdr:col>16</xdr:col>
      <xdr:colOff>872596</xdr:colOff>
      <xdr:row>24</xdr:row>
      <xdr:rowOff>177965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0993413" y="4792255"/>
          <a:ext cx="573687" cy="308893"/>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363679</xdr:colOff>
      <xdr:row>22</xdr:row>
      <xdr:rowOff>94847</xdr:rowOff>
    </xdr:from>
    <xdr:to>
      <xdr:col>16</xdr:col>
      <xdr:colOff>937366</xdr:colOff>
      <xdr:row>23</xdr:row>
      <xdr:rowOff>70014</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58183" y="4574082"/>
          <a:ext cx="573687" cy="226958"/>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83</xdr:row>
      <xdr:rowOff>175260</xdr:rowOff>
    </xdr:from>
    <xdr:to>
      <xdr:col>16</xdr:col>
      <xdr:colOff>1212518</xdr:colOff>
      <xdr:row>84</xdr:row>
      <xdr:rowOff>177165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496675" y="16253460"/>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92.7%</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165735</xdr:rowOff>
    </xdr:from>
    <xdr:to>
      <xdr:col>13</xdr:col>
      <xdr:colOff>79043</xdr:colOff>
      <xdr:row>84</xdr:row>
      <xdr:rowOff>167640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404860" y="16243935"/>
          <a:ext cx="43718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91.7%</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313720</xdr:colOff>
      <xdr:row>30</xdr:row>
      <xdr:rowOff>13788</xdr:rowOff>
    </xdr:from>
    <xdr:to>
      <xdr:col>13</xdr:col>
      <xdr:colOff>170962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443929" y="6070031"/>
          <a:ext cx="480094" cy="265988"/>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305913</xdr:colOff>
      <xdr:row>31</xdr:row>
      <xdr:rowOff>50238</xdr:rowOff>
    </xdr:from>
    <xdr:to>
      <xdr:col>13</xdr:col>
      <xdr:colOff>261683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436122" y="6278760"/>
          <a:ext cx="578622" cy="218448"/>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776226</xdr:colOff>
      <xdr:row>11</xdr:row>
      <xdr:rowOff>8003</xdr:rowOff>
    </xdr:from>
    <xdr:to>
      <xdr:col>16</xdr:col>
      <xdr:colOff>1924606</xdr:colOff>
      <xdr:row>12</xdr:row>
      <xdr:rowOff>69775</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470730" y="2426525"/>
          <a:ext cx="1148380" cy="23405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9V to 45V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57918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967741</xdr:colOff>
      <xdr:row>0</xdr:row>
      <xdr:rowOff>627487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175260</xdr:rowOff>
        </xdr:from>
        <xdr:to>
          <xdr:col>6</xdr:col>
          <xdr:colOff>3047</xdr:colOff>
          <xdr:row>4</xdr:row>
          <xdr:rowOff>236220</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676602</xdr:colOff>
      <xdr:row>17</xdr:row>
      <xdr:rowOff>112251</xdr:rowOff>
    </xdr:from>
    <xdr:to>
      <xdr:col>13</xdr:col>
      <xdr:colOff>228600</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751378" y="3679199"/>
          <a:ext cx="990601" cy="35444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200" b="1" i="0" u="none" strike="noStrike" baseline="0">
              <a:solidFill>
                <a:srgbClr val="FF0000"/>
              </a:solidFill>
              <a:latin typeface="Arial"/>
              <a:cs typeface="Arial"/>
            </a:rPr>
            <a:pPr algn="ctr" rtl="0">
              <a:defRPr sz="1000"/>
            </a:pPr>
            <a:t>LM5146</a:t>
          </a:fld>
          <a:endParaRPr lang="en-US" sz="18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22860</xdr:colOff>
          <xdr:row>106</xdr:row>
          <xdr:rowOff>0</xdr:rowOff>
        </xdr:from>
        <xdr:to>
          <xdr:col>2</xdr:col>
          <xdr:colOff>198120</xdr:colOff>
          <xdr:row>107</xdr:row>
          <xdr:rowOff>38100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57°</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198120</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198120</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198120</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198120</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198120</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198120</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198120</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198120</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198120</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198120</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198120</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198120</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198120</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198120</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198120</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198120</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198120</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198120</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198120</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198120</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198120</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198120</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198120</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48</xdr:row>
          <xdr:rowOff>7620</xdr:rowOff>
        </xdr:from>
        <xdr:to>
          <xdr:col>6</xdr:col>
          <xdr:colOff>640080</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49</xdr:row>
          <xdr:rowOff>0</xdr:rowOff>
        </xdr:from>
        <xdr:to>
          <xdr:col>6</xdr:col>
          <xdr:colOff>640080</xdr:colOff>
          <xdr:row>49</xdr:row>
          <xdr:rowOff>198120</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188260</xdr:colOff>
          <xdr:row>1</xdr:row>
          <xdr:rowOff>2526</xdr:rowOff>
        </xdr:from>
        <xdr:to>
          <xdr:col>8</xdr:col>
          <xdr:colOff>837417</xdr:colOff>
          <xdr:row>32</xdr:row>
          <xdr:rowOff>64158</xdr:rowOff>
        </xdr:to>
        <xdr:pic>
          <xdr:nvPicPr>
            <xdr:cNvPr id="78" name="Picture 77">
              <a:extLst>
                <a:ext uri="{FF2B5EF4-FFF2-40B4-BE49-F238E27FC236}">
                  <a16:creationId xmlns:a16="http://schemas.microsoft.com/office/drawing/2014/main" id="{00000000-0008-0000-0100-00004E000000}"/>
                </a:ext>
              </a:extLst>
            </xdr:cNvPr>
            <xdr:cNvPicPr>
              <a:picLocks noChangeAspect="1"/>
              <a:extLst>
                <a:ext uri="{84589F7E-364E-4C9E-8A38-B11213B215E9}">
                  <a14:cameraTool cellRange="PICTURE10" spid="_x0000_s674712"/>
                </a:ext>
              </a:extLst>
            </xdr:cNvPicPr>
          </xdr:nvPicPr>
          <xdr:blipFill>
            <a:blip xmlns:r="http://schemas.openxmlformats.org/officeDocument/2006/relationships" r:embed="rId1"/>
            <a:stretch>
              <a:fillRect/>
            </a:stretch>
          </xdr:blipFill>
          <xdr:spPr>
            <a:xfrm>
              <a:off x="188260" y="172855"/>
              <a:ext cx="9111839" cy="5341844"/>
            </a:xfrm>
            <a:prstGeom prst="rect">
              <a:avLst/>
            </a:prstGeom>
          </xdr:spPr>
        </xdr:pic>
        <xdr:clientData/>
      </xdr:twoCellAnchor>
    </mc:Choice>
    <mc:Fallback/>
  </mc:AlternateContent>
  <xdr:twoCellAnchor>
    <xdr:from>
      <xdr:col>0</xdr:col>
      <xdr:colOff>376811</xdr:colOff>
      <xdr:row>10</xdr:row>
      <xdr:rowOff>79265</xdr:rowOff>
    </xdr:from>
    <xdr:to>
      <xdr:col>1</xdr:col>
      <xdr:colOff>60013</xdr:colOff>
      <xdr:row>11</xdr:row>
      <xdr:rowOff>140986</xdr:rowOff>
    </xdr:to>
    <xdr:sp macro="" textlink="">
      <xdr:nvSpPr>
        <xdr:cNvPr id="79" name="Text Box 224">
          <a:extLst>
            <a:ext uri="{FF2B5EF4-FFF2-40B4-BE49-F238E27FC236}">
              <a16:creationId xmlns:a16="http://schemas.microsoft.com/office/drawing/2014/main" id="{00000000-0008-0000-0100-00004F000000}"/>
            </a:ext>
          </a:extLst>
        </xdr:cNvPr>
        <xdr:cNvSpPr txBox="1">
          <a:spLocks noChangeArrowheads="1"/>
        </xdr:cNvSpPr>
      </xdr:nvSpPr>
      <xdr:spPr bwMode="auto">
        <a:xfrm>
          <a:off x="376811" y="1782559"/>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575880</xdr:colOff>
      <xdr:row>7</xdr:row>
      <xdr:rowOff>102794</xdr:rowOff>
    </xdr:from>
    <xdr:to>
      <xdr:col>1</xdr:col>
      <xdr:colOff>944395</xdr:colOff>
      <xdr:row>8</xdr:row>
      <xdr:rowOff>142124</xdr:rowOff>
    </xdr:to>
    <xdr:sp macro="" textlink="">
      <xdr:nvSpPr>
        <xdr:cNvPr id="80" name="Text Box 225">
          <a:extLst>
            <a:ext uri="{FF2B5EF4-FFF2-40B4-BE49-F238E27FC236}">
              <a16:creationId xmlns:a16="http://schemas.microsoft.com/office/drawing/2014/main" id="{00000000-0008-0000-0100-000050000000}"/>
            </a:ext>
          </a:extLst>
        </xdr:cNvPr>
        <xdr:cNvSpPr txBox="1">
          <a:spLocks noChangeArrowheads="1"/>
        </xdr:cNvSpPr>
      </xdr:nvSpPr>
      <xdr:spPr bwMode="auto">
        <a:xfrm>
          <a:off x="1167551" y="1295100"/>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412578</xdr:colOff>
      <xdr:row>7</xdr:row>
      <xdr:rowOff>66616</xdr:rowOff>
    </xdr:from>
    <xdr:to>
      <xdr:col>1</xdr:col>
      <xdr:colOff>99261</xdr:colOff>
      <xdr:row>8</xdr:row>
      <xdr:rowOff>146060</xdr:rowOff>
    </xdr:to>
    <xdr:sp macro="" textlink="">
      <xdr:nvSpPr>
        <xdr:cNvPr id="81" name="Text Box 227">
          <a:extLst>
            <a:ext uri="{FF2B5EF4-FFF2-40B4-BE49-F238E27FC236}">
              <a16:creationId xmlns:a16="http://schemas.microsoft.com/office/drawing/2014/main" id="{00000000-0008-0000-0100-000051000000}"/>
            </a:ext>
          </a:extLst>
        </xdr:cNvPr>
        <xdr:cNvSpPr txBox="1">
          <a:spLocks noChangeArrowheads="1"/>
        </xdr:cNvSpPr>
      </xdr:nvSpPr>
      <xdr:spPr bwMode="auto">
        <a:xfrm>
          <a:off x="412578" y="1258922"/>
          <a:ext cx="278354"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210753</xdr:colOff>
      <xdr:row>17</xdr:row>
      <xdr:rowOff>135665</xdr:rowOff>
    </xdr:from>
    <xdr:to>
      <xdr:col>8</xdr:col>
      <xdr:colOff>632542</xdr:colOff>
      <xdr:row>19</xdr:row>
      <xdr:rowOff>23142</xdr:rowOff>
    </xdr:to>
    <xdr:sp macro="" textlink="">
      <xdr:nvSpPr>
        <xdr:cNvPr id="82" name="Text Box 228">
          <a:extLst>
            <a:ext uri="{FF2B5EF4-FFF2-40B4-BE49-F238E27FC236}">
              <a16:creationId xmlns:a16="http://schemas.microsoft.com/office/drawing/2014/main" id="{00000000-0008-0000-0100-000052000000}"/>
            </a:ext>
          </a:extLst>
        </xdr:cNvPr>
        <xdr:cNvSpPr txBox="1">
          <a:spLocks noChangeArrowheads="1"/>
        </xdr:cNvSpPr>
      </xdr:nvSpPr>
      <xdr:spPr bwMode="auto">
        <a:xfrm>
          <a:off x="8673435" y="3031265"/>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5</xdr:col>
      <xdr:colOff>21151</xdr:colOff>
      <xdr:row>28</xdr:row>
      <xdr:rowOff>3163</xdr:rowOff>
    </xdr:from>
    <xdr:to>
      <xdr:col>5</xdr:col>
      <xdr:colOff>511615</xdr:colOff>
      <xdr:row>29</xdr:row>
      <xdr:rowOff>105010</xdr:rowOff>
    </xdr:to>
    <xdr:sp macro="" textlink="">
      <xdr:nvSpPr>
        <xdr:cNvPr id="83" name="Text Box 231">
          <a:extLst>
            <a:ext uri="{FF2B5EF4-FFF2-40B4-BE49-F238E27FC236}">
              <a16:creationId xmlns:a16="http://schemas.microsoft.com/office/drawing/2014/main" id="{00000000-0008-0000-0100-000053000000}"/>
            </a:ext>
          </a:extLst>
        </xdr:cNvPr>
        <xdr:cNvSpPr txBox="1">
          <a:spLocks noChangeArrowheads="1"/>
        </xdr:cNvSpPr>
      </xdr:nvSpPr>
      <xdr:spPr bwMode="auto">
        <a:xfrm>
          <a:off x="5310327" y="4772387"/>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391320</xdr:colOff>
      <xdr:row>12</xdr:row>
      <xdr:rowOff>9344</xdr:rowOff>
    </xdr:from>
    <xdr:to>
      <xdr:col>7</xdr:col>
      <xdr:colOff>736391</xdr:colOff>
      <xdr:row>13</xdr:row>
      <xdr:rowOff>123561</xdr:rowOff>
    </xdr:to>
    <xdr:sp macro="" textlink="">
      <xdr:nvSpPr>
        <xdr:cNvPr id="84" name="Text Box 235">
          <a:extLst>
            <a:ext uri="{FF2B5EF4-FFF2-40B4-BE49-F238E27FC236}">
              <a16:creationId xmlns:a16="http://schemas.microsoft.com/office/drawing/2014/main" id="{00000000-0008-0000-0100-000054000000}"/>
            </a:ext>
          </a:extLst>
        </xdr:cNvPr>
        <xdr:cNvSpPr txBox="1">
          <a:spLocks noChangeArrowheads="1"/>
        </xdr:cNvSpPr>
      </xdr:nvSpPr>
      <xdr:spPr bwMode="auto">
        <a:xfrm>
          <a:off x="7751344" y="2053297"/>
          <a:ext cx="345071" cy="28454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a:t>
          </a:r>
        </a:p>
      </xdr:txBody>
    </xdr:sp>
    <xdr:clientData/>
  </xdr:twoCellAnchor>
  <xdr:twoCellAnchor>
    <xdr:from>
      <xdr:col>7</xdr:col>
      <xdr:colOff>261131</xdr:colOff>
      <xdr:row>17</xdr:row>
      <xdr:rowOff>168352</xdr:rowOff>
    </xdr:from>
    <xdr:to>
      <xdr:col>7</xdr:col>
      <xdr:colOff>586897</xdr:colOff>
      <xdr:row>19</xdr:row>
      <xdr:rowOff>55029</xdr:rowOff>
    </xdr:to>
    <xdr:sp macro="" textlink="">
      <xdr:nvSpPr>
        <xdr:cNvPr id="85" name="Text Box 244">
          <a:extLst>
            <a:ext uri="{FF2B5EF4-FFF2-40B4-BE49-F238E27FC236}">
              <a16:creationId xmlns:a16="http://schemas.microsoft.com/office/drawing/2014/main" id="{00000000-0008-0000-0100-000055000000}"/>
            </a:ext>
          </a:extLst>
        </xdr:cNvPr>
        <xdr:cNvSpPr txBox="1">
          <a:spLocks noChangeArrowheads="1"/>
        </xdr:cNvSpPr>
      </xdr:nvSpPr>
      <xdr:spPr bwMode="auto">
        <a:xfrm>
          <a:off x="7621155" y="3063952"/>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1135040</xdr:colOff>
      <xdr:row>24</xdr:row>
      <xdr:rowOff>92838</xdr:rowOff>
    </xdr:from>
    <xdr:to>
      <xdr:col>6</xdr:col>
      <xdr:colOff>99298</xdr:colOff>
      <xdr:row>25</xdr:row>
      <xdr:rowOff>154190</xdr:rowOff>
    </xdr:to>
    <xdr:sp macro="" textlink="">
      <xdr:nvSpPr>
        <xdr:cNvPr id="86" name="Text Box 249">
          <a:extLst>
            <a:ext uri="{FF2B5EF4-FFF2-40B4-BE49-F238E27FC236}">
              <a16:creationId xmlns:a16="http://schemas.microsoft.com/office/drawing/2014/main" id="{00000000-0008-0000-0100-000056000000}"/>
            </a:ext>
          </a:extLst>
        </xdr:cNvPr>
        <xdr:cNvSpPr txBox="1">
          <a:spLocks noChangeArrowheads="1"/>
        </xdr:cNvSpPr>
      </xdr:nvSpPr>
      <xdr:spPr bwMode="auto">
        <a:xfrm>
          <a:off x="6424216" y="4180744"/>
          <a:ext cx="371717" cy="23168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688312</xdr:colOff>
      <xdr:row>10</xdr:row>
      <xdr:rowOff>15192</xdr:rowOff>
    </xdr:from>
    <xdr:to>
      <xdr:col>2</xdr:col>
      <xdr:colOff>1013086</xdr:colOff>
      <xdr:row>11</xdr:row>
      <xdr:rowOff>128826</xdr:rowOff>
    </xdr:to>
    <xdr:sp macro="" textlink="">
      <xdr:nvSpPr>
        <xdr:cNvPr id="87" name="Text Box 251">
          <a:extLst>
            <a:ext uri="{FF2B5EF4-FFF2-40B4-BE49-F238E27FC236}">
              <a16:creationId xmlns:a16="http://schemas.microsoft.com/office/drawing/2014/main" id="{00000000-0008-0000-0100-000057000000}"/>
            </a:ext>
          </a:extLst>
        </xdr:cNvPr>
        <xdr:cNvSpPr txBox="1">
          <a:spLocks noChangeArrowheads="1"/>
        </xdr:cNvSpPr>
      </xdr:nvSpPr>
      <xdr:spPr bwMode="auto">
        <a:xfrm>
          <a:off x="2301959" y="1718486"/>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259715</xdr:colOff>
      <xdr:row>24</xdr:row>
      <xdr:rowOff>117966</xdr:rowOff>
    </xdr:from>
    <xdr:to>
      <xdr:col>2</xdr:col>
      <xdr:colOff>639595</xdr:colOff>
      <xdr:row>24</xdr:row>
      <xdr:rowOff>117966</xdr:rowOff>
    </xdr:to>
    <xdr:sp macro="" textlink="">
      <xdr:nvSpPr>
        <xdr:cNvPr id="88" name="Text Box 252">
          <a:extLst>
            <a:ext uri="{FF2B5EF4-FFF2-40B4-BE49-F238E27FC236}">
              <a16:creationId xmlns:a16="http://schemas.microsoft.com/office/drawing/2014/main" id="{00000000-0008-0000-0100-000058000000}"/>
            </a:ext>
          </a:extLst>
        </xdr:cNvPr>
        <xdr:cNvSpPr txBox="1">
          <a:spLocks noChangeArrowheads="1"/>
        </xdr:cNvSpPr>
      </xdr:nvSpPr>
      <xdr:spPr bwMode="auto">
        <a:xfrm>
          <a:off x="1873362" y="4205872"/>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107308</xdr:colOff>
      <xdr:row>16</xdr:row>
      <xdr:rowOff>99939</xdr:rowOff>
    </xdr:from>
    <xdr:to>
      <xdr:col>1</xdr:col>
      <xdr:colOff>502297</xdr:colOff>
      <xdr:row>17</xdr:row>
      <xdr:rowOff>158578</xdr:rowOff>
    </xdr:to>
    <xdr:sp macro="" textlink="">
      <xdr:nvSpPr>
        <xdr:cNvPr id="89" name="Text Box 255">
          <a:extLst>
            <a:ext uri="{FF2B5EF4-FFF2-40B4-BE49-F238E27FC236}">
              <a16:creationId xmlns:a16="http://schemas.microsoft.com/office/drawing/2014/main" id="{00000000-0008-0000-0100-000059000000}"/>
            </a:ext>
          </a:extLst>
        </xdr:cNvPr>
        <xdr:cNvSpPr txBox="1">
          <a:spLocks noChangeArrowheads="1"/>
        </xdr:cNvSpPr>
      </xdr:nvSpPr>
      <xdr:spPr bwMode="auto">
        <a:xfrm>
          <a:off x="698979" y="2825210"/>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694827</xdr:colOff>
      <xdr:row>15</xdr:row>
      <xdr:rowOff>10221</xdr:rowOff>
    </xdr:from>
    <xdr:to>
      <xdr:col>1</xdr:col>
      <xdr:colOff>962983</xdr:colOff>
      <xdr:row>16</xdr:row>
      <xdr:rowOff>61831</xdr:rowOff>
    </xdr:to>
    <xdr:sp macro="" textlink="">
      <xdr:nvSpPr>
        <xdr:cNvPr id="90" name="Text Box 256">
          <a:extLst>
            <a:ext uri="{FF2B5EF4-FFF2-40B4-BE49-F238E27FC236}">
              <a16:creationId xmlns:a16="http://schemas.microsoft.com/office/drawing/2014/main" id="{00000000-0008-0000-0100-00005A000000}"/>
            </a:ext>
          </a:extLst>
        </xdr:cNvPr>
        <xdr:cNvSpPr txBox="1">
          <a:spLocks noChangeArrowheads="1"/>
        </xdr:cNvSpPr>
      </xdr:nvSpPr>
      <xdr:spPr bwMode="auto">
        <a:xfrm>
          <a:off x="1286498" y="2565162"/>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129684</xdr:colOff>
      <xdr:row>10</xdr:row>
      <xdr:rowOff>76931</xdr:rowOff>
    </xdr:from>
    <xdr:to>
      <xdr:col>2</xdr:col>
      <xdr:colOff>444733</xdr:colOff>
      <xdr:row>11</xdr:row>
      <xdr:rowOff>149972</xdr:rowOff>
    </xdr:to>
    <xdr:sp macro="" textlink="">
      <xdr:nvSpPr>
        <xdr:cNvPr id="91" name="Text Box 257">
          <a:extLst>
            <a:ext uri="{FF2B5EF4-FFF2-40B4-BE49-F238E27FC236}">
              <a16:creationId xmlns:a16="http://schemas.microsoft.com/office/drawing/2014/main" id="{00000000-0008-0000-0100-00005B000000}"/>
            </a:ext>
          </a:extLst>
        </xdr:cNvPr>
        <xdr:cNvSpPr txBox="1">
          <a:spLocks noChangeArrowheads="1"/>
        </xdr:cNvSpPr>
      </xdr:nvSpPr>
      <xdr:spPr bwMode="auto">
        <a:xfrm>
          <a:off x="1743331" y="1780225"/>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708026</xdr:colOff>
      <xdr:row>10</xdr:row>
      <xdr:rowOff>57990</xdr:rowOff>
    </xdr:from>
    <xdr:to>
      <xdr:col>2</xdr:col>
      <xdr:colOff>25513</xdr:colOff>
      <xdr:row>11</xdr:row>
      <xdr:rowOff>137167</xdr:rowOff>
    </xdr:to>
    <xdr:sp macro="" textlink="">
      <xdr:nvSpPr>
        <xdr:cNvPr id="92" name="Text Box 258">
          <a:extLst>
            <a:ext uri="{FF2B5EF4-FFF2-40B4-BE49-F238E27FC236}">
              <a16:creationId xmlns:a16="http://schemas.microsoft.com/office/drawing/2014/main" id="{00000000-0008-0000-0100-00005C000000}"/>
            </a:ext>
          </a:extLst>
        </xdr:cNvPr>
        <xdr:cNvSpPr txBox="1">
          <a:spLocks noChangeArrowheads="1"/>
        </xdr:cNvSpPr>
      </xdr:nvSpPr>
      <xdr:spPr bwMode="auto">
        <a:xfrm>
          <a:off x="1299697" y="1761284"/>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1128604</xdr:colOff>
      <xdr:row>25</xdr:row>
      <xdr:rowOff>156815</xdr:rowOff>
    </xdr:from>
    <xdr:to>
      <xdr:col>6</xdr:col>
      <xdr:colOff>138095</xdr:colOff>
      <xdr:row>27</xdr:row>
      <xdr:rowOff>84729</xdr:rowOff>
    </xdr:to>
    <xdr:sp macro="" textlink="">
      <xdr:nvSpPr>
        <xdr:cNvPr id="93" name="Text Box 260">
          <a:extLst>
            <a:ext uri="{FF2B5EF4-FFF2-40B4-BE49-F238E27FC236}">
              <a16:creationId xmlns:a16="http://schemas.microsoft.com/office/drawing/2014/main" id="{00000000-0008-0000-0100-00005D000000}"/>
            </a:ext>
          </a:extLst>
        </xdr:cNvPr>
        <xdr:cNvSpPr txBox="1">
          <a:spLocks noChangeArrowheads="1"/>
        </xdr:cNvSpPr>
      </xdr:nvSpPr>
      <xdr:spPr bwMode="auto">
        <a:xfrm>
          <a:off x="6417780" y="4415050"/>
          <a:ext cx="416950" cy="26857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1</xdr:col>
      <xdr:colOff>998007</xdr:colOff>
      <xdr:row>11</xdr:row>
      <xdr:rowOff>86242</xdr:rowOff>
    </xdr:from>
    <xdr:to>
      <xdr:col>2</xdr:col>
      <xdr:colOff>491860</xdr:colOff>
      <xdr:row>12</xdr:row>
      <xdr:rowOff>158628</xdr:rowOff>
    </xdr:to>
    <xdr:sp macro="" textlink="'Variable Management'!B254">
      <xdr:nvSpPr>
        <xdr:cNvPr id="94" name="Text Box 261">
          <a:extLst>
            <a:ext uri="{FF2B5EF4-FFF2-40B4-BE49-F238E27FC236}">
              <a16:creationId xmlns:a16="http://schemas.microsoft.com/office/drawing/2014/main" id="{00000000-0008-0000-0100-00005E000000}"/>
            </a:ext>
          </a:extLst>
        </xdr:cNvPr>
        <xdr:cNvSpPr txBox="1">
          <a:spLocks noChangeArrowheads="1" noTextEdit="1"/>
        </xdr:cNvSpPr>
      </xdr:nvSpPr>
      <xdr:spPr bwMode="auto">
        <a:xfrm>
          <a:off x="1589678" y="1959866"/>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3.3nF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138460</xdr:colOff>
      <xdr:row>15</xdr:row>
      <xdr:rowOff>10793</xdr:rowOff>
    </xdr:from>
    <xdr:to>
      <xdr:col>2</xdr:col>
      <xdr:colOff>610936</xdr:colOff>
      <xdr:row>16</xdr:row>
      <xdr:rowOff>64358</xdr:rowOff>
    </xdr:to>
    <xdr:sp macro="" textlink="'Variable Management'!B255">
      <xdr:nvSpPr>
        <xdr:cNvPr id="95" name="Text Box 262">
          <a:extLst>
            <a:ext uri="{FF2B5EF4-FFF2-40B4-BE49-F238E27FC236}">
              <a16:creationId xmlns:a16="http://schemas.microsoft.com/office/drawing/2014/main" id="{00000000-0008-0000-0100-00005F000000}"/>
            </a:ext>
          </a:extLst>
        </xdr:cNvPr>
        <xdr:cNvSpPr txBox="1">
          <a:spLocks noChangeArrowheads="1" noTextEdit="1"/>
        </xdr:cNvSpPr>
      </xdr:nvSpPr>
      <xdr:spPr bwMode="auto">
        <a:xfrm>
          <a:off x="1752107" y="2565734"/>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12pF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567120</xdr:colOff>
      <xdr:row>11</xdr:row>
      <xdr:rowOff>105364</xdr:rowOff>
    </xdr:from>
    <xdr:to>
      <xdr:col>2</xdr:col>
      <xdr:colOff>85303</xdr:colOff>
      <xdr:row>12</xdr:row>
      <xdr:rowOff>166961</xdr:rowOff>
    </xdr:to>
    <xdr:sp macro="" textlink="'Variable Management'!B253">
      <xdr:nvSpPr>
        <xdr:cNvPr id="96" name="Text Box 263">
          <a:extLst>
            <a:ext uri="{FF2B5EF4-FFF2-40B4-BE49-F238E27FC236}">
              <a16:creationId xmlns:a16="http://schemas.microsoft.com/office/drawing/2014/main" id="{00000000-0008-0000-0100-000060000000}"/>
            </a:ext>
          </a:extLst>
        </xdr:cNvPr>
        <xdr:cNvSpPr txBox="1">
          <a:spLocks noChangeArrowheads="1" noTextEdit="1"/>
        </xdr:cNvSpPr>
      </xdr:nvSpPr>
      <xdr:spPr bwMode="auto">
        <a:xfrm>
          <a:off x="1158791" y="1978988"/>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13kΩ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389107</xdr:colOff>
      <xdr:row>18</xdr:row>
      <xdr:rowOff>3072</xdr:rowOff>
    </xdr:from>
    <xdr:to>
      <xdr:col>1</xdr:col>
      <xdr:colOff>408785</xdr:colOff>
      <xdr:row>19</xdr:row>
      <xdr:rowOff>70856</xdr:rowOff>
    </xdr:to>
    <xdr:sp macro="" textlink="'Variable Management'!B259">
      <xdr:nvSpPr>
        <xdr:cNvPr id="97" name="Text Box 264">
          <a:extLst>
            <a:ext uri="{FF2B5EF4-FFF2-40B4-BE49-F238E27FC236}">
              <a16:creationId xmlns:a16="http://schemas.microsoft.com/office/drawing/2014/main" id="{00000000-0008-0000-0100-000061000000}"/>
            </a:ext>
          </a:extLst>
        </xdr:cNvPr>
        <xdr:cNvSpPr txBox="1">
          <a:spLocks noChangeArrowheads="1" noTextEdit="1"/>
        </xdr:cNvSpPr>
      </xdr:nvSpPr>
      <xdr:spPr bwMode="auto">
        <a:xfrm>
          <a:off x="389107" y="3069001"/>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270918</xdr:colOff>
      <xdr:row>8</xdr:row>
      <xdr:rowOff>108745</xdr:rowOff>
    </xdr:from>
    <xdr:to>
      <xdr:col>1</xdr:col>
      <xdr:colOff>93342</xdr:colOff>
      <xdr:row>10</xdr:row>
      <xdr:rowOff>40595</xdr:rowOff>
    </xdr:to>
    <xdr:sp macro="" textlink="'Variable Management'!B256">
      <xdr:nvSpPr>
        <xdr:cNvPr id="98" name="Text Box 265">
          <a:extLst>
            <a:ext uri="{FF2B5EF4-FFF2-40B4-BE49-F238E27FC236}">
              <a16:creationId xmlns:a16="http://schemas.microsoft.com/office/drawing/2014/main" id="{00000000-0008-0000-0100-000062000000}"/>
            </a:ext>
          </a:extLst>
        </xdr:cNvPr>
        <xdr:cNvSpPr txBox="1">
          <a:spLocks noChangeArrowheads="1" noTextEdit="1"/>
        </xdr:cNvSpPr>
      </xdr:nvSpPr>
      <xdr:spPr bwMode="auto">
        <a:xfrm>
          <a:off x="270918" y="1471380"/>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470Ω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230831</xdr:colOff>
      <xdr:row>11</xdr:row>
      <xdr:rowOff>116103</xdr:rowOff>
    </xdr:from>
    <xdr:to>
      <xdr:col>1</xdr:col>
      <xdr:colOff>135623</xdr:colOff>
      <xdr:row>12</xdr:row>
      <xdr:rowOff>138919</xdr:rowOff>
    </xdr:to>
    <xdr:sp macro="" textlink="'Variable Management'!B257">
      <xdr:nvSpPr>
        <xdr:cNvPr id="99" name="Text Box 266">
          <a:extLst>
            <a:ext uri="{FF2B5EF4-FFF2-40B4-BE49-F238E27FC236}">
              <a16:creationId xmlns:a16="http://schemas.microsoft.com/office/drawing/2014/main" id="{00000000-0008-0000-0100-000063000000}"/>
            </a:ext>
          </a:extLst>
        </xdr:cNvPr>
        <xdr:cNvSpPr txBox="1">
          <a:spLocks noChangeArrowheads="1" noTextEdit="1"/>
        </xdr:cNvSpPr>
      </xdr:nvSpPr>
      <xdr:spPr bwMode="auto">
        <a:xfrm>
          <a:off x="230831" y="1989727"/>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2200pF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126755</xdr:colOff>
      <xdr:row>19</xdr:row>
      <xdr:rowOff>36280</xdr:rowOff>
    </xdr:from>
    <xdr:to>
      <xdr:col>8</xdr:col>
      <xdr:colOff>816756</xdr:colOff>
      <xdr:row>20</xdr:row>
      <xdr:rowOff>112898</xdr:rowOff>
    </xdr:to>
    <xdr:sp macro="" textlink="'Variable Management'!E243">
      <xdr:nvSpPr>
        <xdr:cNvPr id="100" name="Text Box 267">
          <a:extLst>
            <a:ext uri="{FF2B5EF4-FFF2-40B4-BE49-F238E27FC236}">
              <a16:creationId xmlns:a16="http://schemas.microsoft.com/office/drawing/2014/main" id="{00000000-0008-0000-0100-000064000000}"/>
            </a:ext>
          </a:extLst>
        </xdr:cNvPr>
        <xdr:cNvSpPr txBox="1">
          <a:spLocks noChangeArrowheads="1" noTextEdit="1"/>
        </xdr:cNvSpPr>
      </xdr:nvSpPr>
      <xdr:spPr bwMode="auto">
        <a:xfrm>
          <a:off x="8589437" y="3272539"/>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589975</xdr:colOff>
      <xdr:row>8</xdr:row>
      <xdr:rowOff>102276</xdr:rowOff>
    </xdr:from>
    <xdr:to>
      <xdr:col>2</xdr:col>
      <xdr:colOff>122040</xdr:colOff>
      <xdr:row>10</xdr:row>
      <xdr:rowOff>71162</xdr:rowOff>
    </xdr:to>
    <xdr:sp macro="" textlink="'Variable Management'!B258">
      <xdr:nvSpPr>
        <xdr:cNvPr id="101" name="Text Box 268">
          <a:extLst>
            <a:ext uri="{FF2B5EF4-FFF2-40B4-BE49-F238E27FC236}">
              <a16:creationId xmlns:a16="http://schemas.microsoft.com/office/drawing/2014/main" id="{00000000-0008-0000-0100-000065000000}"/>
            </a:ext>
          </a:extLst>
        </xdr:cNvPr>
        <xdr:cNvSpPr txBox="1">
          <a:spLocks noChangeArrowheads="1" noTextEdit="1"/>
        </xdr:cNvSpPr>
      </xdr:nvSpPr>
      <xdr:spPr bwMode="auto">
        <a:xfrm>
          <a:off x="1181646" y="1464911"/>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5</xdr:col>
      <xdr:colOff>13758</xdr:colOff>
      <xdr:row>29</xdr:row>
      <xdr:rowOff>50650</xdr:rowOff>
    </xdr:from>
    <xdr:to>
      <xdr:col>5</xdr:col>
      <xdr:colOff>602357</xdr:colOff>
      <xdr:row>30</xdr:row>
      <xdr:rowOff>105786</xdr:rowOff>
    </xdr:to>
    <xdr:sp macro="" textlink="'Variable Management'!B268">
      <xdr:nvSpPr>
        <xdr:cNvPr id="102" name="Text Box 270">
          <a:extLst>
            <a:ext uri="{FF2B5EF4-FFF2-40B4-BE49-F238E27FC236}">
              <a16:creationId xmlns:a16="http://schemas.microsoft.com/office/drawing/2014/main" id="{00000000-0008-0000-0100-000066000000}"/>
            </a:ext>
          </a:extLst>
        </xdr:cNvPr>
        <xdr:cNvSpPr txBox="1">
          <a:spLocks noChangeArrowheads="1" noTextEdit="1"/>
        </xdr:cNvSpPr>
      </xdr:nvSpPr>
      <xdr:spPr bwMode="auto">
        <a:xfrm>
          <a:off x="5302934" y="4990203"/>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353153</xdr:colOff>
      <xdr:row>15</xdr:row>
      <xdr:rowOff>5103</xdr:rowOff>
    </xdr:from>
    <xdr:to>
      <xdr:col>7</xdr:col>
      <xdr:colOff>814933</xdr:colOff>
      <xdr:row>16</xdr:row>
      <xdr:rowOff>111822</xdr:rowOff>
    </xdr:to>
    <xdr:sp macro="" textlink="'Variable Management'!B238">
      <xdr:nvSpPr>
        <xdr:cNvPr id="103" name="Text Box 275">
          <a:extLst>
            <a:ext uri="{FF2B5EF4-FFF2-40B4-BE49-F238E27FC236}">
              <a16:creationId xmlns:a16="http://schemas.microsoft.com/office/drawing/2014/main" id="{00000000-0008-0000-0100-000067000000}"/>
            </a:ext>
          </a:extLst>
        </xdr:cNvPr>
        <xdr:cNvSpPr txBox="1">
          <a:spLocks noChangeArrowheads="1" noTextEdit="1"/>
        </xdr:cNvSpPr>
      </xdr:nvSpPr>
      <xdr:spPr bwMode="auto">
        <a:xfrm>
          <a:off x="7713177" y="2560044"/>
          <a:ext cx="461780" cy="27704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9.5µH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215625</xdr:colOff>
      <xdr:row>19</xdr:row>
      <xdr:rowOff>29712</xdr:rowOff>
    </xdr:from>
    <xdr:to>
      <xdr:col>7</xdr:col>
      <xdr:colOff>853651</xdr:colOff>
      <xdr:row>20</xdr:row>
      <xdr:rowOff>97576</xdr:rowOff>
    </xdr:to>
    <xdr:sp macro="" textlink="'Variable Management'!E250">
      <xdr:nvSpPr>
        <xdr:cNvPr id="104" name="Text Box 276">
          <a:extLst>
            <a:ext uri="{FF2B5EF4-FFF2-40B4-BE49-F238E27FC236}">
              <a16:creationId xmlns:a16="http://schemas.microsoft.com/office/drawing/2014/main" id="{00000000-0008-0000-0100-000068000000}"/>
            </a:ext>
          </a:extLst>
        </xdr:cNvPr>
        <xdr:cNvSpPr txBox="1">
          <a:spLocks noChangeArrowheads="1" noTextEdit="1"/>
        </xdr:cNvSpPr>
      </xdr:nvSpPr>
      <xdr:spPr bwMode="auto">
        <a:xfrm>
          <a:off x="7575649" y="3265971"/>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29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900129</xdr:colOff>
      <xdr:row>7</xdr:row>
      <xdr:rowOff>20001</xdr:rowOff>
    </xdr:from>
    <xdr:to>
      <xdr:col>5</xdr:col>
      <xdr:colOff>1283534</xdr:colOff>
      <xdr:row>8</xdr:row>
      <xdr:rowOff>88717</xdr:rowOff>
    </xdr:to>
    <xdr:sp macro="" textlink="">
      <xdr:nvSpPr>
        <xdr:cNvPr id="105" name="Text Box 279">
          <a:extLst>
            <a:ext uri="{FF2B5EF4-FFF2-40B4-BE49-F238E27FC236}">
              <a16:creationId xmlns:a16="http://schemas.microsoft.com/office/drawing/2014/main" id="{00000000-0008-0000-0100-000069000000}"/>
            </a:ext>
          </a:extLst>
        </xdr:cNvPr>
        <xdr:cNvSpPr txBox="1">
          <a:spLocks noChangeArrowheads="1"/>
        </xdr:cNvSpPr>
      </xdr:nvSpPr>
      <xdr:spPr bwMode="auto">
        <a:xfrm>
          <a:off x="6189305" y="1212307"/>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640422</xdr:colOff>
      <xdr:row>11</xdr:row>
      <xdr:rowOff>120500</xdr:rowOff>
    </xdr:from>
    <xdr:to>
      <xdr:col>2</xdr:col>
      <xdr:colOff>994046</xdr:colOff>
      <xdr:row>13</xdr:row>
      <xdr:rowOff>18698</xdr:rowOff>
    </xdr:to>
    <xdr:sp macro="" textlink="'Variable Management'!B276">
      <xdr:nvSpPr>
        <xdr:cNvPr id="106" name="Text Box 281">
          <a:extLst>
            <a:ext uri="{FF2B5EF4-FFF2-40B4-BE49-F238E27FC236}">
              <a16:creationId xmlns:a16="http://schemas.microsoft.com/office/drawing/2014/main" id="{00000000-0008-0000-0100-00006A000000}"/>
            </a:ext>
          </a:extLst>
        </xdr:cNvPr>
        <xdr:cNvSpPr txBox="1">
          <a:spLocks noChangeArrowheads="1" noTextEdit="1"/>
        </xdr:cNvSpPr>
      </xdr:nvSpPr>
      <xdr:spPr bwMode="auto">
        <a:xfrm>
          <a:off x="2254069" y="1994124"/>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176832</xdr:colOff>
      <xdr:row>5</xdr:row>
      <xdr:rowOff>169298</xdr:rowOff>
    </xdr:from>
    <xdr:to>
      <xdr:col>7</xdr:col>
      <xdr:colOff>545172</xdr:colOff>
      <xdr:row>7</xdr:row>
      <xdr:rowOff>82169</xdr:rowOff>
    </xdr:to>
    <xdr:sp macro="" textlink="'Variable Management'!B280">
      <xdr:nvSpPr>
        <xdr:cNvPr id="107" name="Text Box 283">
          <a:extLst>
            <a:ext uri="{FF2B5EF4-FFF2-40B4-BE49-F238E27FC236}">
              <a16:creationId xmlns:a16="http://schemas.microsoft.com/office/drawing/2014/main" id="{00000000-0008-0000-0100-00006B000000}"/>
            </a:ext>
          </a:extLst>
        </xdr:cNvPr>
        <xdr:cNvSpPr txBox="1">
          <a:spLocks noChangeArrowheads="1" noTextEdit="1"/>
        </xdr:cNvSpPr>
      </xdr:nvSpPr>
      <xdr:spPr bwMode="auto">
        <a:xfrm>
          <a:off x="7536856" y="1020945"/>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445671</xdr:colOff>
      <xdr:row>15</xdr:row>
      <xdr:rowOff>134106</xdr:rowOff>
    </xdr:from>
    <xdr:to>
      <xdr:col>8</xdr:col>
      <xdr:colOff>730475</xdr:colOff>
      <xdr:row>17</xdr:row>
      <xdr:rowOff>33768</xdr:rowOff>
    </xdr:to>
    <xdr:sp macro="" textlink="'Variable Management'!B241">
      <xdr:nvSpPr>
        <xdr:cNvPr id="108" name="Text Box 285">
          <a:extLst>
            <a:ext uri="{FF2B5EF4-FFF2-40B4-BE49-F238E27FC236}">
              <a16:creationId xmlns:a16="http://schemas.microsoft.com/office/drawing/2014/main" id="{00000000-0008-0000-0100-00006C000000}"/>
            </a:ext>
          </a:extLst>
        </xdr:cNvPr>
        <xdr:cNvSpPr txBox="1">
          <a:spLocks noChangeArrowheads="1" noTextEdit="1"/>
        </xdr:cNvSpPr>
      </xdr:nvSpPr>
      <xdr:spPr bwMode="auto">
        <a:xfrm>
          <a:off x="8908353" y="2689047"/>
          <a:ext cx="284804"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386037</xdr:colOff>
      <xdr:row>17</xdr:row>
      <xdr:rowOff>8852</xdr:rowOff>
    </xdr:from>
    <xdr:to>
      <xdr:col>8</xdr:col>
      <xdr:colOff>856371</xdr:colOff>
      <xdr:row>18</xdr:row>
      <xdr:rowOff>82797</xdr:rowOff>
    </xdr:to>
    <xdr:sp macro="" textlink="'Variable Management'!B279">
      <xdr:nvSpPr>
        <xdr:cNvPr id="109" name="Text Box 286">
          <a:extLst>
            <a:ext uri="{FF2B5EF4-FFF2-40B4-BE49-F238E27FC236}">
              <a16:creationId xmlns:a16="http://schemas.microsoft.com/office/drawing/2014/main" id="{00000000-0008-0000-0100-00006D000000}"/>
            </a:ext>
          </a:extLst>
        </xdr:cNvPr>
        <xdr:cNvSpPr txBox="1">
          <a:spLocks noChangeArrowheads="1" noTextEdit="1"/>
        </xdr:cNvSpPr>
      </xdr:nvSpPr>
      <xdr:spPr bwMode="auto">
        <a:xfrm>
          <a:off x="8848719" y="2904452"/>
          <a:ext cx="47033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231140</xdr:colOff>
      <xdr:row>24</xdr:row>
      <xdr:rowOff>117966</xdr:rowOff>
    </xdr:from>
    <xdr:to>
      <xdr:col>3</xdr:col>
      <xdr:colOff>450215</xdr:colOff>
      <xdr:row>24</xdr:row>
      <xdr:rowOff>117966</xdr:rowOff>
    </xdr:to>
    <xdr:sp macro="" textlink="'Variable Management'!B292">
      <xdr:nvSpPr>
        <xdr:cNvPr id="110" name="Text Box 299">
          <a:extLst>
            <a:ext uri="{FF2B5EF4-FFF2-40B4-BE49-F238E27FC236}">
              <a16:creationId xmlns:a16="http://schemas.microsoft.com/office/drawing/2014/main" id="{00000000-0008-0000-0100-00006E000000}"/>
            </a:ext>
          </a:extLst>
        </xdr:cNvPr>
        <xdr:cNvSpPr txBox="1">
          <a:spLocks noChangeArrowheads="1" noTextEdit="1"/>
        </xdr:cNvSpPr>
      </xdr:nvSpPr>
      <xdr:spPr bwMode="auto">
        <a:xfrm>
          <a:off x="2947446" y="4205872"/>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847054</xdr:colOff>
      <xdr:row>6</xdr:row>
      <xdr:rowOff>92318</xdr:rowOff>
    </xdr:from>
    <xdr:to>
      <xdr:col>3</xdr:col>
      <xdr:colOff>125722</xdr:colOff>
      <xdr:row>8</xdr:row>
      <xdr:rowOff>16225</xdr:rowOff>
    </xdr:to>
    <xdr:sp macro="" textlink="">
      <xdr:nvSpPr>
        <xdr:cNvPr id="111" name="Text Box 251">
          <a:extLst>
            <a:ext uri="{FF2B5EF4-FFF2-40B4-BE49-F238E27FC236}">
              <a16:creationId xmlns:a16="http://schemas.microsoft.com/office/drawing/2014/main" id="{00000000-0008-0000-0100-00006F000000}"/>
            </a:ext>
          </a:extLst>
        </xdr:cNvPr>
        <xdr:cNvSpPr txBox="1">
          <a:spLocks noChangeArrowheads="1"/>
        </xdr:cNvSpPr>
      </xdr:nvSpPr>
      <xdr:spPr bwMode="auto">
        <a:xfrm>
          <a:off x="2460701" y="1114294"/>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712335</xdr:colOff>
      <xdr:row>7</xdr:row>
      <xdr:rowOff>146387</xdr:rowOff>
    </xdr:from>
    <xdr:to>
      <xdr:col>3</xdr:col>
      <xdr:colOff>143038</xdr:colOff>
      <xdr:row>9</xdr:row>
      <xdr:rowOff>52482</xdr:rowOff>
    </xdr:to>
    <xdr:sp macro="" textlink="'Variable Management'!B275">
      <xdr:nvSpPr>
        <xdr:cNvPr id="112" name="Text Box 281">
          <a:extLst>
            <a:ext uri="{FF2B5EF4-FFF2-40B4-BE49-F238E27FC236}">
              <a16:creationId xmlns:a16="http://schemas.microsoft.com/office/drawing/2014/main" id="{00000000-0008-0000-0100-000070000000}"/>
            </a:ext>
          </a:extLst>
        </xdr:cNvPr>
        <xdr:cNvSpPr txBox="1">
          <a:spLocks noChangeArrowheads="1" noTextEdit="1"/>
        </xdr:cNvSpPr>
      </xdr:nvSpPr>
      <xdr:spPr bwMode="auto">
        <a:xfrm>
          <a:off x="2325982" y="1338693"/>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874930</xdr:colOff>
      <xdr:row>6</xdr:row>
      <xdr:rowOff>885</xdr:rowOff>
    </xdr:from>
    <xdr:to>
      <xdr:col>5</xdr:col>
      <xdr:colOff>1278873</xdr:colOff>
      <xdr:row>7</xdr:row>
      <xdr:rowOff>59477</xdr:rowOff>
    </xdr:to>
    <xdr:sp macro="" textlink="">
      <xdr:nvSpPr>
        <xdr:cNvPr id="113" name="Text Box 247">
          <a:extLst>
            <a:ext uri="{FF2B5EF4-FFF2-40B4-BE49-F238E27FC236}">
              <a16:creationId xmlns:a16="http://schemas.microsoft.com/office/drawing/2014/main" id="{00000000-0008-0000-0100-000071000000}"/>
            </a:ext>
          </a:extLst>
        </xdr:cNvPr>
        <xdr:cNvSpPr txBox="1">
          <a:spLocks noChangeArrowheads="1"/>
        </xdr:cNvSpPr>
      </xdr:nvSpPr>
      <xdr:spPr bwMode="auto">
        <a:xfrm>
          <a:off x="6164106" y="1022861"/>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348967</xdr:colOff>
      <xdr:row>15</xdr:row>
      <xdr:rowOff>107494</xdr:rowOff>
    </xdr:from>
    <xdr:to>
      <xdr:col>7</xdr:col>
      <xdr:colOff>4613</xdr:colOff>
      <xdr:row>17</xdr:row>
      <xdr:rowOff>69361</xdr:rowOff>
    </xdr:to>
    <xdr:sp macro="" textlink="">
      <xdr:nvSpPr>
        <xdr:cNvPr id="114" name="Text Box 244">
          <a:extLst>
            <a:ext uri="{FF2B5EF4-FFF2-40B4-BE49-F238E27FC236}">
              <a16:creationId xmlns:a16="http://schemas.microsoft.com/office/drawing/2014/main" id="{00000000-0008-0000-0100-000072000000}"/>
            </a:ext>
          </a:extLst>
        </xdr:cNvPr>
        <xdr:cNvSpPr txBox="1">
          <a:spLocks noChangeArrowheads="1"/>
        </xdr:cNvSpPr>
      </xdr:nvSpPr>
      <xdr:spPr bwMode="auto">
        <a:xfrm>
          <a:off x="7045602" y="2662435"/>
          <a:ext cx="319035" cy="30252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297622</xdr:colOff>
      <xdr:row>9</xdr:row>
      <xdr:rowOff>115569</xdr:rowOff>
    </xdr:from>
    <xdr:to>
      <xdr:col>6</xdr:col>
      <xdr:colOff>620467</xdr:colOff>
      <xdr:row>11</xdr:row>
      <xdr:rowOff>50049</xdr:rowOff>
    </xdr:to>
    <xdr:sp macro="" textlink="">
      <xdr:nvSpPr>
        <xdr:cNvPr id="115" name="Text Box 244">
          <a:extLst>
            <a:ext uri="{FF2B5EF4-FFF2-40B4-BE49-F238E27FC236}">
              <a16:creationId xmlns:a16="http://schemas.microsoft.com/office/drawing/2014/main" id="{00000000-0008-0000-0100-000073000000}"/>
            </a:ext>
          </a:extLst>
        </xdr:cNvPr>
        <xdr:cNvSpPr txBox="1">
          <a:spLocks noChangeArrowheads="1"/>
        </xdr:cNvSpPr>
      </xdr:nvSpPr>
      <xdr:spPr bwMode="auto">
        <a:xfrm>
          <a:off x="6994257" y="1648534"/>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652346</xdr:colOff>
      <xdr:row>2</xdr:row>
      <xdr:rowOff>57135</xdr:rowOff>
    </xdr:from>
    <xdr:to>
      <xdr:col>3</xdr:col>
      <xdr:colOff>1221208</xdr:colOff>
      <xdr:row>3</xdr:row>
      <xdr:rowOff>110510</xdr:rowOff>
    </xdr:to>
    <xdr:sp macro="" textlink="'Variable Management'!G98">
      <xdr:nvSpPr>
        <xdr:cNvPr id="116" name="Text Box 264">
          <a:extLst>
            <a:ext uri="{FF2B5EF4-FFF2-40B4-BE49-F238E27FC236}">
              <a16:creationId xmlns:a16="http://schemas.microsoft.com/office/drawing/2014/main" id="{00000000-0008-0000-0100-000074000000}"/>
            </a:ext>
          </a:extLst>
        </xdr:cNvPr>
        <xdr:cNvSpPr txBox="1">
          <a:spLocks noChangeArrowheads="1" noTextEdit="1"/>
        </xdr:cNvSpPr>
      </xdr:nvSpPr>
      <xdr:spPr bwMode="auto">
        <a:xfrm>
          <a:off x="3368652" y="397794"/>
          <a:ext cx="568862"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824727</xdr:colOff>
      <xdr:row>1</xdr:row>
      <xdr:rowOff>17156</xdr:rowOff>
    </xdr:from>
    <xdr:to>
      <xdr:col>3</xdr:col>
      <xdr:colOff>1245796</xdr:colOff>
      <xdr:row>2</xdr:row>
      <xdr:rowOff>56518</xdr:rowOff>
    </xdr:to>
    <xdr:sp macro="" textlink="">
      <xdr:nvSpPr>
        <xdr:cNvPr id="117" name="Text Box 255">
          <a:extLst>
            <a:ext uri="{FF2B5EF4-FFF2-40B4-BE49-F238E27FC236}">
              <a16:creationId xmlns:a16="http://schemas.microsoft.com/office/drawing/2014/main" id="{00000000-0008-0000-0100-000075000000}"/>
            </a:ext>
          </a:extLst>
        </xdr:cNvPr>
        <xdr:cNvSpPr txBox="1">
          <a:spLocks noChangeArrowheads="1"/>
        </xdr:cNvSpPr>
      </xdr:nvSpPr>
      <xdr:spPr bwMode="auto">
        <a:xfrm>
          <a:off x="3541033" y="187485"/>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4</xdr:col>
      <xdr:colOff>21211</xdr:colOff>
      <xdr:row>2</xdr:row>
      <xdr:rowOff>46882</xdr:rowOff>
    </xdr:from>
    <xdr:to>
      <xdr:col>4</xdr:col>
      <xdr:colOff>606573</xdr:colOff>
      <xdr:row>3</xdr:row>
      <xdr:rowOff>92545</xdr:rowOff>
    </xdr:to>
    <xdr:sp macro="" textlink="'Variable Management'!G97">
      <xdr:nvSpPr>
        <xdr:cNvPr id="118" name="Text Box 264">
          <a:extLst>
            <a:ext uri="{FF2B5EF4-FFF2-40B4-BE49-F238E27FC236}">
              <a16:creationId xmlns:a16="http://schemas.microsoft.com/office/drawing/2014/main" id="{00000000-0008-0000-0100-000076000000}"/>
            </a:ext>
          </a:extLst>
        </xdr:cNvPr>
        <xdr:cNvSpPr txBox="1">
          <a:spLocks noChangeArrowheads="1" noTextEdit="1"/>
        </xdr:cNvSpPr>
      </xdr:nvSpPr>
      <xdr:spPr bwMode="auto">
        <a:xfrm>
          <a:off x="4118082" y="387541"/>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151933</xdr:colOff>
      <xdr:row>1</xdr:row>
      <xdr:rowOff>0</xdr:rowOff>
    </xdr:from>
    <xdr:to>
      <xdr:col>4</xdr:col>
      <xdr:colOff>586239</xdr:colOff>
      <xdr:row>2</xdr:row>
      <xdr:rowOff>46752</xdr:rowOff>
    </xdr:to>
    <xdr:sp macro="" textlink="">
      <xdr:nvSpPr>
        <xdr:cNvPr id="119" name="Text Box 255">
          <a:extLst>
            <a:ext uri="{FF2B5EF4-FFF2-40B4-BE49-F238E27FC236}">
              <a16:creationId xmlns:a16="http://schemas.microsoft.com/office/drawing/2014/main" id="{00000000-0008-0000-0100-000077000000}"/>
            </a:ext>
          </a:extLst>
        </xdr:cNvPr>
        <xdr:cNvSpPr txBox="1">
          <a:spLocks noChangeArrowheads="1"/>
        </xdr:cNvSpPr>
      </xdr:nvSpPr>
      <xdr:spPr bwMode="auto">
        <a:xfrm>
          <a:off x="4248804" y="170329"/>
          <a:ext cx="434306"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327293</xdr:colOff>
      <xdr:row>16</xdr:row>
      <xdr:rowOff>46385</xdr:rowOff>
    </xdr:from>
    <xdr:to>
      <xdr:col>7</xdr:col>
      <xdr:colOff>849121</xdr:colOff>
      <xdr:row>17</xdr:row>
      <xdr:rowOff>147672</xdr:rowOff>
    </xdr:to>
    <xdr:sp macro="" textlink="'Variable Management'!B239">
      <xdr:nvSpPr>
        <xdr:cNvPr id="120" name="Text Box 275">
          <a:extLst>
            <a:ext uri="{FF2B5EF4-FFF2-40B4-BE49-F238E27FC236}">
              <a16:creationId xmlns:a16="http://schemas.microsoft.com/office/drawing/2014/main" id="{00000000-0008-0000-0100-000078000000}"/>
            </a:ext>
          </a:extLst>
        </xdr:cNvPr>
        <xdr:cNvSpPr txBox="1">
          <a:spLocks noChangeArrowheads="1" noTextEdit="1"/>
        </xdr:cNvSpPr>
      </xdr:nvSpPr>
      <xdr:spPr bwMode="auto">
        <a:xfrm>
          <a:off x="7687317" y="2771656"/>
          <a:ext cx="521828" cy="271616"/>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137954</xdr:colOff>
      <xdr:row>26</xdr:row>
      <xdr:rowOff>143208</xdr:rowOff>
    </xdr:from>
    <xdr:to>
      <xdr:col>4</xdr:col>
      <xdr:colOff>645592</xdr:colOff>
      <xdr:row>28</xdr:row>
      <xdr:rowOff>39020</xdr:rowOff>
    </xdr:to>
    <xdr:sp macro="" textlink="">
      <xdr:nvSpPr>
        <xdr:cNvPr id="121" name="Text Box 245">
          <a:extLst>
            <a:ext uri="{FF2B5EF4-FFF2-40B4-BE49-F238E27FC236}">
              <a16:creationId xmlns:a16="http://schemas.microsoft.com/office/drawing/2014/main" id="{00000000-0008-0000-0100-000079000000}"/>
            </a:ext>
          </a:extLst>
        </xdr:cNvPr>
        <xdr:cNvSpPr txBox="1">
          <a:spLocks noChangeArrowheads="1"/>
        </xdr:cNvSpPr>
      </xdr:nvSpPr>
      <xdr:spPr bwMode="auto">
        <a:xfrm>
          <a:off x="4234825" y="4571773"/>
          <a:ext cx="507638"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155302</xdr:colOff>
      <xdr:row>27</xdr:row>
      <xdr:rowOff>160736</xdr:rowOff>
    </xdr:from>
    <xdr:to>
      <xdr:col>4</xdr:col>
      <xdr:colOff>791059</xdr:colOff>
      <xdr:row>29</xdr:row>
      <xdr:rowOff>69472</xdr:rowOff>
    </xdr:to>
    <xdr:sp macro="" textlink="'Variable Management'!B274">
      <xdr:nvSpPr>
        <xdr:cNvPr id="122" name="Text Box 281">
          <a:extLst>
            <a:ext uri="{FF2B5EF4-FFF2-40B4-BE49-F238E27FC236}">
              <a16:creationId xmlns:a16="http://schemas.microsoft.com/office/drawing/2014/main" id="{00000000-0008-0000-0100-00007A000000}"/>
            </a:ext>
          </a:extLst>
        </xdr:cNvPr>
        <xdr:cNvSpPr txBox="1">
          <a:spLocks noChangeArrowheads="1" noTextEdit="1"/>
        </xdr:cNvSpPr>
      </xdr:nvSpPr>
      <xdr:spPr bwMode="auto">
        <a:xfrm>
          <a:off x="4252173" y="4759630"/>
          <a:ext cx="635757"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357031</xdr:colOff>
      <xdr:row>21</xdr:row>
      <xdr:rowOff>79102</xdr:rowOff>
    </xdr:from>
    <xdr:to>
      <xdr:col>7</xdr:col>
      <xdr:colOff>267329</xdr:colOff>
      <xdr:row>23</xdr:row>
      <xdr:rowOff>43439</xdr:rowOff>
    </xdr:to>
    <xdr:sp macro="" textlink="'Variable Management'!B269">
      <xdr:nvSpPr>
        <xdr:cNvPr id="123" name="Text Box 270">
          <a:extLst>
            <a:ext uri="{FF2B5EF4-FFF2-40B4-BE49-F238E27FC236}">
              <a16:creationId xmlns:a16="http://schemas.microsoft.com/office/drawing/2014/main" id="{00000000-0008-0000-0100-00007B000000}"/>
            </a:ext>
          </a:extLst>
        </xdr:cNvPr>
        <xdr:cNvSpPr txBox="1">
          <a:spLocks noChangeArrowheads="1" noTextEdit="1"/>
        </xdr:cNvSpPr>
      </xdr:nvSpPr>
      <xdr:spPr bwMode="auto">
        <a:xfrm>
          <a:off x="7053666" y="3656020"/>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421801</xdr:colOff>
      <xdr:row>20</xdr:row>
      <xdr:rowOff>32038</xdr:rowOff>
    </xdr:from>
    <xdr:to>
      <xdr:col>7</xdr:col>
      <xdr:colOff>332099</xdr:colOff>
      <xdr:row>21</xdr:row>
      <xdr:rowOff>87887</xdr:rowOff>
    </xdr:to>
    <xdr:sp macro="" textlink="'Variable Management'!A269">
      <xdr:nvSpPr>
        <xdr:cNvPr id="124" name="Text Box 270">
          <a:extLst>
            <a:ext uri="{FF2B5EF4-FFF2-40B4-BE49-F238E27FC236}">
              <a16:creationId xmlns:a16="http://schemas.microsoft.com/office/drawing/2014/main" id="{00000000-0008-0000-0100-00007C000000}"/>
            </a:ext>
          </a:extLst>
        </xdr:cNvPr>
        <xdr:cNvSpPr txBox="1">
          <a:spLocks noChangeArrowheads="1" noTextEdit="1"/>
        </xdr:cNvSpPr>
      </xdr:nvSpPr>
      <xdr:spPr bwMode="auto">
        <a:xfrm>
          <a:off x="7118436" y="3438626"/>
          <a:ext cx="573687" cy="226179"/>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398736</xdr:colOff>
      <xdr:row>29</xdr:row>
      <xdr:rowOff>4767</xdr:rowOff>
    </xdr:from>
    <xdr:to>
      <xdr:col>4</xdr:col>
      <xdr:colOff>883507</xdr:colOff>
      <xdr:row>30</xdr:row>
      <xdr:rowOff>107441</xdr:rowOff>
    </xdr:to>
    <xdr:sp macro="" textlink="'Variable Management'!A270">
      <xdr:nvSpPr>
        <xdr:cNvPr id="125" name="Text Box 231">
          <a:extLst>
            <a:ext uri="{FF2B5EF4-FFF2-40B4-BE49-F238E27FC236}">
              <a16:creationId xmlns:a16="http://schemas.microsoft.com/office/drawing/2014/main" id="{00000000-0008-0000-0100-00007D000000}"/>
            </a:ext>
          </a:extLst>
        </xdr:cNvPr>
        <xdr:cNvSpPr txBox="1">
          <a:spLocks noChangeArrowheads="1"/>
        </xdr:cNvSpPr>
      </xdr:nvSpPr>
      <xdr:spPr bwMode="auto">
        <a:xfrm>
          <a:off x="4495607" y="4944320"/>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390929</xdr:colOff>
      <xdr:row>30</xdr:row>
      <xdr:rowOff>50182</xdr:rowOff>
    </xdr:from>
    <xdr:to>
      <xdr:col>4</xdr:col>
      <xdr:colOff>974228</xdr:colOff>
      <xdr:row>31</xdr:row>
      <xdr:rowOff>105316</xdr:rowOff>
    </xdr:to>
    <xdr:sp macro="" textlink="'Variable Management'!B270">
      <xdr:nvSpPr>
        <xdr:cNvPr id="126" name="Text Box 270">
          <a:extLst>
            <a:ext uri="{FF2B5EF4-FFF2-40B4-BE49-F238E27FC236}">
              <a16:creationId xmlns:a16="http://schemas.microsoft.com/office/drawing/2014/main" id="{00000000-0008-0000-0100-00007E000000}"/>
            </a:ext>
          </a:extLst>
        </xdr:cNvPr>
        <xdr:cNvSpPr txBox="1">
          <a:spLocks noChangeArrowheads="1" noTextEdit="1"/>
        </xdr:cNvSpPr>
      </xdr:nvSpPr>
      <xdr:spPr bwMode="auto">
        <a:xfrm>
          <a:off x="4487800" y="5160064"/>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170959</xdr:colOff>
      <xdr:row>7</xdr:row>
      <xdr:rowOff>70700</xdr:rowOff>
    </xdr:from>
    <xdr:to>
      <xdr:col>8</xdr:col>
      <xdr:colOff>216681</xdr:colOff>
      <xdr:row>8</xdr:row>
      <xdr:rowOff>141437</xdr:rowOff>
    </xdr:to>
    <xdr:sp macro="" textlink="'Variable Management'!B281">
      <xdr:nvSpPr>
        <xdr:cNvPr id="127" name="Text Box 283">
          <a:extLst>
            <a:ext uri="{FF2B5EF4-FFF2-40B4-BE49-F238E27FC236}">
              <a16:creationId xmlns:a16="http://schemas.microsoft.com/office/drawing/2014/main" id="{00000000-0008-0000-0100-00007F000000}"/>
            </a:ext>
          </a:extLst>
        </xdr:cNvPr>
        <xdr:cNvSpPr txBox="1">
          <a:spLocks noChangeArrowheads="1" noTextEdit="1"/>
        </xdr:cNvSpPr>
      </xdr:nvSpPr>
      <xdr:spPr bwMode="auto">
        <a:xfrm>
          <a:off x="7530983" y="1263006"/>
          <a:ext cx="1148380" cy="241066"/>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9V to 45V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1205950</xdr:colOff>
      <xdr:row>14</xdr:row>
      <xdr:rowOff>148053</xdr:rowOff>
    </xdr:from>
    <xdr:to>
      <xdr:col>4</xdr:col>
      <xdr:colOff>941146</xdr:colOff>
      <xdr:row>16</xdr:row>
      <xdr:rowOff>168094</xdr:rowOff>
    </xdr:to>
    <xdr:sp macro="" textlink="'Variable Management'!U12">
      <xdr:nvSpPr>
        <xdr:cNvPr id="128" name="Text Box 24">
          <a:extLst>
            <a:ext uri="{FF2B5EF4-FFF2-40B4-BE49-F238E27FC236}">
              <a16:creationId xmlns:a16="http://schemas.microsoft.com/office/drawing/2014/main" id="{00000000-0008-0000-0100-000080000000}"/>
            </a:ext>
          </a:extLst>
        </xdr:cNvPr>
        <xdr:cNvSpPr txBox="1">
          <a:spLocks noChangeArrowheads="1" noTextEdit="1"/>
        </xdr:cNvSpPr>
      </xdr:nvSpPr>
      <xdr:spPr bwMode="auto">
        <a:xfrm>
          <a:off x="3922256" y="2532665"/>
          <a:ext cx="1115761"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LM5146</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220980</xdr:colOff>
          <xdr:row>10</xdr:row>
          <xdr:rowOff>114300</xdr:rowOff>
        </xdr:from>
        <xdr:to>
          <xdr:col>16</xdr:col>
          <xdr:colOff>30480</xdr:colOff>
          <xdr:row>31</xdr:row>
          <xdr:rowOff>121920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2</xdr:col>
      <xdr:colOff>22859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2</xdr:col>
      <xdr:colOff>22859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8.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topLeftCell="A53" zoomScale="106" zoomScaleNormal="55" zoomScaleSheetLayoutView="100" workbookViewId="0">
      <selection activeCell="E6" sqref="E6"/>
    </sheetView>
  </sheetViews>
  <sheetFormatPr defaultColWidth="9.109375" defaultRowHeight="13.8" x14ac:dyDescent="0.3"/>
  <cols>
    <col min="1" max="1" width="8.33203125" style="276" customWidth="1"/>
    <col min="2" max="2" width="8.33203125" style="123" customWidth="1"/>
    <col min="3" max="3" width="14.5546875" style="123" customWidth="1"/>
    <col min="4" max="4" width="8" style="123" customWidth="1"/>
    <col min="5" max="5" width="7" style="123" customWidth="1"/>
    <col min="6" max="6" width="8.33203125" style="123" customWidth="1"/>
    <col min="7" max="7" width="9.109375" style="123" customWidth="1"/>
    <col min="8" max="8" width="11.88671875" style="123" customWidth="1"/>
    <col min="9" max="9" width="9.109375" style="123"/>
    <col min="10" max="10" width="12.44140625" style="123" bestFit="1" customWidth="1"/>
    <col min="11" max="11" width="9.109375" style="123"/>
    <col min="12" max="12" width="12.44140625" style="123" bestFit="1" customWidth="1"/>
    <col min="13" max="15" width="9.109375" style="123"/>
    <col min="16" max="16" width="10.109375" style="123" customWidth="1"/>
    <col min="17" max="17" width="41.88671875" style="123" customWidth="1"/>
    <col min="18" max="18" width="3.109375" style="123" customWidth="1"/>
    <col min="19" max="19" width="10" style="123" bestFit="1" customWidth="1"/>
    <col min="20" max="16384" width="9.109375" style="123"/>
  </cols>
  <sheetData>
    <row r="1" spans="1:18" ht="50.25" customHeight="1" x14ac:dyDescent="0.3">
      <c r="A1" s="516" t="s">
        <v>739</v>
      </c>
      <c r="B1" s="517"/>
      <c r="C1" s="517"/>
      <c r="D1" s="517"/>
      <c r="E1" s="517"/>
      <c r="F1" s="517"/>
      <c r="G1" s="517"/>
      <c r="H1" s="517"/>
      <c r="I1" s="517"/>
      <c r="J1" s="517"/>
      <c r="K1" s="517"/>
      <c r="L1" s="517"/>
      <c r="M1" s="517"/>
      <c r="N1" s="517"/>
      <c r="O1" s="517"/>
      <c r="P1" s="517"/>
      <c r="Q1" s="517"/>
      <c r="R1" s="364"/>
    </row>
    <row r="2" spans="1:18" ht="13.5" customHeight="1" x14ac:dyDescent="0.55000000000000004">
      <c r="A2" s="490"/>
      <c r="B2" s="368"/>
      <c r="C2" s="368"/>
      <c r="D2" s="368"/>
      <c r="E2" s="368"/>
      <c r="F2" s="368"/>
      <c r="G2" s="368"/>
      <c r="H2" s="368"/>
      <c r="I2" s="368"/>
      <c r="J2" s="368"/>
      <c r="K2" s="368"/>
      <c r="L2" s="368"/>
      <c r="M2" s="479"/>
      <c r="N2" s="484"/>
      <c r="O2" s="485"/>
      <c r="P2" s="484"/>
      <c r="Q2" s="484"/>
      <c r="R2" s="364"/>
    </row>
    <row r="3" spans="1:18" ht="14.25" customHeight="1" x14ac:dyDescent="0.55000000000000004">
      <c r="A3" s="378" t="s">
        <v>474</v>
      </c>
      <c r="B3" s="369"/>
      <c r="C3" s="379" t="s">
        <v>475</v>
      </c>
      <c r="D3" s="370"/>
      <c r="E3" s="177"/>
      <c r="F3" s="372" t="s">
        <v>284</v>
      </c>
      <c r="G3" s="371"/>
      <c r="H3" s="368"/>
      <c r="I3" s="368"/>
      <c r="J3" s="371"/>
      <c r="K3" s="373"/>
      <c r="L3" s="374"/>
      <c r="M3" s="480"/>
      <c r="N3" s="488"/>
      <c r="O3" s="515" t="s">
        <v>117</v>
      </c>
      <c r="P3" s="515"/>
      <c r="Q3" s="364" t="s">
        <v>319</v>
      </c>
      <c r="R3" s="364"/>
    </row>
    <row r="4" spans="1:18" ht="13.5" customHeight="1" thickBot="1" x14ac:dyDescent="0.4">
      <c r="A4" s="375"/>
      <c r="B4" s="376"/>
      <c r="C4" s="377"/>
      <c r="D4" s="377"/>
      <c r="E4" s="377"/>
      <c r="F4" s="377"/>
      <c r="G4" s="377"/>
      <c r="H4" s="377"/>
      <c r="I4" s="377"/>
      <c r="J4" s="377"/>
      <c r="K4" s="377"/>
      <c r="L4" s="377"/>
      <c r="M4" s="481"/>
      <c r="N4" s="486"/>
      <c r="O4" s="486"/>
      <c r="P4" s="486"/>
      <c r="Q4" s="487"/>
      <c r="R4" s="364"/>
    </row>
    <row r="5" spans="1:18" ht="20.100000000000001" customHeight="1" thickBot="1" x14ac:dyDescent="0.4">
      <c r="A5" s="214" t="s">
        <v>440</v>
      </c>
      <c r="B5" s="176"/>
      <c r="C5" s="124"/>
      <c r="D5" s="124"/>
      <c r="E5" s="126"/>
      <c r="F5" s="124"/>
      <c r="G5" s="160"/>
      <c r="H5" s="127"/>
      <c r="I5" s="127"/>
      <c r="J5" s="127"/>
      <c r="K5" s="127"/>
      <c r="L5" s="127"/>
      <c r="M5" s="482"/>
      <c r="N5" s="482"/>
      <c r="O5" s="482"/>
      <c r="P5" s="482"/>
      <c r="Q5" s="483"/>
      <c r="R5" s="364"/>
    </row>
    <row r="6" spans="1:18" ht="14.1" customHeight="1" x14ac:dyDescent="0.35">
      <c r="A6" s="271"/>
      <c r="B6" s="224"/>
      <c r="C6" s="225"/>
      <c r="D6" s="226" t="s">
        <v>564</v>
      </c>
      <c r="E6" s="227">
        <v>9</v>
      </c>
      <c r="F6" s="228" t="s">
        <v>0</v>
      </c>
      <c r="G6" s="186"/>
      <c r="H6" s="184"/>
      <c r="I6" s="127"/>
      <c r="J6" s="127"/>
      <c r="K6" s="127"/>
      <c r="L6" s="127"/>
      <c r="M6" s="127"/>
      <c r="N6" s="127"/>
      <c r="O6" s="127"/>
      <c r="P6" s="127"/>
      <c r="Q6" s="159"/>
      <c r="R6" s="364"/>
    </row>
    <row r="7" spans="1:18" ht="14.1" customHeight="1" x14ac:dyDescent="0.35">
      <c r="A7" s="381"/>
      <c r="B7" s="184"/>
      <c r="C7" s="181"/>
      <c r="D7" s="219" t="s">
        <v>565</v>
      </c>
      <c r="E7" s="185">
        <v>24</v>
      </c>
      <c r="F7" s="229" t="s">
        <v>0</v>
      </c>
      <c r="G7" s="186"/>
      <c r="H7" s="184"/>
      <c r="I7" s="127"/>
      <c r="J7" s="127"/>
      <c r="K7" s="127"/>
      <c r="L7" s="127"/>
      <c r="M7" s="127"/>
      <c r="N7" s="127"/>
      <c r="O7" s="127"/>
      <c r="P7" s="127"/>
      <c r="Q7" s="159"/>
      <c r="R7" s="364"/>
    </row>
    <row r="8" spans="1:18" ht="14.1" customHeight="1" x14ac:dyDescent="0.35">
      <c r="A8" s="381"/>
      <c r="B8" s="184"/>
      <c r="C8" s="181"/>
      <c r="D8" s="219" t="s">
        <v>566</v>
      </c>
      <c r="E8" s="185">
        <v>45</v>
      </c>
      <c r="F8" s="229" t="s">
        <v>0</v>
      </c>
      <c r="G8" s="186"/>
      <c r="H8" s="184"/>
      <c r="I8" s="127"/>
      <c r="J8" s="127"/>
      <c r="K8" s="127"/>
      <c r="L8" s="127"/>
      <c r="M8" s="127"/>
      <c r="N8" s="127"/>
      <c r="O8" s="127"/>
      <c r="P8" s="127"/>
      <c r="Q8" s="159"/>
      <c r="R8" s="364"/>
    </row>
    <row r="9" spans="1:18" ht="14.1" customHeight="1" x14ac:dyDescent="0.35">
      <c r="A9" s="183"/>
      <c r="B9" s="184"/>
      <c r="C9" s="181"/>
      <c r="D9" s="219" t="s">
        <v>560</v>
      </c>
      <c r="E9" s="185">
        <v>5.0999999999999996</v>
      </c>
      <c r="F9" s="229" t="s">
        <v>0</v>
      </c>
      <c r="G9" s="186"/>
      <c r="H9" s="184"/>
      <c r="I9" s="127"/>
      <c r="J9" s="127"/>
      <c r="K9" s="127"/>
      <c r="L9" s="127"/>
      <c r="M9" s="127"/>
      <c r="N9" s="127"/>
      <c r="O9" s="127"/>
      <c r="P9" s="127"/>
      <c r="Q9" s="159"/>
      <c r="R9" s="364"/>
    </row>
    <row r="10" spans="1:18" ht="14.1" customHeight="1" x14ac:dyDescent="0.35">
      <c r="A10" s="183"/>
      <c r="B10" s="184"/>
      <c r="C10" s="181"/>
      <c r="D10" s="219" t="s">
        <v>559</v>
      </c>
      <c r="E10" s="185">
        <v>6</v>
      </c>
      <c r="F10" s="229" t="s">
        <v>2</v>
      </c>
      <c r="G10" s="186"/>
      <c r="H10" s="184"/>
      <c r="I10" s="127"/>
      <c r="J10" s="127"/>
      <c r="K10" s="127"/>
      <c r="L10" s="127"/>
      <c r="M10" s="127"/>
      <c r="N10" s="127"/>
      <c r="O10" s="127"/>
      <c r="P10" s="127"/>
      <c r="Q10" s="159"/>
      <c r="R10" s="364"/>
    </row>
    <row r="11" spans="1:18" ht="14.1" customHeight="1" x14ac:dyDescent="0.35">
      <c r="A11" s="183"/>
      <c r="B11" s="184"/>
      <c r="C11" s="181"/>
      <c r="D11" s="219" t="s">
        <v>616</v>
      </c>
      <c r="E11" s="187">
        <v>300</v>
      </c>
      <c r="F11" s="229" t="s">
        <v>3</v>
      </c>
      <c r="G11" s="186"/>
      <c r="H11" s="184"/>
      <c r="I11" s="127"/>
      <c r="J11" s="127"/>
      <c r="K11" s="127"/>
      <c r="L11" s="127"/>
      <c r="M11" s="127"/>
      <c r="N11" s="127"/>
      <c r="O11" s="127"/>
      <c r="P11" s="127"/>
      <c r="Q11" s="159"/>
      <c r="R11" s="364"/>
    </row>
    <row r="12" spans="1:18" ht="14.1" customHeight="1" x14ac:dyDescent="0.35">
      <c r="A12" s="183"/>
      <c r="B12" s="184"/>
      <c r="C12" s="181"/>
      <c r="D12" s="219" t="s">
        <v>617</v>
      </c>
      <c r="E12" s="187">
        <v>300</v>
      </c>
      <c r="F12" s="229" t="s">
        <v>3</v>
      </c>
      <c r="G12" s="188"/>
      <c r="H12" s="184"/>
      <c r="I12" s="127"/>
      <c r="J12" s="127"/>
      <c r="K12" s="127"/>
      <c r="L12" s="127"/>
      <c r="M12" s="127"/>
      <c r="N12" s="127"/>
      <c r="O12" s="127"/>
      <c r="P12" s="127"/>
      <c r="Q12" s="159"/>
      <c r="R12" s="364"/>
    </row>
    <row r="13" spans="1:18" ht="15.9" customHeight="1" thickBot="1" x14ac:dyDescent="0.4">
      <c r="A13" s="230"/>
      <c r="B13" s="231"/>
      <c r="C13" s="182"/>
      <c r="D13" s="182" t="s">
        <v>561</v>
      </c>
      <c r="E13" s="182">
        <f>'Standard Value Calculator'!S4/1000</f>
        <v>33.200000000000003</v>
      </c>
      <c r="F13" s="232" t="s">
        <v>116</v>
      </c>
      <c r="G13" s="186"/>
      <c r="H13" s="184"/>
      <c r="I13" s="127"/>
      <c r="J13" s="127"/>
      <c r="K13" s="127"/>
      <c r="L13" s="127"/>
      <c r="M13" s="127"/>
      <c r="N13" s="127"/>
      <c r="O13" s="127"/>
      <c r="P13" s="127"/>
      <c r="Q13" s="159"/>
      <c r="R13" s="364"/>
    </row>
    <row r="14" spans="1:18" ht="14.1" customHeight="1" x14ac:dyDescent="0.3">
      <c r="A14" s="183"/>
      <c r="B14" s="184"/>
      <c r="C14" s="184"/>
      <c r="D14" s="189"/>
      <c r="E14" s="190"/>
      <c r="F14" s="184"/>
      <c r="G14" s="186"/>
      <c r="H14" s="184"/>
      <c r="I14" s="127"/>
      <c r="J14" s="127"/>
      <c r="K14" s="127"/>
      <c r="L14" s="127"/>
      <c r="M14" s="127"/>
      <c r="N14" s="127"/>
      <c r="O14" s="127"/>
      <c r="P14" s="127"/>
      <c r="Q14" s="159"/>
      <c r="R14" s="364"/>
    </row>
    <row r="15" spans="1:18" ht="20.100000000000001" customHeight="1" thickBot="1" x14ac:dyDescent="0.35">
      <c r="A15" s="214" t="s">
        <v>429</v>
      </c>
      <c r="B15" s="191"/>
      <c r="C15" s="192"/>
      <c r="D15" s="192"/>
      <c r="E15" s="193"/>
      <c r="F15" s="192"/>
      <c r="G15" s="186"/>
      <c r="H15" s="184"/>
      <c r="I15" s="127"/>
      <c r="J15" s="127"/>
      <c r="K15" s="127"/>
      <c r="L15" s="127"/>
      <c r="M15" s="127"/>
      <c r="N15" s="127"/>
      <c r="O15" s="127"/>
      <c r="P15" s="127"/>
      <c r="Q15" s="159"/>
      <c r="R15" s="364"/>
    </row>
    <row r="16" spans="1:18" ht="14.1" customHeight="1" x14ac:dyDescent="0.3">
      <c r="A16" s="271"/>
      <c r="B16" s="224"/>
      <c r="C16" s="225"/>
      <c r="D16" s="225" t="s">
        <v>457</v>
      </c>
      <c r="E16" s="459">
        <f>Lout1*1000000</f>
        <v>6.7004504504504494</v>
      </c>
      <c r="F16" s="233" t="s">
        <v>412</v>
      </c>
      <c r="G16" s="186"/>
      <c r="H16" s="184"/>
      <c r="I16" s="127"/>
      <c r="J16" s="127"/>
      <c r="K16" s="127"/>
      <c r="L16" s="127"/>
      <c r="M16" s="127"/>
      <c r="N16" s="127"/>
      <c r="O16" s="127"/>
      <c r="P16" s="127"/>
      <c r="Q16" s="159"/>
      <c r="R16" s="364"/>
    </row>
    <row r="17" spans="1:19" ht="14.1" customHeight="1" x14ac:dyDescent="0.35">
      <c r="A17" s="183"/>
      <c r="B17" s="184"/>
      <c r="C17" s="181"/>
      <c r="D17" s="219" t="s">
        <v>765</v>
      </c>
      <c r="E17" s="185">
        <v>9.5</v>
      </c>
      <c r="F17" s="229" t="s">
        <v>412</v>
      </c>
      <c r="G17" s="186"/>
      <c r="H17" s="184"/>
      <c r="I17" s="127"/>
      <c r="J17" s="127"/>
      <c r="K17" s="127"/>
      <c r="L17" s="127"/>
      <c r="M17" s="127"/>
      <c r="N17" s="127"/>
      <c r="O17" s="127"/>
      <c r="P17" s="127"/>
      <c r="Q17" s="159"/>
      <c r="R17" s="364"/>
    </row>
    <row r="18" spans="1:19" ht="14.1" customHeight="1" x14ac:dyDescent="0.3">
      <c r="A18" s="183"/>
      <c r="B18" s="184"/>
      <c r="C18" s="181"/>
      <c r="D18" s="219" t="s">
        <v>458</v>
      </c>
      <c r="E18" s="185">
        <v>20</v>
      </c>
      <c r="F18" s="229" t="s">
        <v>115</v>
      </c>
      <c r="G18" s="186"/>
      <c r="H18" s="184"/>
      <c r="I18" s="127"/>
      <c r="J18" s="127"/>
      <c r="K18" s="127"/>
      <c r="L18" s="127"/>
      <c r="M18" s="127"/>
      <c r="N18" s="127"/>
      <c r="O18" s="127"/>
      <c r="P18" s="127"/>
      <c r="Q18" s="159"/>
      <c r="R18" s="364"/>
    </row>
    <row r="19" spans="1:19" ht="15" customHeight="1" x14ac:dyDescent="0.35">
      <c r="A19" s="183"/>
      <c r="B19" s="184"/>
      <c r="C19" s="181"/>
      <c r="D19" s="380" t="s">
        <v>563</v>
      </c>
      <c r="E19" s="216">
        <f>Iripple1</f>
        <v>1.4523157894736838</v>
      </c>
      <c r="F19" s="234" t="s">
        <v>769</v>
      </c>
      <c r="G19" s="186"/>
      <c r="H19" s="184"/>
      <c r="I19" s="127"/>
      <c r="J19" s="127"/>
      <c r="K19" s="127"/>
      <c r="L19" s="127"/>
      <c r="M19" s="127"/>
      <c r="N19" s="127"/>
      <c r="O19" s="127"/>
      <c r="P19" s="127"/>
      <c r="Q19" s="159"/>
      <c r="R19" s="364"/>
    </row>
    <row r="20" spans="1:19" ht="15" customHeight="1" x14ac:dyDescent="0.35">
      <c r="A20" s="381"/>
      <c r="B20" s="184"/>
      <c r="C20" s="181"/>
      <c r="D20" s="181" t="s">
        <v>544</v>
      </c>
      <c r="E20" s="217">
        <f>Iripple1/Iout*100</f>
        <v>24.205263157894731</v>
      </c>
      <c r="F20" s="234" t="s">
        <v>299</v>
      </c>
      <c r="G20" s="186"/>
      <c r="H20" s="184"/>
      <c r="I20" s="127"/>
      <c r="J20" s="127"/>
      <c r="K20" s="127"/>
      <c r="L20" s="127"/>
      <c r="M20" s="127"/>
      <c r="N20" s="127"/>
      <c r="O20" s="127"/>
      <c r="P20" s="127"/>
      <c r="Q20" s="159"/>
      <c r="R20" s="364"/>
    </row>
    <row r="21" spans="1:19" ht="15" customHeight="1" thickBot="1" x14ac:dyDescent="0.35">
      <c r="A21" s="230"/>
      <c r="B21" s="231"/>
      <c r="C21" s="280"/>
      <c r="D21" s="511" t="s">
        <v>762</v>
      </c>
      <c r="E21" s="349">
        <v>0.2</v>
      </c>
      <c r="F21" s="512" t="s">
        <v>208</v>
      </c>
      <c r="G21" s="186"/>
      <c r="H21" s="184"/>
      <c r="I21" s="127"/>
      <c r="J21" s="127"/>
      <c r="K21" s="127"/>
      <c r="L21" s="127"/>
      <c r="M21" s="127"/>
      <c r="N21" s="127"/>
      <c r="O21" s="127"/>
      <c r="P21" s="127"/>
      <c r="Q21" s="159"/>
      <c r="R21" s="364"/>
    </row>
    <row r="22" spans="1:19" ht="14.1" customHeight="1" x14ac:dyDescent="0.3">
      <c r="A22" s="183"/>
      <c r="B22" s="184"/>
      <c r="C22" s="184"/>
      <c r="D22" s="184"/>
      <c r="E22" s="184"/>
      <c r="F22" s="184"/>
      <c r="G22" s="186"/>
      <c r="H22" s="184"/>
      <c r="I22" s="127"/>
      <c r="J22" s="127"/>
      <c r="K22" s="127"/>
      <c r="L22" s="127"/>
      <c r="M22" s="127"/>
      <c r="N22" s="127"/>
      <c r="O22" s="127"/>
      <c r="P22" s="127"/>
      <c r="Q22" s="159"/>
      <c r="R22" s="364"/>
    </row>
    <row r="23" spans="1:19" ht="20.100000000000001" customHeight="1" thickBot="1" x14ac:dyDescent="0.45">
      <c r="A23" s="214" t="s">
        <v>558</v>
      </c>
      <c r="B23" s="191"/>
      <c r="C23" s="184"/>
      <c r="D23" s="184"/>
      <c r="E23" s="184"/>
      <c r="F23" s="184"/>
      <c r="G23" s="186"/>
      <c r="H23" s="184"/>
      <c r="I23" s="127"/>
      <c r="J23" s="127"/>
      <c r="K23" s="127"/>
      <c r="L23" s="127"/>
      <c r="M23" s="127"/>
      <c r="N23" s="127"/>
      <c r="O23" s="127"/>
      <c r="P23" s="127"/>
      <c r="Q23" s="159"/>
      <c r="R23" s="364"/>
    </row>
    <row r="24" spans="1:19" ht="15" customHeight="1" x14ac:dyDescent="0.35">
      <c r="A24" s="396"/>
      <c r="B24" s="278"/>
      <c r="C24" s="397"/>
      <c r="D24" s="401" t="s">
        <v>597</v>
      </c>
      <c r="E24" s="403">
        <v>6</v>
      </c>
      <c r="F24" s="402" t="s">
        <v>115</v>
      </c>
      <c r="G24" s="186"/>
      <c r="H24" s="184"/>
      <c r="I24" s="127"/>
      <c r="J24" s="127"/>
      <c r="K24" s="127"/>
      <c r="L24" s="127"/>
      <c r="M24" s="127"/>
      <c r="N24" s="127"/>
      <c r="O24" s="127"/>
      <c r="P24" s="127"/>
      <c r="Q24" s="159"/>
      <c r="R24" s="364"/>
      <c r="S24" s="123" t="s">
        <v>383</v>
      </c>
    </row>
    <row r="25" spans="1:19" ht="15" customHeight="1" x14ac:dyDescent="0.3">
      <c r="A25" s="183"/>
      <c r="B25" s="184"/>
      <c r="C25" s="184"/>
      <c r="D25" s="219" t="s">
        <v>459</v>
      </c>
      <c r="E25" s="185">
        <v>6.5</v>
      </c>
      <c r="F25" s="229" t="s">
        <v>2</v>
      </c>
      <c r="G25" s="186"/>
      <c r="H25" s="184"/>
      <c r="I25" s="127"/>
      <c r="J25" s="127"/>
      <c r="K25" s="127"/>
      <c r="L25" s="127"/>
      <c r="M25" s="127"/>
      <c r="N25" s="127"/>
      <c r="O25" s="127"/>
      <c r="P25" s="127"/>
      <c r="Q25" s="159"/>
      <c r="R25" s="364"/>
    </row>
    <row r="26" spans="1:19" ht="15" customHeight="1" x14ac:dyDescent="0.35">
      <c r="A26" s="184"/>
      <c r="B26" s="184"/>
      <c r="C26" s="184"/>
      <c r="D26" s="181" t="s">
        <v>581</v>
      </c>
      <c r="E26" s="217">
        <f>IF(RDSON_sense=1, Rilim_Rdson, Rilim_shunt)</f>
        <v>174</v>
      </c>
      <c r="F26" s="234" t="s">
        <v>274</v>
      </c>
      <c r="G26" s="188"/>
      <c r="H26" s="184"/>
      <c r="I26" s="127"/>
      <c r="J26" s="127"/>
      <c r="K26" s="127"/>
      <c r="L26" s="127"/>
      <c r="M26" s="127"/>
      <c r="N26" s="127"/>
      <c r="O26" s="127"/>
      <c r="P26" s="127"/>
      <c r="Q26" s="159"/>
      <c r="R26" s="364"/>
    </row>
    <row r="27" spans="1:19" ht="14.1" customHeight="1" x14ac:dyDescent="0.35">
      <c r="A27" s="183"/>
      <c r="B27" s="184"/>
      <c r="C27" s="184"/>
      <c r="D27" s="181" t="s">
        <v>562</v>
      </c>
      <c r="E27" s="216">
        <f>'Variable Management'!B51</f>
        <v>8.4</v>
      </c>
      <c r="F27" s="234" t="s">
        <v>2</v>
      </c>
      <c r="G27" s="184"/>
      <c r="H27" s="184"/>
      <c r="I27" s="127"/>
      <c r="J27" s="127"/>
      <c r="K27" s="127"/>
      <c r="L27" s="127"/>
      <c r="M27" s="127"/>
      <c r="N27" s="127"/>
      <c r="O27" s="127"/>
      <c r="P27" s="127"/>
      <c r="Q27" s="159"/>
      <c r="R27" s="364"/>
    </row>
    <row r="28" spans="1:19" ht="14.1" customHeight="1" thickBot="1" x14ac:dyDescent="0.4">
      <c r="A28" s="230"/>
      <c r="B28" s="231"/>
      <c r="C28" s="231"/>
      <c r="D28" s="398" t="s">
        <v>589</v>
      </c>
      <c r="E28" s="399">
        <f>_Rs3</f>
        <v>0.17</v>
      </c>
      <c r="F28" s="257" t="s">
        <v>208</v>
      </c>
      <c r="G28" s="184"/>
      <c r="H28" s="184"/>
      <c r="I28" s="127"/>
      <c r="J28" s="127"/>
      <c r="K28" s="127"/>
      <c r="L28" s="127"/>
      <c r="M28" s="127"/>
      <c r="N28" s="127"/>
      <c r="O28" s="127"/>
      <c r="P28" s="127"/>
      <c r="Q28" s="159"/>
      <c r="R28" s="364"/>
    </row>
    <row r="29" spans="1:19" ht="14.1" customHeight="1" x14ac:dyDescent="0.3">
      <c r="A29" s="277"/>
      <c r="B29" s="170"/>
      <c r="C29" s="170"/>
      <c r="D29" s="170"/>
      <c r="E29" s="170"/>
      <c r="F29" s="170"/>
      <c r="G29" s="184"/>
      <c r="H29" s="184"/>
      <c r="I29" s="127"/>
      <c r="J29" s="127"/>
      <c r="K29" s="127"/>
      <c r="L29" s="127"/>
      <c r="M29" s="127"/>
      <c r="N29" s="127"/>
      <c r="O29" s="127"/>
      <c r="P29" s="127"/>
      <c r="Q29" s="159"/>
      <c r="R29" s="364"/>
    </row>
    <row r="30" spans="1:19" ht="18" thickBot="1" x14ac:dyDescent="0.35">
      <c r="A30" s="214" t="s">
        <v>724</v>
      </c>
      <c r="B30" s="191"/>
      <c r="C30" s="192"/>
      <c r="D30" s="192"/>
      <c r="E30" s="193"/>
      <c r="F30" s="192"/>
      <c r="G30" s="184"/>
      <c r="H30" s="184"/>
      <c r="I30" s="127"/>
      <c r="J30" s="127"/>
      <c r="K30" s="127"/>
      <c r="L30" s="127"/>
      <c r="M30" s="127"/>
      <c r="N30" s="127"/>
      <c r="O30" s="127"/>
      <c r="P30" s="127"/>
      <c r="Q30" s="159"/>
      <c r="R30" s="364"/>
    </row>
    <row r="31" spans="1:19" ht="14.1" customHeight="1" x14ac:dyDescent="0.35">
      <c r="A31" s="250"/>
      <c r="B31" s="236"/>
      <c r="C31" s="225"/>
      <c r="D31" s="237" t="s">
        <v>460</v>
      </c>
      <c r="E31" s="238">
        <v>20</v>
      </c>
      <c r="F31" s="228" t="s">
        <v>770</v>
      </c>
      <c r="G31" s="184"/>
      <c r="H31" s="184"/>
      <c r="I31" s="127"/>
      <c r="J31" s="127"/>
      <c r="K31" s="127"/>
      <c r="L31" s="127"/>
      <c r="M31" s="127"/>
      <c r="N31" s="127"/>
      <c r="O31" s="127"/>
      <c r="P31" s="127"/>
      <c r="Q31" s="159"/>
      <c r="R31" s="364"/>
    </row>
    <row r="32" spans="1:19" ht="14.1" customHeight="1" x14ac:dyDescent="0.3">
      <c r="A32" s="183"/>
      <c r="B32" s="184"/>
      <c r="C32" s="181"/>
      <c r="D32" s="181" t="s">
        <v>461</v>
      </c>
      <c r="E32" s="217">
        <f>Coutmin*1000000</f>
        <v>30.256578947368411</v>
      </c>
      <c r="F32" s="234" t="s">
        <v>413</v>
      </c>
      <c r="G32" s="184"/>
      <c r="H32" s="184"/>
      <c r="I32" s="127"/>
      <c r="J32" s="127"/>
      <c r="K32" s="127"/>
      <c r="L32" s="127"/>
      <c r="M32" s="127"/>
      <c r="N32" s="127"/>
      <c r="O32" s="127"/>
      <c r="P32" s="127"/>
      <c r="Q32" s="159"/>
      <c r="R32" s="364"/>
    </row>
    <row r="33" spans="1:18" ht="14.1" customHeight="1" x14ac:dyDescent="0.35">
      <c r="A33" s="183"/>
      <c r="B33" s="184"/>
      <c r="C33" s="181"/>
      <c r="D33" s="180" t="s">
        <v>728</v>
      </c>
      <c r="E33" s="185">
        <v>135</v>
      </c>
      <c r="F33" s="229" t="s">
        <v>413</v>
      </c>
      <c r="G33" s="186"/>
      <c r="H33" s="184"/>
      <c r="I33" s="127"/>
      <c r="J33" s="127"/>
      <c r="K33" s="127"/>
      <c r="L33" s="127"/>
      <c r="M33" s="127"/>
      <c r="N33" s="127"/>
      <c r="O33" s="127"/>
      <c r="P33" s="127"/>
      <c r="Q33" s="159"/>
      <c r="R33" s="364"/>
    </row>
    <row r="34" spans="1:18" ht="14.1" customHeight="1" x14ac:dyDescent="0.3">
      <c r="A34" s="183"/>
      <c r="B34" s="184"/>
      <c r="C34" s="181"/>
      <c r="D34" s="181" t="s">
        <v>462</v>
      </c>
      <c r="E34" s="218">
        <f>IF(ISERROR(Resrmax*1000),"N/A",Resrmax*1000)</f>
        <v>13.420785163968041</v>
      </c>
      <c r="F34" s="234" t="s">
        <v>115</v>
      </c>
      <c r="G34" s="186"/>
      <c r="H34" s="184"/>
      <c r="I34" s="127"/>
      <c r="J34" s="127"/>
      <c r="K34" s="127"/>
      <c r="L34" s="127"/>
      <c r="M34" s="127"/>
      <c r="N34" s="127"/>
      <c r="O34" s="127"/>
      <c r="P34" s="127"/>
      <c r="Q34" s="159"/>
      <c r="R34" s="364"/>
    </row>
    <row r="35" spans="1:18" ht="14.1" customHeight="1" x14ac:dyDescent="0.3">
      <c r="A35" s="183"/>
      <c r="B35" s="184"/>
      <c r="C35" s="181"/>
      <c r="D35" s="180" t="s">
        <v>463</v>
      </c>
      <c r="E35" s="187">
        <v>1</v>
      </c>
      <c r="F35" s="229" t="s">
        <v>115</v>
      </c>
      <c r="G35" s="186"/>
      <c r="H35" s="184"/>
      <c r="I35" s="127"/>
      <c r="J35" s="127"/>
      <c r="K35" s="127"/>
      <c r="L35" s="127"/>
      <c r="M35" s="127"/>
      <c r="N35" s="127"/>
      <c r="O35" s="127"/>
      <c r="P35" s="127"/>
      <c r="Q35" s="159"/>
      <c r="R35" s="364"/>
    </row>
    <row r="36" spans="1:18" ht="14.1" customHeight="1" x14ac:dyDescent="0.35">
      <c r="A36" s="183"/>
      <c r="B36" s="184"/>
      <c r="C36" s="184"/>
      <c r="D36" s="181" t="s">
        <v>464</v>
      </c>
      <c r="E36" s="217">
        <f>Vripple2*1000</f>
        <v>4.7118610126492309</v>
      </c>
      <c r="F36" s="234" t="s">
        <v>767</v>
      </c>
      <c r="G36" s="186"/>
      <c r="H36" s="184"/>
      <c r="I36" s="127"/>
      <c r="J36" s="127"/>
      <c r="K36" s="127"/>
      <c r="L36" s="127"/>
      <c r="M36" s="127"/>
      <c r="N36" s="127"/>
      <c r="O36" s="127"/>
      <c r="P36" s="127"/>
      <c r="Q36" s="159"/>
      <c r="R36" s="364"/>
    </row>
    <row r="37" spans="1:18" ht="14.1" customHeight="1" thickBot="1" x14ac:dyDescent="0.4">
      <c r="A37" s="230"/>
      <c r="B37" s="231"/>
      <c r="C37" s="231"/>
      <c r="D37" s="182" t="s">
        <v>465</v>
      </c>
      <c r="E37" s="235">
        <f>Icoutrms</f>
        <v>0.41924745600048763</v>
      </c>
      <c r="F37" s="232" t="s">
        <v>768</v>
      </c>
      <c r="G37" s="188"/>
      <c r="H37" s="184"/>
      <c r="I37" s="127"/>
      <c r="J37" s="127"/>
      <c r="K37" s="161"/>
      <c r="L37" s="127"/>
      <c r="M37" s="127"/>
      <c r="N37" s="127"/>
      <c r="O37" s="127"/>
      <c r="P37" s="127"/>
      <c r="Q37" s="159"/>
      <c r="R37" s="364"/>
    </row>
    <row r="38" spans="1:18" ht="14.1" customHeight="1" x14ac:dyDescent="0.3">
      <c r="A38" s="272"/>
      <c r="B38" s="194"/>
      <c r="C38" s="194"/>
      <c r="D38" s="194"/>
      <c r="E38" s="194"/>
      <c r="F38" s="194"/>
      <c r="G38" s="184"/>
      <c r="H38" s="184"/>
      <c r="I38" s="127"/>
      <c r="J38" s="127"/>
      <c r="K38" s="127"/>
      <c r="L38" s="127"/>
      <c r="M38" s="127"/>
      <c r="N38" s="127"/>
      <c r="O38" s="127"/>
      <c r="P38" s="127"/>
      <c r="Q38" s="159"/>
      <c r="R38" s="364"/>
    </row>
    <row r="39" spans="1:18" ht="18" thickBot="1" x14ac:dyDescent="0.35">
      <c r="A39" s="214" t="s">
        <v>725</v>
      </c>
      <c r="B39" s="191"/>
      <c r="C39" s="192"/>
      <c r="D39" s="192"/>
      <c r="E39" s="184"/>
      <c r="F39" s="184"/>
      <c r="G39" s="184"/>
      <c r="H39" s="184"/>
      <c r="I39" s="127"/>
      <c r="J39" s="127"/>
      <c r="K39" s="127"/>
      <c r="L39" s="162"/>
      <c r="M39" s="127"/>
      <c r="N39" s="127"/>
      <c r="O39" s="127"/>
      <c r="P39" s="127"/>
      <c r="Q39" s="159"/>
      <c r="R39" s="364"/>
    </row>
    <row r="40" spans="1:18" ht="14.1" customHeight="1" x14ac:dyDescent="0.35">
      <c r="A40" s="250"/>
      <c r="B40" s="236"/>
      <c r="C40" s="224"/>
      <c r="D40" s="226" t="s">
        <v>466</v>
      </c>
      <c r="E40" s="238">
        <v>50</v>
      </c>
      <c r="F40" s="228" t="s">
        <v>770</v>
      </c>
      <c r="G40" s="184"/>
      <c r="H40" s="184"/>
      <c r="I40" s="127"/>
      <c r="J40" s="163"/>
      <c r="K40" s="127"/>
      <c r="L40" s="127"/>
      <c r="M40" s="127"/>
      <c r="N40" s="127"/>
      <c r="O40" s="127"/>
      <c r="P40" s="127"/>
      <c r="Q40" s="159"/>
      <c r="R40" s="364"/>
    </row>
    <row r="41" spans="1:18" ht="14.1" customHeight="1" x14ac:dyDescent="0.3">
      <c r="A41" s="195"/>
      <c r="B41" s="192"/>
      <c r="C41" s="184"/>
      <c r="D41" s="181" t="s">
        <v>467</v>
      </c>
      <c r="E41" s="217">
        <f>'Variable Management'!B80*1000000</f>
        <v>68.415599999999984</v>
      </c>
      <c r="F41" s="234" t="s">
        <v>413</v>
      </c>
      <c r="G41" s="184"/>
      <c r="H41" s="184"/>
      <c r="I41" s="127"/>
      <c r="J41" s="163"/>
      <c r="K41" s="127"/>
      <c r="L41" s="127"/>
      <c r="M41" s="127"/>
      <c r="N41" s="127"/>
      <c r="O41" s="127"/>
      <c r="P41" s="127"/>
      <c r="Q41" s="159"/>
      <c r="R41" s="364"/>
    </row>
    <row r="42" spans="1:18" ht="14.1" customHeight="1" x14ac:dyDescent="0.35">
      <c r="A42" s="183"/>
      <c r="B42" s="184"/>
      <c r="C42" s="192"/>
      <c r="D42" s="219" t="s">
        <v>729</v>
      </c>
      <c r="E42" s="185">
        <v>135</v>
      </c>
      <c r="F42" s="229" t="s">
        <v>413</v>
      </c>
      <c r="G42" s="184"/>
      <c r="H42" s="184"/>
      <c r="I42" s="127"/>
      <c r="J42" s="163"/>
      <c r="K42" s="127"/>
      <c r="L42" s="127"/>
      <c r="M42" s="127"/>
      <c r="N42" s="127"/>
      <c r="O42" s="127"/>
      <c r="P42" s="127"/>
      <c r="Q42" s="159"/>
      <c r="R42" s="364"/>
    </row>
    <row r="43" spans="1:18" ht="14.1" customHeight="1" x14ac:dyDescent="0.3">
      <c r="A43" s="183"/>
      <c r="B43" s="184"/>
      <c r="C43" s="192"/>
      <c r="D43" s="181" t="s">
        <v>462</v>
      </c>
      <c r="E43" s="218">
        <f>IF(CinEsrMax*1000&lt;0,"N/A",CinEsrMax*1000)</f>
        <v>3.6664154001180704</v>
      </c>
      <c r="F43" s="234" t="s">
        <v>115</v>
      </c>
      <c r="G43" s="184"/>
      <c r="H43" s="184"/>
      <c r="I43" s="127"/>
      <c r="J43" s="164"/>
      <c r="K43" s="127"/>
      <c r="L43" s="127"/>
      <c r="M43" s="127"/>
      <c r="N43" s="127"/>
      <c r="O43" s="127"/>
      <c r="P43" s="127"/>
      <c r="Q43" s="159" t="s">
        <v>342</v>
      </c>
      <c r="R43" s="364"/>
    </row>
    <row r="44" spans="1:18" ht="14.1" customHeight="1" x14ac:dyDescent="0.3">
      <c r="A44" s="183"/>
      <c r="B44" s="184"/>
      <c r="C44" s="192"/>
      <c r="D44" s="219" t="s">
        <v>468</v>
      </c>
      <c r="E44" s="185">
        <v>1</v>
      </c>
      <c r="F44" s="229" t="s">
        <v>115</v>
      </c>
      <c r="G44" s="184"/>
      <c r="H44" s="184"/>
      <c r="I44" s="127"/>
      <c r="J44" s="164"/>
      <c r="K44" s="127"/>
      <c r="L44" s="127"/>
      <c r="M44" s="127"/>
      <c r="N44" s="127"/>
      <c r="O44" s="127"/>
      <c r="P44" s="127"/>
      <c r="Q44" s="159"/>
      <c r="R44" s="364"/>
    </row>
    <row r="45" spans="1:18" ht="14.1" customHeight="1" x14ac:dyDescent="0.35">
      <c r="A45" s="183"/>
      <c r="B45" s="184"/>
      <c r="C45" s="192"/>
      <c r="D45" s="181" t="s">
        <v>469</v>
      </c>
      <c r="E45" s="217">
        <f>Vinripple2*1000</f>
        <v>32.065269005847945</v>
      </c>
      <c r="F45" s="234" t="s">
        <v>767</v>
      </c>
      <c r="G45" s="184"/>
      <c r="H45" s="184"/>
      <c r="I45" s="127"/>
      <c r="J45" s="164"/>
      <c r="K45" s="127"/>
      <c r="L45" s="127"/>
      <c r="M45" s="127"/>
      <c r="N45" s="127"/>
      <c r="O45" s="127"/>
      <c r="P45" s="127"/>
      <c r="Q45" s="159"/>
      <c r="R45" s="364"/>
    </row>
    <row r="46" spans="1:18" ht="14.1" customHeight="1" thickBot="1" x14ac:dyDescent="0.4">
      <c r="A46" s="230"/>
      <c r="B46" s="231"/>
      <c r="C46" s="231"/>
      <c r="D46" s="182" t="s">
        <v>470</v>
      </c>
      <c r="E46" s="235">
        <f>Icinrms</f>
        <v>2.4814116949833211</v>
      </c>
      <c r="F46" s="232" t="s">
        <v>768</v>
      </c>
      <c r="G46" s="184"/>
      <c r="H46" s="184"/>
      <c r="I46" s="127"/>
      <c r="J46" s="127"/>
      <c r="K46" s="127"/>
      <c r="L46" s="127"/>
      <c r="M46" s="127"/>
      <c r="N46" s="127"/>
      <c r="O46" s="127"/>
      <c r="P46" s="127"/>
      <c r="Q46" s="159"/>
      <c r="R46" s="364"/>
    </row>
    <row r="47" spans="1:18" ht="14.1" customHeight="1" x14ac:dyDescent="0.3">
      <c r="A47" s="183"/>
      <c r="B47" s="184"/>
      <c r="C47" s="184"/>
      <c r="D47" s="181"/>
      <c r="E47" s="184"/>
      <c r="F47" s="184"/>
      <c r="G47" s="184"/>
      <c r="H47" s="184"/>
      <c r="I47" s="127"/>
      <c r="J47" s="127"/>
      <c r="K47" s="127"/>
      <c r="L47" s="127"/>
      <c r="M47" s="127"/>
      <c r="N47" s="127"/>
      <c r="O47" s="127"/>
      <c r="P47" s="127"/>
      <c r="Q47" s="159"/>
      <c r="R47" s="364"/>
    </row>
    <row r="48" spans="1:18" ht="18" thickBot="1" x14ac:dyDescent="0.35">
      <c r="A48" s="214" t="s">
        <v>605</v>
      </c>
      <c r="B48" s="191"/>
      <c r="C48" s="184"/>
      <c r="D48" s="181"/>
      <c r="E48" s="184"/>
      <c r="F48" s="184"/>
      <c r="G48" s="184"/>
      <c r="H48" s="196"/>
      <c r="I48" s="170"/>
      <c r="J48" s="170"/>
      <c r="K48" s="170"/>
      <c r="L48" s="170"/>
      <c r="M48" s="170"/>
      <c r="N48" s="127"/>
      <c r="O48" s="127"/>
      <c r="P48" s="127"/>
      <c r="Q48" s="159"/>
      <c r="R48" s="364"/>
    </row>
    <row r="49" spans="1:35" ht="14.1" customHeight="1" x14ac:dyDescent="0.35">
      <c r="A49" s="271"/>
      <c r="B49" s="224"/>
      <c r="C49" s="224"/>
      <c r="D49" s="239" t="s">
        <v>608</v>
      </c>
      <c r="E49" s="227">
        <v>8</v>
      </c>
      <c r="F49" s="228" t="s">
        <v>290</v>
      </c>
      <c r="G49" s="184"/>
      <c r="H49" s="194"/>
      <c r="I49" s="170"/>
      <c r="J49" s="170"/>
      <c r="K49" s="170"/>
      <c r="L49" s="170"/>
      <c r="M49" s="170"/>
      <c r="N49" s="127"/>
      <c r="O49" s="127"/>
      <c r="P49" s="127"/>
      <c r="Q49" s="159"/>
      <c r="R49" s="364"/>
    </row>
    <row r="50" spans="1:35" ht="14.1" customHeight="1" x14ac:dyDescent="0.35">
      <c r="A50" s="183"/>
      <c r="B50" s="184"/>
      <c r="C50" s="184"/>
      <c r="D50" s="181" t="s">
        <v>609</v>
      </c>
      <c r="E50" s="218">
        <f>Css_u*1000000000</f>
        <v>100</v>
      </c>
      <c r="F50" s="234" t="s">
        <v>278</v>
      </c>
      <c r="G50" s="184"/>
      <c r="H50" s="194"/>
      <c r="I50" s="170"/>
      <c r="J50" s="170"/>
      <c r="K50" s="170"/>
      <c r="L50" s="170"/>
      <c r="M50" s="170"/>
      <c r="N50" s="127"/>
      <c r="O50" s="127"/>
      <c r="P50" s="127"/>
      <c r="Q50" s="159"/>
      <c r="R50" s="364"/>
    </row>
    <row r="51" spans="1:35" ht="14.1" customHeight="1" x14ac:dyDescent="0.3">
      <c r="A51" s="183"/>
      <c r="B51" s="184"/>
      <c r="C51" s="192"/>
      <c r="D51" s="180" t="s">
        <v>606</v>
      </c>
      <c r="E51" s="308">
        <v>8.33</v>
      </c>
      <c r="F51" s="229" t="s">
        <v>0</v>
      </c>
      <c r="G51" s="184"/>
      <c r="H51" s="184"/>
      <c r="I51" s="127"/>
      <c r="J51" s="125"/>
      <c r="K51" s="179"/>
      <c r="L51" s="127"/>
      <c r="M51" s="170"/>
      <c r="N51" s="127"/>
      <c r="O51" s="127"/>
      <c r="P51" s="127"/>
      <c r="Q51" s="159"/>
      <c r="R51" s="364"/>
    </row>
    <row r="52" spans="1:35" ht="14.1" customHeight="1" x14ac:dyDescent="0.3">
      <c r="A52" s="183"/>
      <c r="B52" s="184"/>
      <c r="C52" s="192"/>
      <c r="D52" s="180" t="s">
        <v>607</v>
      </c>
      <c r="E52" s="308">
        <v>7.58</v>
      </c>
      <c r="F52" s="229" t="s">
        <v>0</v>
      </c>
      <c r="G52" s="184"/>
      <c r="H52" s="184"/>
      <c r="I52" s="127"/>
      <c r="J52" s="125"/>
      <c r="K52" s="179"/>
      <c r="L52" s="127"/>
      <c r="M52" s="170"/>
      <c r="N52" s="127"/>
      <c r="O52" s="127"/>
      <c r="P52" s="127"/>
      <c r="Q52" s="159"/>
      <c r="R52" s="364"/>
    </row>
    <row r="53" spans="1:35" ht="14.1" customHeight="1" x14ac:dyDescent="0.35">
      <c r="A53" s="183"/>
      <c r="B53" s="184"/>
      <c r="C53" s="184"/>
      <c r="D53" s="181" t="s">
        <v>590</v>
      </c>
      <c r="E53" s="181">
        <f>'Variable Management'!F97</f>
        <v>75</v>
      </c>
      <c r="F53" s="234" t="s">
        <v>116</v>
      </c>
      <c r="G53" s="184"/>
      <c r="H53" s="184"/>
      <c r="I53" s="127"/>
      <c r="J53" s="125"/>
      <c r="K53" s="179"/>
      <c r="L53" s="127"/>
      <c r="M53" s="170"/>
      <c r="N53" s="127"/>
      <c r="O53" s="127"/>
      <c r="P53" s="127"/>
      <c r="Q53" s="159"/>
      <c r="R53" s="364"/>
    </row>
    <row r="54" spans="1:35" ht="14.1" customHeight="1" thickBot="1" x14ac:dyDescent="0.4">
      <c r="A54" s="230"/>
      <c r="B54" s="231"/>
      <c r="C54" s="231"/>
      <c r="D54" s="182" t="s">
        <v>591</v>
      </c>
      <c r="E54" s="182">
        <f>'Variable Management'!F98</f>
        <v>12.700000000000001</v>
      </c>
      <c r="F54" s="232" t="s">
        <v>116</v>
      </c>
      <c r="G54" s="184"/>
      <c r="H54" s="184"/>
      <c r="I54" s="127"/>
      <c r="J54" s="125"/>
      <c r="K54" s="179"/>
      <c r="L54" s="127"/>
      <c r="M54" s="170"/>
      <c r="N54" s="127"/>
      <c r="O54" s="127"/>
      <c r="P54" s="127"/>
      <c r="Q54" s="159"/>
      <c r="R54" s="364"/>
    </row>
    <row r="55" spans="1:35" ht="14.1" customHeight="1" x14ac:dyDescent="0.3">
      <c r="A55" s="183" t="s">
        <v>726</v>
      </c>
      <c r="B55" s="184"/>
      <c r="C55" s="184"/>
      <c r="D55" s="181"/>
      <c r="E55" s="197"/>
      <c r="F55" s="184"/>
      <c r="G55" s="184"/>
      <c r="H55" s="184"/>
      <c r="I55" s="127"/>
      <c r="J55" s="125"/>
      <c r="K55" s="179"/>
      <c r="L55" s="127"/>
      <c r="M55" s="170"/>
      <c r="N55" s="127"/>
      <c r="O55" s="127"/>
      <c r="P55" s="127"/>
      <c r="Q55" s="159"/>
      <c r="R55" s="364"/>
    </row>
    <row r="56" spans="1:35" ht="14.1" customHeight="1" x14ac:dyDescent="0.3">
      <c r="A56" s="272" t="s">
        <v>771</v>
      </c>
      <c r="B56" s="170"/>
      <c r="C56" s="170"/>
      <c r="D56" s="170"/>
      <c r="E56" s="170"/>
      <c r="F56" s="170"/>
      <c r="G56" s="184"/>
      <c r="H56" s="184"/>
      <c r="I56" s="127"/>
      <c r="J56" s="125"/>
      <c r="K56" s="179"/>
      <c r="L56" s="127"/>
      <c r="M56" s="170"/>
      <c r="N56" s="127"/>
      <c r="O56" s="127"/>
      <c r="P56" s="127"/>
      <c r="Q56" s="159"/>
      <c r="R56" s="364"/>
    </row>
    <row r="57" spans="1:35" ht="14.1" customHeight="1" x14ac:dyDescent="0.3">
      <c r="A57" s="277"/>
      <c r="B57" s="184"/>
      <c r="C57" s="184"/>
      <c r="D57" s="181"/>
      <c r="E57" s="197"/>
      <c r="F57" s="184"/>
      <c r="G57" s="184"/>
      <c r="H57" s="184"/>
      <c r="I57" s="127"/>
      <c r="J57" s="125"/>
      <c r="K57" s="179"/>
      <c r="L57" s="127"/>
      <c r="M57" s="170"/>
      <c r="N57" s="127"/>
      <c r="O57" s="127"/>
      <c r="P57" s="127"/>
      <c r="Q57" s="159"/>
      <c r="R57" s="364"/>
    </row>
    <row r="58" spans="1:35" ht="24.9" customHeight="1" thickBot="1" x14ac:dyDescent="0.35">
      <c r="A58" s="270" t="s">
        <v>455</v>
      </c>
      <c r="B58" s="199"/>
      <c r="C58" s="192"/>
      <c r="D58" s="192"/>
      <c r="E58" s="193"/>
      <c r="F58" s="192"/>
      <c r="G58" s="184"/>
      <c r="H58" s="184"/>
      <c r="I58" s="127"/>
      <c r="J58" s="127"/>
      <c r="K58" s="127"/>
      <c r="L58" s="127"/>
      <c r="M58" s="127"/>
      <c r="N58" s="127"/>
      <c r="O58" s="127"/>
      <c r="P58" s="127"/>
      <c r="Q58" s="159"/>
      <c r="R58" s="365"/>
      <c r="S58" s="85"/>
      <c r="T58" s="85"/>
      <c r="W58" s="85"/>
      <c r="X58" s="85"/>
      <c r="Y58" s="85"/>
      <c r="AB58" s="85"/>
      <c r="AC58" s="85"/>
      <c r="AD58" s="85"/>
      <c r="AG58" s="85"/>
      <c r="AH58" s="85"/>
      <c r="AI58" s="85"/>
    </row>
    <row r="59" spans="1:35" ht="14.1" customHeight="1" x14ac:dyDescent="0.3">
      <c r="A59" s="271"/>
      <c r="B59" s="224"/>
      <c r="C59" s="225"/>
      <c r="D59" s="225" t="s">
        <v>471</v>
      </c>
      <c r="E59" s="241">
        <f>Fo/1000</f>
        <v>4.4935179419644298</v>
      </c>
      <c r="F59" s="233" t="s">
        <v>3</v>
      </c>
      <c r="G59" s="184"/>
      <c r="H59" s="184"/>
      <c r="I59" s="127"/>
      <c r="J59" s="127"/>
      <c r="K59" s="127"/>
      <c r="L59" s="127"/>
      <c r="M59" s="127"/>
      <c r="N59" s="127"/>
      <c r="O59" s="127"/>
      <c r="P59" s="127"/>
      <c r="Q59" s="159"/>
      <c r="R59" s="365"/>
      <c r="S59" s="85"/>
      <c r="T59" s="85"/>
      <c r="W59" s="85"/>
      <c r="X59" s="85"/>
      <c r="Y59" s="85"/>
      <c r="AB59" s="85"/>
      <c r="AC59" s="85"/>
      <c r="AD59" s="85"/>
      <c r="AG59" s="85"/>
      <c r="AH59" s="85"/>
      <c r="AI59" s="85"/>
    </row>
    <row r="60" spans="1:35" ht="14.1" customHeight="1" x14ac:dyDescent="0.3">
      <c r="A60" s="183"/>
      <c r="B60" s="184"/>
      <c r="C60" s="181"/>
      <c r="D60" s="181" t="s">
        <v>472</v>
      </c>
      <c r="E60" s="217">
        <f>Fesr/1000</f>
        <v>1178.9255057315286</v>
      </c>
      <c r="F60" s="234" t="s">
        <v>3</v>
      </c>
      <c r="G60" s="184"/>
      <c r="H60" s="184"/>
      <c r="I60" s="127"/>
      <c r="J60" s="127"/>
      <c r="K60" s="127"/>
      <c r="L60" s="127"/>
      <c r="M60" s="127"/>
      <c r="N60" s="127"/>
      <c r="O60" s="127"/>
      <c r="P60" s="127"/>
      <c r="Q60" s="159"/>
      <c r="R60" s="365"/>
      <c r="S60" s="85"/>
      <c r="T60" s="85"/>
      <c r="W60" s="85"/>
      <c r="X60" s="85"/>
      <c r="Y60" s="85"/>
      <c r="AB60" s="85"/>
      <c r="AC60" s="85"/>
      <c r="AD60" s="85"/>
      <c r="AG60" s="85"/>
      <c r="AH60" s="85"/>
      <c r="AI60" s="85"/>
    </row>
    <row r="61" spans="1:35" ht="14.1" customHeight="1" x14ac:dyDescent="0.3">
      <c r="A61" s="183"/>
      <c r="B61" s="184"/>
      <c r="C61" s="181"/>
      <c r="D61" s="180" t="s">
        <v>481</v>
      </c>
      <c r="E61" s="220">
        <v>48</v>
      </c>
      <c r="F61" s="404" t="s">
        <v>604</v>
      </c>
      <c r="G61" s="184"/>
      <c r="H61" s="184"/>
      <c r="I61" s="127"/>
      <c r="J61" s="127"/>
      <c r="K61" s="127"/>
      <c r="L61" s="127"/>
      <c r="M61" s="127"/>
      <c r="N61" s="127"/>
      <c r="O61" s="127"/>
      <c r="P61" s="127"/>
      <c r="Q61" s="159"/>
      <c r="R61" s="365"/>
      <c r="S61" s="85"/>
      <c r="T61" s="85"/>
      <c r="W61" s="85"/>
      <c r="X61" s="85"/>
      <c r="Y61" s="85"/>
      <c r="AB61" s="85"/>
      <c r="AC61" s="85"/>
      <c r="AD61" s="85"/>
      <c r="AG61" s="85"/>
      <c r="AH61" s="85"/>
      <c r="AI61" s="85"/>
    </row>
    <row r="62" spans="1:35" ht="14.1" customHeight="1" x14ac:dyDescent="0.3">
      <c r="A62" s="183"/>
      <c r="B62" s="184"/>
      <c r="C62" s="181"/>
      <c r="D62" s="181" t="s">
        <v>473</v>
      </c>
      <c r="E62" s="215">
        <f>Kmidband</f>
        <v>0.71213691395678658</v>
      </c>
      <c r="F62" s="234" t="s">
        <v>49</v>
      </c>
      <c r="G62" s="184"/>
      <c r="H62" s="184"/>
      <c r="I62" s="127"/>
      <c r="J62" s="127"/>
      <c r="K62" s="127"/>
      <c r="L62" s="127"/>
      <c r="M62" s="127"/>
      <c r="N62" s="127"/>
      <c r="O62" s="127"/>
      <c r="P62" s="127"/>
      <c r="Q62" s="159"/>
      <c r="R62" s="365"/>
      <c r="S62" s="85"/>
      <c r="T62" s="85"/>
      <c r="W62" s="85"/>
      <c r="X62" s="85"/>
      <c r="Y62" s="85"/>
      <c r="AB62" s="85"/>
      <c r="AC62" s="85"/>
      <c r="AD62" s="85"/>
      <c r="AG62" s="85"/>
      <c r="AH62" s="85"/>
      <c r="AI62" s="85"/>
    </row>
    <row r="63" spans="1:35" ht="15.9" customHeight="1" x14ac:dyDescent="0.35">
      <c r="A63" s="183"/>
      <c r="B63" s="184"/>
      <c r="C63" s="181"/>
      <c r="D63" s="180" t="s">
        <v>592</v>
      </c>
      <c r="E63" s="221">
        <v>18</v>
      </c>
      <c r="F63" s="229" t="s">
        <v>116</v>
      </c>
      <c r="G63" s="184"/>
      <c r="H63" s="184"/>
      <c r="I63" s="127"/>
      <c r="J63" s="127"/>
      <c r="K63" s="127"/>
      <c r="L63" s="127"/>
      <c r="M63" s="127"/>
      <c r="N63" s="127"/>
      <c r="O63" s="127"/>
      <c r="P63" s="127"/>
      <c r="Q63" s="159"/>
      <c r="R63" s="365"/>
      <c r="S63" s="85"/>
      <c r="T63" s="85"/>
      <c r="W63" s="85"/>
      <c r="X63" s="85"/>
      <c r="Y63" s="85"/>
      <c r="AB63" s="85"/>
      <c r="AC63" s="85"/>
      <c r="AD63" s="85"/>
      <c r="AG63" s="85"/>
      <c r="AH63" s="85"/>
      <c r="AI63" s="85"/>
    </row>
    <row r="64" spans="1:35" ht="15.9" customHeight="1" x14ac:dyDescent="0.35">
      <c r="A64" s="381"/>
      <c r="B64" s="184"/>
      <c r="C64" s="181"/>
      <c r="D64" s="181" t="s">
        <v>593</v>
      </c>
      <c r="E64" s="181">
        <f>IF(Vout=Vref,"OPEN",Rfb2_u/1000)</f>
        <v>3.32</v>
      </c>
      <c r="F64" s="234" t="str">
        <f>IF(Vout=Vref,"","kΩ")</f>
        <v>kΩ</v>
      </c>
      <c r="G64" s="184"/>
      <c r="H64" s="184"/>
      <c r="I64" s="127"/>
      <c r="J64" s="127"/>
      <c r="K64" s="127"/>
      <c r="L64" s="127"/>
      <c r="M64" s="127"/>
      <c r="N64" s="127"/>
      <c r="O64" s="127"/>
      <c r="P64" s="127"/>
      <c r="Q64" s="159"/>
      <c r="R64" s="365"/>
      <c r="S64" s="85"/>
      <c r="T64" s="85"/>
      <c r="W64" s="85"/>
      <c r="X64" s="85"/>
      <c r="Y64" s="85"/>
      <c r="AB64" s="85"/>
      <c r="AC64" s="85"/>
      <c r="AD64" s="85"/>
      <c r="AG64" s="85"/>
      <c r="AH64" s="85"/>
      <c r="AI64" s="85"/>
    </row>
    <row r="65" spans="1:35" ht="15.9" customHeight="1" thickBot="1" x14ac:dyDescent="0.4">
      <c r="A65" s="230"/>
      <c r="B65" s="280"/>
      <c r="C65" s="280"/>
      <c r="D65" s="398" t="s">
        <v>699</v>
      </c>
      <c r="E65" s="489">
        <f>'Variable Management'!B129</f>
        <v>5.1373493975903619</v>
      </c>
      <c r="F65" s="257" t="s">
        <v>0</v>
      </c>
      <c r="G65" s="184"/>
      <c r="H65" s="184"/>
      <c r="I65" s="127"/>
      <c r="J65" s="127"/>
      <c r="K65" s="127"/>
      <c r="L65" s="127"/>
      <c r="M65" s="127"/>
      <c r="N65" s="127"/>
      <c r="O65" s="127"/>
      <c r="P65" s="127"/>
      <c r="Q65" s="159"/>
      <c r="R65" s="365"/>
      <c r="S65" s="85"/>
      <c r="T65" s="85"/>
      <c r="W65" s="85"/>
      <c r="X65" s="85"/>
      <c r="Y65" s="85"/>
      <c r="AB65" s="85"/>
      <c r="AC65" s="85"/>
      <c r="AD65" s="85"/>
      <c r="AG65" s="85"/>
      <c r="AH65" s="85"/>
      <c r="AI65" s="85"/>
    </row>
    <row r="66" spans="1:35" ht="14.4" thickBot="1" x14ac:dyDescent="0.35">
      <c r="A66" s="183"/>
      <c r="B66" s="184"/>
      <c r="C66" s="181"/>
      <c r="D66" s="200"/>
      <c r="E66" s="201"/>
      <c r="F66" s="202"/>
      <c r="G66" s="184"/>
      <c r="H66" s="184"/>
      <c r="I66" s="127"/>
      <c r="J66" s="127"/>
      <c r="K66" s="127"/>
      <c r="L66" s="127"/>
      <c r="M66" s="127"/>
      <c r="N66" s="127"/>
      <c r="O66" s="127"/>
      <c r="P66" s="127"/>
      <c r="Q66" s="159"/>
      <c r="R66" s="365"/>
      <c r="S66" s="85"/>
      <c r="T66" s="85"/>
      <c r="W66" s="85"/>
      <c r="X66" s="85"/>
      <c r="Y66" s="85"/>
      <c r="AB66" s="85"/>
      <c r="AC66" s="85"/>
      <c r="AD66" s="85"/>
      <c r="AG66" s="85"/>
      <c r="AH66" s="85"/>
      <c r="AI66" s="85"/>
    </row>
    <row r="67" spans="1:35" ht="15.9" customHeight="1" x14ac:dyDescent="0.3">
      <c r="A67" s="348" t="s">
        <v>727</v>
      </c>
      <c r="B67" s="278"/>
      <c r="C67" s="278"/>
      <c r="D67" s="281" t="s">
        <v>533</v>
      </c>
      <c r="E67" s="282">
        <v>4.0999999999999996</v>
      </c>
      <c r="F67" s="284" t="str">
        <f>"      kHz  "</f>
        <v xml:space="preserve">      kHz  </v>
      </c>
      <c r="G67" s="204"/>
      <c r="H67" s="205"/>
      <c r="I67" s="127"/>
      <c r="J67" s="127"/>
      <c r="K67" s="127"/>
      <c r="L67" s="127"/>
      <c r="M67" s="127"/>
      <c r="N67" s="127"/>
      <c r="O67" s="127"/>
      <c r="P67" s="127"/>
      <c r="Q67" s="159"/>
      <c r="R67" s="365"/>
      <c r="S67" s="85"/>
      <c r="T67" s="85"/>
      <c r="W67" s="85"/>
      <c r="X67" s="85"/>
      <c r="Y67" s="85"/>
      <c r="AB67" s="85"/>
      <c r="AC67" s="85"/>
      <c r="AD67" s="85"/>
      <c r="AG67" s="85"/>
      <c r="AH67" s="85"/>
      <c r="AI67" s="85"/>
    </row>
    <row r="68" spans="1:35" ht="15.9" customHeight="1" x14ac:dyDescent="0.3">
      <c r="A68" s="354" t="str">
        <f>" Baseline P/Z Frequencies:"</f>
        <v xml:space="preserve"> Baseline P/Z Frequencies:</v>
      </c>
      <c r="B68" s="170"/>
      <c r="C68" s="170"/>
      <c r="D68" s="203" t="s">
        <v>534</v>
      </c>
      <c r="E68" s="222">
        <v>5</v>
      </c>
      <c r="F68" s="240" t="str">
        <f>"      kHz"</f>
        <v xml:space="preserve">      kHz</v>
      </c>
      <c r="G68" s="204"/>
      <c r="H68" s="205"/>
      <c r="I68" s="127"/>
      <c r="J68" s="127"/>
      <c r="K68" s="127"/>
      <c r="L68" s="127"/>
      <c r="M68" s="127"/>
      <c r="N68" s="127"/>
      <c r="O68" s="127"/>
      <c r="P68" s="127"/>
      <c r="Q68" s="159"/>
      <c r="R68" s="365"/>
      <c r="S68" s="85"/>
      <c r="T68" s="85"/>
      <c r="W68" s="85"/>
      <c r="X68" s="85"/>
      <c r="Y68" s="85"/>
      <c r="AB68" s="85"/>
      <c r="AC68" s="85"/>
      <c r="AD68" s="85"/>
      <c r="AG68" s="85"/>
      <c r="AH68" s="85"/>
      <c r="AI68" s="85"/>
    </row>
    <row r="69" spans="1:35" ht="15.9" customHeight="1" x14ac:dyDescent="0.3">
      <c r="A69" s="277"/>
      <c r="B69" s="170"/>
      <c r="C69" s="170"/>
      <c r="D69" s="206" t="s">
        <v>531</v>
      </c>
      <c r="E69" s="223">
        <v>200</v>
      </c>
      <c r="F69" s="240" t="str">
        <f>"      kHz"</f>
        <v xml:space="preserve">      kHz</v>
      </c>
      <c r="G69" s="207"/>
      <c r="H69" s="205"/>
      <c r="I69" s="127"/>
      <c r="J69" s="127"/>
      <c r="K69" s="127"/>
      <c r="L69" s="127"/>
      <c r="M69" s="127"/>
      <c r="N69" s="127"/>
      <c r="O69" s="127"/>
      <c r="P69" s="127"/>
      <c r="Q69" s="159"/>
      <c r="R69" s="365"/>
      <c r="S69" s="85"/>
      <c r="T69" s="85"/>
      <c r="W69" s="85"/>
      <c r="X69" s="85"/>
      <c r="Y69" s="85"/>
      <c r="AB69" s="85"/>
      <c r="AC69" s="85"/>
      <c r="AD69" s="85"/>
      <c r="AG69" s="85"/>
      <c r="AH69" s="85"/>
      <c r="AI69" s="85"/>
    </row>
    <row r="70" spans="1:35" ht="15.9" customHeight="1" thickBot="1" x14ac:dyDescent="0.35">
      <c r="A70" s="279"/>
      <c r="B70" s="280"/>
      <c r="C70" s="280"/>
      <c r="D70" s="267" t="s">
        <v>532</v>
      </c>
      <c r="E70" s="268">
        <v>1000</v>
      </c>
      <c r="F70" s="269" t="str">
        <f>"      kHz"</f>
        <v xml:space="preserve">      kHz</v>
      </c>
      <c r="G70" s="207"/>
      <c r="H70" s="205"/>
      <c r="I70" s="127"/>
      <c r="J70" s="127"/>
      <c r="K70" s="127"/>
      <c r="L70" s="127"/>
      <c r="M70" s="127"/>
      <c r="N70" s="127"/>
      <c r="O70" s="127"/>
      <c r="P70" s="127"/>
      <c r="Q70" s="159"/>
      <c r="R70" s="365"/>
      <c r="S70" s="85"/>
      <c r="T70" s="85"/>
      <c r="W70" s="85"/>
      <c r="X70" s="85"/>
      <c r="Y70" s="85"/>
      <c r="AB70" s="85"/>
      <c r="AC70" s="85"/>
      <c r="AD70" s="85"/>
      <c r="AG70" s="85"/>
      <c r="AH70" s="85"/>
      <c r="AI70" s="85"/>
    </row>
    <row r="71" spans="1:35" ht="15.75" customHeight="1" x14ac:dyDescent="0.3">
      <c r="A71" s="273"/>
      <c r="B71" s="208"/>
      <c r="C71" s="209"/>
      <c r="D71" s="194"/>
      <c r="E71" s="194"/>
      <c r="F71" s="194"/>
      <c r="G71" s="207"/>
      <c r="H71" s="205"/>
      <c r="I71" s="127"/>
      <c r="J71" s="127"/>
      <c r="K71" s="127"/>
      <c r="L71" s="127"/>
      <c r="M71" s="127"/>
      <c r="N71" s="127"/>
      <c r="O71" s="127"/>
      <c r="P71" s="127"/>
      <c r="Q71" s="159"/>
      <c r="R71" s="365"/>
      <c r="S71" s="85"/>
      <c r="T71" s="85"/>
      <c r="W71" s="85"/>
      <c r="X71" s="85"/>
      <c r="Y71" s="85"/>
      <c r="AB71" s="85"/>
      <c r="AC71" s="85"/>
      <c r="AD71" s="85"/>
      <c r="AG71" s="85"/>
      <c r="AH71" s="85"/>
      <c r="AI71" s="85"/>
    </row>
    <row r="72" spans="1:35" ht="18" customHeight="1" x14ac:dyDescent="0.3">
      <c r="A72" s="195" t="s">
        <v>443</v>
      </c>
      <c r="B72" s="210"/>
      <c r="C72" s="181"/>
      <c r="D72" s="200"/>
      <c r="E72" s="201"/>
      <c r="F72" s="202"/>
      <c r="G72" s="211"/>
      <c r="H72" s="184"/>
      <c r="I72" s="127"/>
      <c r="J72" s="127"/>
      <c r="K72" s="127"/>
      <c r="L72" s="127"/>
      <c r="M72" s="127"/>
      <c r="N72" s="127"/>
      <c r="O72" s="127"/>
      <c r="P72" s="127"/>
      <c r="Q72" s="159"/>
      <c r="R72" s="365"/>
      <c r="S72" s="285"/>
      <c r="T72" s="285"/>
      <c r="U72" s="286"/>
      <c r="V72" s="286"/>
      <c r="W72" s="285"/>
      <c r="X72" s="285"/>
      <c r="Y72" s="285"/>
      <c r="Z72" s="286"/>
      <c r="AA72" s="286"/>
      <c r="AB72" s="285"/>
      <c r="AC72" s="285"/>
      <c r="AD72" s="285"/>
      <c r="AE72" s="286"/>
      <c r="AF72" s="286"/>
      <c r="AG72" s="85"/>
      <c r="AH72" s="85"/>
      <c r="AI72" s="85"/>
    </row>
    <row r="73" spans="1:35" s="298" customFormat="1" ht="13.5" customHeight="1" thickBot="1" x14ac:dyDescent="0.35">
      <c r="A73" s="300"/>
      <c r="B73" s="301" t="s">
        <v>456</v>
      </c>
      <c r="C73" s="304" t="s">
        <v>442</v>
      </c>
      <c r="D73" s="302" t="str">
        <f>"    Selected"</f>
        <v xml:space="preserve">    Selected</v>
      </c>
      <c r="E73" s="303"/>
      <c r="F73" s="514" t="s">
        <v>444</v>
      </c>
      <c r="G73" s="514"/>
      <c r="H73" s="514"/>
      <c r="I73" s="293"/>
      <c r="J73" s="293"/>
      <c r="K73" s="293"/>
      <c r="L73" s="293"/>
      <c r="M73" s="293"/>
      <c r="N73" s="293"/>
      <c r="O73" s="293"/>
      <c r="P73" s="293"/>
      <c r="Q73" s="294"/>
      <c r="R73" s="366"/>
      <c r="S73" s="295"/>
      <c r="T73" s="295"/>
      <c r="U73" s="296"/>
      <c r="V73" s="296"/>
      <c r="W73" s="295"/>
      <c r="X73" s="295"/>
      <c r="Y73" s="295"/>
      <c r="Z73" s="296"/>
      <c r="AA73" s="296"/>
      <c r="AB73" s="295"/>
      <c r="AC73" s="295"/>
      <c r="AD73" s="295"/>
      <c r="AE73" s="296"/>
      <c r="AF73" s="296"/>
      <c r="AG73" s="297"/>
      <c r="AH73" s="297"/>
      <c r="AI73" s="297"/>
    </row>
    <row r="74" spans="1:35" ht="15.6" x14ac:dyDescent="0.35">
      <c r="A74" s="248" t="s">
        <v>445</v>
      </c>
      <c r="B74" s="264">
        <f>Rcea1/1000</f>
        <v>12.818464451222159</v>
      </c>
      <c r="C74" s="242">
        <f>'Standard Value Calculator'!S27</f>
        <v>12.7</v>
      </c>
      <c r="D74" s="243">
        <v>13</v>
      </c>
      <c r="E74" s="244" t="s">
        <v>116</v>
      </c>
      <c r="F74" s="246">
        <f>Fz1_u/1000</f>
        <v>3.7099054376166989</v>
      </c>
      <c r="G74" s="263" t="s">
        <v>446</v>
      </c>
      <c r="H74" s="194"/>
      <c r="I74" s="127"/>
      <c r="J74" s="127"/>
      <c r="K74" s="127"/>
      <c r="L74" s="127"/>
      <c r="M74" s="127"/>
      <c r="N74" s="127"/>
      <c r="O74" s="127"/>
      <c r="P74" s="127"/>
      <c r="Q74" s="159"/>
      <c r="R74" s="365"/>
      <c r="S74" s="285"/>
      <c r="T74" s="285"/>
      <c r="U74" s="286"/>
      <c r="V74" s="286"/>
      <c r="W74" s="285"/>
      <c r="X74" s="285"/>
      <c r="Y74" s="285"/>
      <c r="Z74" s="286"/>
      <c r="AA74" s="286"/>
      <c r="AB74" s="285"/>
      <c r="AC74" s="285"/>
      <c r="AD74" s="285"/>
      <c r="AE74" s="286"/>
      <c r="AF74" s="286"/>
      <c r="AG74" s="85"/>
      <c r="AH74" s="85"/>
      <c r="AI74" s="85"/>
    </row>
    <row r="75" spans="1:35" ht="15.6" x14ac:dyDescent="0.35">
      <c r="A75" s="249" t="s">
        <v>447</v>
      </c>
      <c r="B75" s="265">
        <f>Cc1ea*1000000000000</f>
        <v>3028.3095916029615</v>
      </c>
      <c r="C75" s="205">
        <f>'Standard Value Calculator'!S28</f>
        <v>3300</v>
      </c>
      <c r="D75" s="212">
        <v>3300</v>
      </c>
      <c r="E75" s="245" t="s">
        <v>53</v>
      </c>
      <c r="F75" s="247">
        <f>Fz2_u/1000</f>
        <v>3.9167924219559085</v>
      </c>
      <c r="G75" s="240" t="s">
        <v>448</v>
      </c>
      <c r="H75" s="194"/>
      <c r="I75" s="127"/>
      <c r="J75" s="127"/>
      <c r="K75" s="127"/>
      <c r="L75" s="127"/>
      <c r="M75" s="127"/>
      <c r="N75" s="127"/>
      <c r="O75" s="127"/>
      <c r="P75" s="127"/>
      <c r="Q75" s="159"/>
      <c r="R75" s="365"/>
      <c r="S75" s="285"/>
      <c r="T75" s="285"/>
      <c r="U75" s="286"/>
      <c r="V75" s="286"/>
      <c r="W75" s="285"/>
      <c r="X75" s="285"/>
      <c r="Y75" s="285"/>
      <c r="Z75" s="286"/>
      <c r="AA75" s="286"/>
      <c r="AB75" s="285"/>
      <c r="AC75" s="285"/>
      <c r="AD75" s="285"/>
      <c r="AE75" s="286"/>
      <c r="AF75" s="286"/>
      <c r="AG75" s="85"/>
      <c r="AH75" s="85"/>
      <c r="AI75" s="85"/>
    </row>
    <row r="76" spans="1:35" ht="15.6" x14ac:dyDescent="0.35">
      <c r="A76" s="249" t="s">
        <v>449</v>
      </c>
      <c r="B76" s="265">
        <f>Cc2ea*1000000000000</f>
        <v>12.467184783183193</v>
      </c>
      <c r="C76" s="205">
        <f>'Standard Value Calculator'!S29</f>
        <v>12</v>
      </c>
      <c r="D76" s="212">
        <v>12</v>
      </c>
      <c r="E76" s="245" t="s">
        <v>53</v>
      </c>
      <c r="F76" s="422">
        <f>Fp1_u/1000</f>
        <v>153.92160858196942</v>
      </c>
      <c r="G76" s="240" t="s">
        <v>450</v>
      </c>
      <c r="H76" s="194"/>
      <c r="I76" s="127"/>
      <c r="J76" s="127"/>
      <c r="K76" s="127"/>
      <c r="L76" s="127"/>
      <c r="M76" s="127"/>
      <c r="N76" s="127"/>
      <c r="O76" s="127"/>
      <c r="P76" s="127"/>
      <c r="Q76" s="159"/>
      <c r="R76" s="365"/>
      <c r="S76" s="285"/>
      <c r="T76" s="285"/>
      <c r="U76" s="286"/>
      <c r="V76" s="286"/>
      <c r="W76" s="285"/>
      <c r="X76" s="285"/>
      <c r="Y76" s="285"/>
      <c r="Z76" s="286"/>
      <c r="AA76" s="286"/>
      <c r="AB76" s="285"/>
      <c r="AC76" s="285"/>
      <c r="AD76" s="285"/>
      <c r="AE76" s="286"/>
      <c r="AF76" s="286"/>
      <c r="AG76" s="85"/>
      <c r="AH76" s="85"/>
      <c r="AI76" s="85"/>
    </row>
    <row r="77" spans="1:35" ht="16.2" customHeight="1" x14ac:dyDescent="0.35">
      <c r="A77" s="249" t="s">
        <v>451</v>
      </c>
      <c r="B77" s="265">
        <f>Rcea2</f>
        <v>461.53846153846149</v>
      </c>
      <c r="C77" s="205">
        <f>'Standard Value Calculator'!S30</f>
        <v>464</v>
      </c>
      <c r="D77" s="212">
        <v>470</v>
      </c>
      <c r="E77" s="245" t="s">
        <v>274</v>
      </c>
      <c r="F77" s="422">
        <f>Fp2_u/1000</f>
        <v>1023.9339007822089</v>
      </c>
      <c r="G77" s="240" t="s">
        <v>452</v>
      </c>
      <c r="H77" s="194"/>
      <c r="I77" s="127"/>
      <c r="J77" s="127"/>
      <c r="K77" s="127"/>
      <c r="L77" s="127"/>
      <c r="M77" s="127"/>
      <c r="N77" s="127"/>
      <c r="O77" s="127"/>
      <c r="P77" s="127"/>
      <c r="Q77" s="159"/>
      <c r="R77" s="365"/>
      <c r="S77" s="285"/>
      <c r="T77" s="285"/>
      <c r="U77" s="286"/>
      <c r="V77" s="286"/>
      <c r="W77" s="285"/>
      <c r="X77" s="285"/>
      <c r="Y77" s="285"/>
      <c r="Z77" s="286"/>
      <c r="AA77" s="286"/>
      <c r="AB77" s="285"/>
      <c r="AC77" s="285"/>
      <c r="AD77" s="285"/>
      <c r="AE77" s="286"/>
      <c r="AF77" s="286"/>
      <c r="AG77" s="85"/>
      <c r="AH77" s="85"/>
      <c r="AI77" s="85"/>
    </row>
    <row r="78" spans="1:35" ht="15" customHeight="1" thickBot="1" x14ac:dyDescent="0.4">
      <c r="A78" s="274" t="s">
        <v>453</v>
      </c>
      <c r="B78" s="266">
        <f>Cc3ea*1000000000000</f>
        <v>1724.1785521323609</v>
      </c>
      <c r="C78" s="258">
        <f>'Standard Value Calculator'!S31</f>
        <v>1800</v>
      </c>
      <c r="D78" s="259">
        <v>2200</v>
      </c>
      <c r="E78" s="260" t="s">
        <v>53</v>
      </c>
      <c r="F78" s="261"/>
      <c r="G78" s="262"/>
      <c r="H78" s="194"/>
      <c r="I78" s="127"/>
      <c r="J78" s="127"/>
      <c r="K78" s="127"/>
      <c r="L78" s="180"/>
      <c r="M78" s="513"/>
      <c r="N78" s="192"/>
      <c r="O78" s="127"/>
      <c r="P78" s="127"/>
      <c r="Q78" s="159"/>
      <c r="R78" s="365"/>
      <c r="S78" s="285"/>
      <c r="T78" s="285"/>
      <c r="U78" s="286"/>
      <c r="V78" s="286"/>
      <c r="W78" s="285"/>
      <c r="X78" s="285"/>
      <c r="Y78" s="285"/>
      <c r="Z78" s="286"/>
      <c r="AA78" s="286"/>
      <c r="AB78" s="285"/>
      <c r="AC78" s="285"/>
      <c r="AD78" s="285"/>
      <c r="AE78" s="286"/>
      <c r="AF78" s="286"/>
      <c r="AG78" s="85"/>
      <c r="AH78" s="85"/>
      <c r="AI78" s="85"/>
    </row>
    <row r="79" spans="1:35" ht="14.4" thickBot="1" x14ac:dyDescent="0.35">
      <c r="A79" s="183"/>
      <c r="B79" s="181"/>
      <c r="C79" s="181"/>
      <c r="D79" s="184"/>
      <c r="E79" s="184"/>
      <c r="F79" s="184"/>
      <c r="G79" s="184"/>
      <c r="H79" s="184"/>
      <c r="I79" s="127"/>
      <c r="J79" s="127"/>
      <c r="K79" s="127"/>
      <c r="L79" s="127"/>
      <c r="M79" s="127"/>
      <c r="N79" s="127"/>
      <c r="O79" s="127"/>
      <c r="P79" s="127"/>
      <c r="Q79" s="159"/>
      <c r="R79" s="365"/>
      <c r="S79" s="285"/>
      <c r="T79" s="285"/>
      <c r="U79" s="286"/>
      <c r="V79" s="286"/>
      <c r="W79" s="285"/>
      <c r="X79" s="285"/>
      <c r="Y79" s="285"/>
      <c r="Z79" s="286"/>
      <c r="AA79" s="286"/>
      <c r="AB79" s="285"/>
      <c r="AC79" s="285"/>
      <c r="AD79" s="285"/>
      <c r="AE79" s="286"/>
      <c r="AF79" s="286"/>
      <c r="AG79" s="85"/>
      <c r="AH79" s="85"/>
      <c r="AI79" s="85"/>
    </row>
    <row r="80" spans="1:35" s="130" customFormat="1" ht="18" thickBot="1" x14ac:dyDescent="0.35">
      <c r="A80" s="275" t="s">
        <v>454</v>
      </c>
      <c r="B80" s="198"/>
      <c r="C80" s="213"/>
      <c r="D80" s="213"/>
      <c r="E80" s="213"/>
      <c r="F80" s="213"/>
      <c r="G80" s="213"/>
      <c r="H80" s="213"/>
      <c r="I80" s="128"/>
      <c r="J80" s="128"/>
      <c r="K80" s="128"/>
      <c r="L80" s="128"/>
      <c r="M80" s="128"/>
      <c r="N80" s="128"/>
      <c r="O80" s="128"/>
      <c r="P80" s="128"/>
      <c r="Q80" s="129"/>
      <c r="R80" s="367"/>
      <c r="S80" s="287"/>
      <c r="T80" s="287"/>
      <c r="U80" s="288"/>
      <c r="V80" s="288"/>
      <c r="W80" s="287"/>
      <c r="X80" s="287"/>
      <c r="Y80" s="287"/>
      <c r="Z80" s="288"/>
      <c r="AA80" s="288"/>
      <c r="AB80" s="287"/>
      <c r="AC80" s="287"/>
      <c r="AD80" s="287"/>
      <c r="AE80" s="288"/>
      <c r="AF80" s="288"/>
      <c r="AG80" s="86"/>
      <c r="AH80" s="86"/>
      <c r="AI80" s="86"/>
    </row>
    <row r="81" spans="1:35" x14ac:dyDescent="0.3">
      <c r="A81" s="272"/>
      <c r="B81" s="194"/>
      <c r="C81" s="184"/>
      <c r="D81" s="184"/>
      <c r="E81" s="184"/>
      <c r="F81" s="184"/>
      <c r="G81" s="184"/>
      <c r="H81" s="184"/>
      <c r="I81" s="127"/>
      <c r="J81" s="127"/>
      <c r="K81" s="127"/>
      <c r="L81" s="127"/>
      <c r="M81" s="127"/>
      <c r="N81" s="127"/>
      <c r="O81" s="127"/>
      <c r="P81" s="127"/>
      <c r="Q81" s="159"/>
      <c r="R81" s="365"/>
      <c r="S81" s="285"/>
      <c r="T81" s="285"/>
      <c r="U81" s="286"/>
      <c r="V81" s="286"/>
      <c r="W81" s="285"/>
      <c r="X81" s="285"/>
      <c r="Y81" s="285"/>
      <c r="Z81" s="286"/>
      <c r="AA81" s="286"/>
      <c r="AB81" s="285"/>
      <c r="AC81" s="285"/>
      <c r="AD81" s="285"/>
      <c r="AE81" s="286"/>
      <c r="AF81" s="286"/>
      <c r="AG81" s="85"/>
      <c r="AH81" s="85"/>
      <c r="AI81" s="85"/>
    </row>
    <row r="82" spans="1:35" ht="17.399999999999999" x14ac:dyDescent="0.3">
      <c r="A82" s="214" t="s">
        <v>361</v>
      </c>
      <c r="B82" s="191"/>
      <c r="C82" s="184"/>
      <c r="D82" s="184"/>
      <c r="E82" s="184"/>
      <c r="F82" s="184"/>
      <c r="G82" s="184"/>
      <c r="H82" s="184"/>
      <c r="I82" s="127"/>
      <c r="J82" s="127"/>
      <c r="K82" s="127"/>
      <c r="L82" s="127"/>
      <c r="M82" s="127"/>
      <c r="N82" s="127"/>
      <c r="O82" s="127"/>
      <c r="P82" s="127"/>
      <c r="Q82" s="159"/>
      <c r="R82" s="365"/>
      <c r="S82" s="285"/>
      <c r="T82" s="285"/>
      <c r="U82" s="286"/>
      <c r="V82" s="286"/>
      <c r="W82" s="285"/>
      <c r="X82" s="285"/>
      <c r="Y82" s="285"/>
      <c r="Z82" s="286"/>
      <c r="AA82" s="286"/>
      <c r="AB82" s="285"/>
      <c r="AC82" s="285"/>
      <c r="AD82" s="285"/>
      <c r="AE82" s="286"/>
      <c r="AF82" s="286"/>
      <c r="AG82" s="85"/>
      <c r="AH82" s="85"/>
      <c r="AI82" s="85"/>
    </row>
    <row r="83" spans="1:35" ht="13.5" customHeight="1" thickBot="1" x14ac:dyDescent="0.35">
      <c r="A83" s="183"/>
      <c r="B83" s="184"/>
      <c r="C83" s="184"/>
      <c r="D83" s="184"/>
      <c r="E83" s="184"/>
      <c r="F83" s="184"/>
      <c r="G83" s="184"/>
      <c r="H83" s="184"/>
      <c r="I83" s="127"/>
      <c r="J83" s="127"/>
      <c r="K83" s="127"/>
      <c r="L83" s="127"/>
      <c r="M83" s="127"/>
      <c r="N83" s="127"/>
      <c r="O83" s="127"/>
      <c r="P83" s="127"/>
      <c r="Q83" s="159"/>
      <c r="R83" s="365"/>
      <c r="S83" s="285"/>
      <c r="T83" s="178"/>
      <c r="U83" s="178"/>
      <c r="V83" s="286"/>
      <c r="W83" s="285"/>
      <c r="X83" s="285"/>
      <c r="Y83" s="285"/>
      <c r="Z83" s="286"/>
      <c r="AA83" s="286"/>
      <c r="AB83" s="285"/>
      <c r="AC83" s="285"/>
      <c r="AD83" s="285"/>
      <c r="AE83" s="286"/>
      <c r="AF83" s="286"/>
      <c r="AG83" s="85"/>
      <c r="AH83" s="85"/>
      <c r="AI83" s="85"/>
    </row>
    <row r="84" spans="1:35" ht="18" customHeight="1" x14ac:dyDescent="0.35">
      <c r="A84" s="250"/>
      <c r="B84" s="251"/>
      <c r="C84" s="252"/>
      <c r="D84" s="299" t="s">
        <v>529</v>
      </c>
      <c r="E84" s="352" t="s">
        <v>763</v>
      </c>
      <c r="F84" s="253"/>
      <c r="G84" s="184"/>
      <c r="H84" s="184"/>
      <c r="I84" s="127"/>
      <c r="J84" s="127"/>
      <c r="K84" s="127"/>
      <c r="L84" s="127"/>
      <c r="M84" s="127"/>
      <c r="N84" s="127"/>
      <c r="O84" s="127"/>
      <c r="P84" s="127"/>
      <c r="Q84" s="159"/>
      <c r="R84" s="365"/>
      <c r="S84" s="285"/>
      <c r="T84" s="178"/>
      <c r="U84" s="178"/>
      <c r="V84" s="286"/>
      <c r="W84" s="285"/>
      <c r="X84" s="285"/>
      <c r="Y84" s="285"/>
      <c r="Z84" s="286"/>
      <c r="AA84" s="286"/>
      <c r="AB84" s="285"/>
      <c r="AC84" s="285"/>
      <c r="AD84" s="285"/>
      <c r="AE84" s="286"/>
      <c r="AF84" s="286"/>
      <c r="AG84" s="85"/>
      <c r="AH84" s="85"/>
      <c r="AI84" s="85"/>
    </row>
    <row r="85" spans="1:35" ht="14.4" customHeight="1" x14ac:dyDescent="0.35">
      <c r="A85" s="183"/>
      <c r="B85" s="184"/>
      <c r="C85" s="192"/>
      <c r="D85" s="180" t="s">
        <v>545</v>
      </c>
      <c r="E85" s="185">
        <v>6</v>
      </c>
      <c r="F85" s="234" t="s">
        <v>115</v>
      </c>
      <c r="G85" s="184"/>
      <c r="H85" s="184"/>
      <c r="I85" s="127"/>
      <c r="J85" s="127"/>
      <c r="K85" s="127"/>
      <c r="L85" s="127"/>
      <c r="M85" s="127"/>
      <c r="N85" s="127"/>
      <c r="O85" s="127"/>
      <c r="P85" s="127"/>
      <c r="Q85" s="159"/>
      <c r="R85" s="365"/>
      <c r="S85" s="285"/>
      <c r="T85" s="178"/>
      <c r="U85" s="178"/>
      <c r="V85" s="286"/>
      <c r="W85" s="285"/>
      <c r="X85" s="285"/>
      <c r="Y85" s="285"/>
      <c r="Z85" s="286"/>
      <c r="AA85" s="286"/>
      <c r="AB85" s="285"/>
      <c r="AC85" s="285"/>
      <c r="AD85" s="285"/>
      <c r="AE85" s="286"/>
      <c r="AF85" s="286"/>
      <c r="AG85" s="85"/>
      <c r="AH85" s="85"/>
      <c r="AI85" s="85"/>
    </row>
    <row r="86" spans="1:35" ht="14.4" customHeight="1" x14ac:dyDescent="0.35">
      <c r="A86" s="183"/>
      <c r="B86" s="184"/>
      <c r="C86" s="192"/>
      <c r="D86" s="180" t="s">
        <v>546</v>
      </c>
      <c r="E86" s="185">
        <v>27</v>
      </c>
      <c r="F86" s="234" t="s">
        <v>136</v>
      </c>
      <c r="G86" s="184"/>
      <c r="H86" s="184"/>
      <c r="I86" s="127"/>
      <c r="J86" s="127"/>
      <c r="K86" s="127"/>
      <c r="L86" s="127"/>
      <c r="M86" s="127"/>
      <c r="N86" s="127"/>
      <c r="O86" s="127"/>
      <c r="P86" s="127"/>
      <c r="Q86" s="159"/>
      <c r="R86" s="365"/>
      <c r="S86" s="285"/>
      <c r="T86" s="178"/>
      <c r="U86" s="178"/>
      <c r="V86" s="286"/>
      <c r="W86" s="285"/>
      <c r="X86" s="285"/>
      <c r="Y86" s="285"/>
      <c r="Z86" s="286"/>
      <c r="AA86" s="286"/>
      <c r="AB86" s="285"/>
      <c r="AC86" s="285"/>
      <c r="AD86" s="285"/>
      <c r="AE86" s="286"/>
      <c r="AF86" s="286"/>
      <c r="AG86" s="85"/>
      <c r="AH86" s="85"/>
      <c r="AI86" s="85"/>
    </row>
    <row r="87" spans="1:35" ht="14.4" customHeight="1" x14ac:dyDescent="0.35">
      <c r="A87" s="183"/>
      <c r="B87" s="184"/>
      <c r="C87" s="192"/>
      <c r="D87" s="180" t="s">
        <v>547</v>
      </c>
      <c r="E87" s="185">
        <v>9</v>
      </c>
      <c r="F87" s="234" t="s">
        <v>136</v>
      </c>
      <c r="G87" s="184"/>
      <c r="H87" s="184"/>
      <c r="I87" s="127"/>
      <c r="J87" s="127"/>
      <c r="K87" s="127"/>
      <c r="L87" s="127"/>
      <c r="M87" s="127"/>
      <c r="N87" s="127"/>
      <c r="O87" s="127"/>
      <c r="P87" s="127"/>
      <c r="Q87" s="159"/>
      <c r="R87" s="365"/>
      <c r="S87" s="285"/>
      <c r="T87" s="178"/>
      <c r="U87" s="178"/>
      <c r="V87" s="286"/>
      <c r="W87" s="285"/>
      <c r="X87" s="285"/>
      <c r="Y87" s="285"/>
      <c r="Z87" s="286"/>
      <c r="AA87" s="286"/>
      <c r="AB87" s="285"/>
      <c r="AC87" s="285"/>
      <c r="AD87" s="285"/>
      <c r="AE87" s="286"/>
      <c r="AF87" s="286"/>
      <c r="AG87" s="85"/>
      <c r="AH87" s="85"/>
      <c r="AI87" s="85"/>
    </row>
    <row r="88" spans="1:35" ht="14.4" customHeight="1" x14ac:dyDescent="0.35">
      <c r="A88" s="183"/>
      <c r="B88" s="184"/>
      <c r="C88" s="192"/>
      <c r="D88" s="180" t="s">
        <v>548</v>
      </c>
      <c r="E88" s="185">
        <v>8</v>
      </c>
      <c r="F88" s="234" t="s">
        <v>136</v>
      </c>
      <c r="G88" s="184"/>
      <c r="H88" s="184"/>
      <c r="I88" s="127"/>
      <c r="J88" s="127"/>
      <c r="K88" s="127"/>
      <c r="L88" s="127"/>
      <c r="M88" s="127"/>
      <c r="N88" s="127"/>
      <c r="O88" s="127"/>
      <c r="P88" s="127"/>
      <c r="Q88" s="159"/>
      <c r="R88" s="365"/>
      <c r="S88" s="285"/>
      <c r="T88" s="178"/>
      <c r="U88" s="178"/>
      <c r="V88" s="286"/>
      <c r="W88" s="285"/>
      <c r="X88" s="285"/>
      <c r="Y88" s="285"/>
      <c r="Z88" s="286"/>
      <c r="AA88" s="286"/>
      <c r="AB88" s="285"/>
      <c r="AC88" s="285"/>
      <c r="AD88" s="285"/>
      <c r="AE88" s="286"/>
      <c r="AF88" s="286"/>
      <c r="AG88" s="85"/>
      <c r="AH88" s="85"/>
      <c r="AI88" s="85"/>
    </row>
    <row r="89" spans="1:35" ht="14.4" customHeight="1" x14ac:dyDescent="0.35">
      <c r="A89" s="183"/>
      <c r="B89" s="184"/>
      <c r="C89" s="192"/>
      <c r="D89" s="180" t="s">
        <v>717</v>
      </c>
      <c r="E89" s="185">
        <v>338</v>
      </c>
      <c r="F89" s="234" t="s">
        <v>53</v>
      </c>
      <c r="G89" s="184"/>
      <c r="H89" s="184"/>
      <c r="I89" s="127"/>
      <c r="J89" s="127"/>
      <c r="K89" s="127"/>
      <c r="L89" s="127"/>
      <c r="M89" s="127"/>
      <c r="N89" s="127"/>
      <c r="O89" s="127"/>
      <c r="P89" s="127"/>
      <c r="Q89" s="159"/>
      <c r="R89" s="365"/>
      <c r="S89" s="285"/>
      <c r="T89" s="178"/>
      <c r="U89" s="178"/>
      <c r="V89" s="286"/>
      <c r="W89" s="285"/>
      <c r="X89" s="285"/>
      <c r="Y89" s="285"/>
      <c r="Z89" s="286"/>
      <c r="AA89" s="286"/>
      <c r="AB89" s="285"/>
      <c r="AC89" s="285"/>
      <c r="AD89" s="285"/>
      <c r="AE89" s="286"/>
      <c r="AF89" s="286"/>
      <c r="AG89" s="85"/>
      <c r="AH89" s="85"/>
      <c r="AI89" s="85"/>
    </row>
    <row r="90" spans="1:35" ht="14.4" customHeight="1" x14ac:dyDescent="0.35">
      <c r="A90" s="183"/>
      <c r="B90" s="184"/>
      <c r="C90" s="192"/>
      <c r="D90" s="180" t="s">
        <v>549</v>
      </c>
      <c r="E90" s="185">
        <v>2</v>
      </c>
      <c r="F90" s="234" t="s">
        <v>274</v>
      </c>
      <c r="G90" s="184"/>
      <c r="H90" s="184"/>
      <c r="I90" s="127"/>
      <c r="J90" s="127"/>
      <c r="K90" s="127"/>
      <c r="L90" s="127"/>
      <c r="M90" s="127"/>
      <c r="N90" s="127"/>
      <c r="O90" s="127"/>
      <c r="P90" s="127"/>
      <c r="Q90" s="159"/>
      <c r="R90" s="365"/>
      <c r="S90" s="285"/>
      <c r="T90" s="178"/>
      <c r="U90" s="178"/>
      <c r="V90" s="286"/>
      <c r="W90" s="285"/>
      <c r="X90" s="285"/>
      <c r="Y90" s="285"/>
      <c r="Z90" s="286"/>
      <c r="AA90" s="286"/>
      <c r="AB90" s="285"/>
      <c r="AC90" s="285"/>
      <c r="AD90" s="285"/>
      <c r="AE90" s="286"/>
      <c r="AF90" s="286"/>
      <c r="AG90" s="85"/>
      <c r="AH90" s="85"/>
      <c r="AI90" s="85"/>
    </row>
    <row r="91" spans="1:35" ht="14.4" customHeight="1" x14ac:dyDescent="0.35">
      <c r="A91" s="183"/>
      <c r="B91" s="184"/>
      <c r="C91" s="192"/>
      <c r="D91" s="180" t="s">
        <v>550</v>
      </c>
      <c r="E91" s="185">
        <v>100</v>
      </c>
      <c r="F91" s="234" t="s">
        <v>137</v>
      </c>
      <c r="G91" s="184"/>
      <c r="H91" s="184"/>
      <c r="I91" s="127"/>
      <c r="J91" s="127"/>
      <c r="K91" s="127"/>
      <c r="L91" s="127"/>
      <c r="M91" s="127"/>
      <c r="N91" s="127"/>
      <c r="O91" s="127"/>
      <c r="P91" s="127"/>
      <c r="Q91" s="159"/>
      <c r="R91" s="365"/>
      <c r="S91" s="285"/>
      <c r="T91" s="178"/>
      <c r="U91" s="178"/>
      <c r="V91" s="286"/>
      <c r="W91" s="285"/>
      <c r="X91" s="285"/>
      <c r="Y91" s="285"/>
      <c r="Z91" s="286"/>
      <c r="AA91" s="286"/>
      <c r="AB91" s="285"/>
      <c r="AC91" s="285"/>
      <c r="AD91" s="285"/>
      <c r="AE91" s="286"/>
      <c r="AF91" s="286"/>
      <c r="AG91" s="85"/>
      <c r="AH91" s="85"/>
      <c r="AI91" s="85"/>
    </row>
    <row r="92" spans="1:35" ht="14.4" customHeight="1" x14ac:dyDescent="0.35">
      <c r="A92" s="183"/>
      <c r="B92" s="184"/>
      <c r="C92" s="192"/>
      <c r="D92" s="180" t="s">
        <v>761</v>
      </c>
      <c r="E92" s="185">
        <v>3.8</v>
      </c>
      <c r="F92" s="234" t="s">
        <v>0</v>
      </c>
      <c r="G92" s="184"/>
      <c r="H92" s="184"/>
      <c r="I92" s="127"/>
      <c r="J92" s="127"/>
      <c r="K92" s="127"/>
      <c r="L92" s="127"/>
      <c r="M92" s="127"/>
      <c r="N92" s="127"/>
      <c r="O92" s="127"/>
      <c r="P92" s="127"/>
      <c r="Q92" s="159"/>
      <c r="R92" s="365"/>
      <c r="S92" s="285"/>
      <c r="T92" s="178"/>
      <c r="U92" s="178"/>
      <c r="V92" s="286"/>
      <c r="W92" s="285"/>
      <c r="X92" s="285"/>
      <c r="Y92" s="285"/>
      <c r="Z92" s="286"/>
      <c r="AA92" s="286"/>
      <c r="AB92" s="285"/>
      <c r="AC92" s="285"/>
      <c r="AD92" s="285"/>
      <c r="AE92" s="286"/>
      <c r="AF92" s="286"/>
      <c r="AG92" s="85"/>
      <c r="AH92" s="85"/>
      <c r="AI92" s="85"/>
    </row>
    <row r="93" spans="1:35" ht="14.4" customHeight="1" x14ac:dyDescent="0.35">
      <c r="A93" s="183"/>
      <c r="B93" s="184"/>
      <c r="C93" s="192"/>
      <c r="D93" s="180" t="s">
        <v>554</v>
      </c>
      <c r="E93" s="185">
        <v>0.8</v>
      </c>
      <c r="F93" s="234" t="s">
        <v>0</v>
      </c>
      <c r="G93" s="184"/>
      <c r="H93" s="184"/>
      <c r="I93" s="127"/>
      <c r="J93" s="127"/>
      <c r="K93" s="127"/>
      <c r="L93" s="127"/>
      <c r="M93" s="127"/>
      <c r="N93" s="127"/>
      <c r="O93" s="127"/>
      <c r="P93" s="127"/>
      <c r="Q93" s="159"/>
      <c r="R93" s="365"/>
      <c r="S93" s="285"/>
      <c r="T93" s="178"/>
      <c r="U93" s="178"/>
      <c r="V93" s="286"/>
      <c r="W93" s="285"/>
      <c r="X93" s="285"/>
      <c r="Y93" s="285"/>
      <c r="Z93" s="286"/>
      <c r="AA93" s="286"/>
      <c r="AB93" s="285"/>
      <c r="AC93" s="285"/>
      <c r="AD93" s="285"/>
      <c r="AE93" s="286"/>
      <c r="AF93" s="286"/>
      <c r="AG93" s="85"/>
      <c r="AH93" s="85"/>
      <c r="AI93" s="85"/>
    </row>
    <row r="94" spans="1:35" ht="14.4" customHeight="1" thickBot="1" x14ac:dyDescent="0.4">
      <c r="A94" s="289"/>
      <c r="B94" s="255"/>
      <c r="C94" s="290"/>
      <c r="D94" s="256" t="s">
        <v>551</v>
      </c>
      <c r="E94" s="349">
        <v>50</v>
      </c>
      <c r="F94" s="257" t="s">
        <v>380</v>
      </c>
      <c r="G94" s="184"/>
      <c r="H94" s="184"/>
      <c r="I94" s="127"/>
      <c r="J94" s="127"/>
      <c r="K94" s="127"/>
      <c r="L94" s="127"/>
      <c r="M94" s="127"/>
      <c r="N94" s="127"/>
      <c r="O94" s="127"/>
      <c r="P94" s="127"/>
      <c r="Q94" s="159"/>
      <c r="R94" s="365"/>
      <c r="S94" s="285"/>
      <c r="T94" s="178"/>
      <c r="U94" s="178"/>
      <c r="V94" s="286"/>
      <c r="W94" s="285"/>
      <c r="X94" s="285"/>
      <c r="Y94" s="285"/>
      <c r="Z94" s="286"/>
      <c r="AA94" s="286"/>
      <c r="AB94" s="285"/>
      <c r="AC94" s="285"/>
      <c r="AD94" s="285"/>
      <c r="AE94" s="286"/>
      <c r="AF94" s="286"/>
      <c r="AG94" s="85"/>
      <c r="AH94" s="85"/>
      <c r="AI94" s="85"/>
    </row>
    <row r="95" spans="1:35" ht="18" customHeight="1" thickBot="1" x14ac:dyDescent="0.35">
      <c r="A95" s="183"/>
      <c r="B95" s="184"/>
      <c r="C95" s="192"/>
      <c r="D95" s="180"/>
      <c r="E95" s="194"/>
      <c r="F95" s="291"/>
      <c r="G95" s="184"/>
      <c r="H95" s="184"/>
      <c r="I95" s="127"/>
      <c r="J95" s="127"/>
      <c r="K95" s="127"/>
      <c r="L95" s="127"/>
      <c r="M95" s="127"/>
      <c r="N95" s="127"/>
      <c r="O95" s="127"/>
      <c r="P95" s="127"/>
      <c r="Q95" s="159"/>
      <c r="R95" s="365"/>
      <c r="S95" s="285"/>
      <c r="T95" s="178"/>
      <c r="U95" s="178"/>
      <c r="V95" s="286"/>
      <c r="W95" s="285"/>
      <c r="X95" s="285"/>
      <c r="Y95" s="285"/>
      <c r="Z95" s="286"/>
      <c r="AA95" s="286"/>
      <c r="AB95" s="285"/>
      <c r="AC95" s="285"/>
      <c r="AD95" s="285"/>
      <c r="AE95" s="286"/>
      <c r="AF95" s="286"/>
      <c r="AG95" s="85"/>
      <c r="AH95" s="85"/>
      <c r="AI95" s="85"/>
    </row>
    <row r="96" spans="1:35" ht="18" customHeight="1" x14ac:dyDescent="0.35">
      <c r="A96" s="250"/>
      <c r="B96" s="251"/>
      <c r="C96" s="254"/>
      <c r="D96" s="299" t="s">
        <v>530</v>
      </c>
      <c r="E96" s="352" t="s">
        <v>764</v>
      </c>
      <c r="F96" s="253"/>
      <c r="G96" s="184"/>
      <c r="H96" s="184"/>
      <c r="I96" s="127"/>
      <c r="J96" s="127"/>
      <c r="K96" s="127"/>
      <c r="L96" s="127"/>
      <c r="M96" s="127"/>
      <c r="N96" s="127"/>
      <c r="O96" s="127"/>
      <c r="P96" s="127"/>
      <c r="Q96" s="159"/>
      <c r="R96" s="365"/>
      <c r="S96" s="285"/>
      <c r="T96" s="178"/>
      <c r="U96" s="178"/>
      <c r="V96" s="286"/>
      <c r="W96" s="285"/>
      <c r="X96" s="285"/>
      <c r="Y96" s="285"/>
      <c r="Z96" s="286"/>
      <c r="AA96" s="286"/>
      <c r="AB96" s="285"/>
      <c r="AC96" s="285"/>
      <c r="AD96" s="285"/>
      <c r="AE96" s="286"/>
      <c r="AF96" s="286"/>
      <c r="AG96" s="85"/>
      <c r="AH96" s="85"/>
      <c r="AI96" s="85"/>
    </row>
    <row r="97" spans="1:35" ht="14.4" customHeight="1" x14ac:dyDescent="0.35">
      <c r="A97" s="183"/>
      <c r="B97" s="184"/>
      <c r="C97" s="184"/>
      <c r="D97" s="180" t="s">
        <v>545</v>
      </c>
      <c r="E97" s="185">
        <v>6</v>
      </c>
      <c r="F97" s="234" t="s">
        <v>115</v>
      </c>
      <c r="G97" s="184"/>
      <c r="H97" s="184"/>
      <c r="I97" s="127"/>
      <c r="J97" s="127"/>
      <c r="K97" s="127"/>
      <c r="L97" s="127"/>
      <c r="M97" s="127"/>
      <c r="N97" s="127"/>
      <c r="O97" s="127"/>
      <c r="P97" s="127"/>
      <c r="Q97" s="159"/>
      <c r="R97" s="365"/>
      <c r="S97" s="285"/>
      <c r="T97" s="178"/>
      <c r="U97" s="178"/>
      <c r="V97" s="286"/>
      <c r="W97" s="285"/>
      <c r="X97" s="285"/>
      <c r="Y97" s="285"/>
      <c r="Z97" s="286"/>
      <c r="AA97" s="286"/>
      <c r="AB97" s="285"/>
      <c r="AC97" s="285"/>
      <c r="AD97" s="285"/>
      <c r="AE97" s="286"/>
      <c r="AF97" s="286"/>
      <c r="AG97" s="85"/>
      <c r="AH97" s="85"/>
      <c r="AI97" s="85"/>
    </row>
    <row r="98" spans="1:35" ht="14.4" customHeight="1" x14ac:dyDescent="0.35">
      <c r="A98" s="183"/>
      <c r="B98" s="184"/>
      <c r="C98" s="184"/>
      <c r="D98" s="180" t="s">
        <v>546</v>
      </c>
      <c r="E98" s="185">
        <v>27</v>
      </c>
      <c r="F98" s="234" t="s">
        <v>136</v>
      </c>
      <c r="G98" s="184"/>
      <c r="H98" s="184"/>
      <c r="I98" s="127"/>
      <c r="J98" s="127"/>
      <c r="K98" s="127"/>
      <c r="L98" s="127"/>
      <c r="M98" s="127"/>
      <c r="N98" s="127"/>
      <c r="O98" s="127"/>
      <c r="P98" s="127"/>
      <c r="Q98" s="159"/>
      <c r="R98" s="365"/>
      <c r="S98" s="85"/>
      <c r="T98" s="6"/>
      <c r="U98" s="6"/>
      <c r="W98" s="85"/>
      <c r="X98" s="85"/>
      <c r="Y98" s="85"/>
      <c r="AB98" s="85"/>
      <c r="AC98" s="85"/>
      <c r="AD98" s="85"/>
      <c r="AG98" s="85"/>
      <c r="AH98" s="85"/>
      <c r="AI98" s="85"/>
    </row>
    <row r="99" spans="1:35" ht="14.4" customHeight="1" x14ac:dyDescent="0.35">
      <c r="A99" s="183"/>
      <c r="B99" s="184"/>
      <c r="C99" s="184"/>
      <c r="D99" s="180" t="s">
        <v>710</v>
      </c>
      <c r="E99" s="185">
        <v>20</v>
      </c>
      <c r="F99" s="234" t="s">
        <v>136</v>
      </c>
      <c r="G99" s="184"/>
      <c r="H99" s="184"/>
      <c r="I99" s="127"/>
      <c r="J99" s="127"/>
      <c r="K99" s="127"/>
      <c r="L99" s="127"/>
      <c r="M99" s="127"/>
      <c r="N99" s="127"/>
      <c r="O99" s="127"/>
      <c r="P99" s="127"/>
      <c r="Q99" s="159"/>
      <c r="R99" s="365"/>
      <c r="S99" s="85"/>
      <c r="T99" s="85"/>
      <c r="W99" s="85"/>
      <c r="X99" s="85"/>
      <c r="Y99" s="85"/>
      <c r="AB99" s="85"/>
      <c r="AC99" s="85"/>
      <c r="AD99" s="85"/>
      <c r="AG99" s="85"/>
      <c r="AH99" s="85"/>
      <c r="AI99" s="85"/>
    </row>
    <row r="100" spans="1:35" ht="14.4" customHeight="1" x14ac:dyDescent="0.35">
      <c r="A100" s="183"/>
      <c r="B100" s="184"/>
      <c r="C100" s="184"/>
      <c r="D100" s="180" t="s">
        <v>717</v>
      </c>
      <c r="E100" s="185">
        <v>338</v>
      </c>
      <c r="F100" s="234" t="s">
        <v>53</v>
      </c>
      <c r="G100" s="184"/>
      <c r="H100" s="184"/>
      <c r="I100" s="127"/>
      <c r="J100" s="127"/>
      <c r="K100" s="127"/>
      <c r="L100" s="127"/>
      <c r="M100" s="127"/>
      <c r="N100" s="127"/>
      <c r="O100" s="127"/>
      <c r="P100" s="127"/>
      <c r="Q100" s="159"/>
      <c r="R100" s="365"/>
      <c r="S100" s="85"/>
      <c r="T100" s="85"/>
      <c r="W100" s="85"/>
      <c r="X100" s="85"/>
      <c r="Y100" s="85"/>
      <c r="AB100" s="85"/>
      <c r="AC100" s="85"/>
      <c r="AD100" s="85"/>
      <c r="AG100" s="85"/>
      <c r="AH100" s="85"/>
      <c r="AI100" s="85"/>
    </row>
    <row r="101" spans="1:35" ht="14.25" customHeight="1" x14ac:dyDescent="0.35">
      <c r="A101" s="183"/>
      <c r="B101" s="184"/>
      <c r="C101" s="184"/>
      <c r="D101" s="180" t="s">
        <v>553</v>
      </c>
      <c r="E101" s="185">
        <v>0.8</v>
      </c>
      <c r="F101" s="234" t="s">
        <v>0</v>
      </c>
      <c r="G101" s="184"/>
      <c r="H101" s="184"/>
      <c r="I101" s="127"/>
      <c r="J101" s="127"/>
      <c r="K101" s="127"/>
      <c r="L101" s="127"/>
      <c r="M101" s="127"/>
      <c r="N101" s="127"/>
      <c r="O101" s="127"/>
      <c r="P101" s="127"/>
      <c r="Q101" s="159"/>
      <c r="R101" s="365"/>
      <c r="S101" s="85"/>
      <c r="T101" s="85"/>
      <c r="W101" s="85"/>
      <c r="X101" s="85"/>
      <c r="Y101" s="85"/>
      <c r="AB101" s="85"/>
      <c r="AC101" s="85"/>
      <c r="AD101" s="85"/>
      <c r="AG101" s="85"/>
      <c r="AH101" s="85"/>
      <c r="AI101" s="85"/>
    </row>
    <row r="102" spans="1:35" ht="14.4" customHeight="1" x14ac:dyDescent="0.35">
      <c r="A102" s="183"/>
      <c r="B102" s="184"/>
      <c r="C102" s="184"/>
      <c r="D102" s="180" t="s">
        <v>552</v>
      </c>
      <c r="E102" s="185">
        <v>50</v>
      </c>
      <c r="F102" s="234" t="s">
        <v>136</v>
      </c>
      <c r="G102" s="184"/>
      <c r="H102" s="184"/>
      <c r="I102" s="131"/>
      <c r="J102" s="132"/>
      <c r="K102" s="127"/>
      <c r="L102" s="127"/>
      <c r="M102" s="127"/>
      <c r="N102" s="127"/>
      <c r="O102" s="127"/>
      <c r="P102" s="127"/>
      <c r="Q102" s="159"/>
      <c r="R102" s="365"/>
      <c r="S102" s="85"/>
      <c r="T102" s="85"/>
      <c r="W102" s="85"/>
      <c r="X102" s="85"/>
      <c r="Y102" s="85"/>
      <c r="AB102" s="85"/>
      <c r="AC102" s="85"/>
      <c r="AD102" s="85"/>
      <c r="AG102" s="85"/>
      <c r="AH102" s="85"/>
      <c r="AI102" s="85"/>
    </row>
    <row r="103" spans="1:35" ht="14.4" customHeight="1" thickBot="1" x14ac:dyDescent="0.4">
      <c r="A103" s="289"/>
      <c r="B103" s="255"/>
      <c r="C103" s="255"/>
      <c r="D103" s="256" t="s">
        <v>551</v>
      </c>
      <c r="E103" s="349">
        <v>40</v>
      </c>
      <c r="F103" s="257" t="s">
        <v>380</v>
      </c>
      <c r="G103" s="184"/>
      <c r="H103" s="184"/>
      <c r="I103" s="127"/>
      <c r="J103" s="127"/>
      <c r="K103" s="127"/>
      <c r="L103" s="127"/>
      <c r="M103" s="127"/>
      <c r="N103" s="127"/>
      <c r="O103" s="127"/>
      <c r="P103" s="127"/>
      <c r="Q103" s="159"/>
      <c r="R103" s="365"/>
      <c r="S103" s="85"/>
      <c r="T103" s="85"/>
      <c r="W103" s="85"/>
      <c r="X103" s="85"/>
      <c r="Y103" s="85"/>
      <c r="AB103" s="85"/>
      <c r="AC103" s="85"/>
      <c r="AD103" s="85"/>
      <c r="AG103" s="85"/>
      <c r="AH103" s="85"/>
      <c r="AI103" s="85"/>
    </row>
    <row r="104" spans="1:35" ht="14.4" customHeight="1" x14ac:dyDescent="0.3">
      <c r="A104" s="195"/>
      <c r="B104" s="192"/>
      <c r="C104" s="184"/>
      <c r="D104" s="292"/>
      <c r="E104" s="210"/>
      <c r="F104" s="252"/>
      <c r="G104" s="184"/>
      <c r="H104" s="184"/>
      <c r="I104" s="127"/>
      <c r="J104" s="127"/>
      <c r="K104" s="127"/>
      <c r="L104" s="127"/>
      <c r="M104" s="127"/>
      <c r="N104" s="127"/>
      <c r="O104" s="127"/>
      <c r="P104" s="127"/>
      <c r="Q104" s="159"/>
      <c r="R104" s="365"/>
      <c r="S104" s="85"/>
      <c r="T104" s="85"/>
      <c r="W104" s="85"/>
      <c r="X104" s="85"/>
      <c r="Y104" s="85"/>
      <c r="AB104" s="85"/>
      <c r="AC104" s="85"/>
      <c r="AD104" s="85"/>
      <c r="AG104" s="85"/>
      <c r="AH104" s="85"/>
      <c r="AI104" s="85"/>
    </row>
    <row r="105" spans="1:35" ht="14.4" customHeight="1" x14ac:dyDescent="0.3">
      <c r="A105" s="183"/>
      <c r="B105" s="184"/>
      <c r="C105" s="184"/>
      <c r="D105" s="180"/>
      <c r="E105" s="502"/>
      <c r="F105" s="184"/>
      <c r="G105" s="184"/>
      <c r="H105" s="184"/>
      <c r="I105" s="127"/>
      <c r="J105" s="127"/>
      <c r="K105" s="127"/>
      <c r="L105" s="127"/>
      <c r="M105" s="127"/>
      <c r="N105" s="127"/>
      <c r="O105" s="127"/>
      <c r="P105" s="127"/>
      <c r="Q105" s="159"/>
      <c r="R105" s="365"/>
      <c r="S105" s="85"/>
      <c r="T105" s="85"/>
      <c r="W105" s="85"/>
      <c r="X105" s="85"/>
      <c r="Y105" s="85"/>
      <c r="AB105" s="85"/>
      <c r="AC105" s="85"/>
      <c r="AD105" s="85"/>
      <c r="AG105" s="85"/>
      <c r="AH105" s="85"/>
      <c r="AI105" s="85"/>
    </row>
    <row r="106" spans="1:35" ht="18" customHeight="1" thickBot="1" x14ac:dyDescent="0.35">
      <c r="A106" s="503" t="s">
        <v>757</v>
      </c>
      <c r="B106" s="194"/>
      <c r="C106" s="504"/>
      <c r="D106" s="505"/>
      <c r="E106" s="170"/>
      <c r="F106" s="170"/>
      <c r="G106" s="184"/>
      <c r="H106" s="184"/>
      <c r="I106" s="127"/>
      <c r="J106" s="127"/>
      <c r="K106" s="127"/>
      <c r="L106" s="127"/>
      <c r="M106" s="127"/>
      <c r="N106" s="127"/>
      <c r="O106" s="127"/>
      <c r="P106" s="127"/>
      <c r="Q106" s="159"/>
      <c r="R106" s="365"/>
      <c r="S106" s="85"/>
      <c r="T106" s="85"/>
      <c r="W106" s="85"/>
      <c r="X106" s="85"/>
      <c r="Y106" s="85"/>
      <c r="AB106" s="85"/>
      <c r="AC106" s="85"/>
      <c r="AD106" s="85"/>
      <c r="AG106" s="85"/>
      <c r="AH106" s="85"/>
      <c r="AI106" s="85"/>
    </row>
    <row r="107" spans="1:35" ht="14.4" customHeight="1" x14ac:dyDescent="0.3">
      <c r="A107" s="271"/>
      <c r="B107" s="252"/>
      <c r="C107" s="506"/>
      <c r="D107" s="506" t="s">
        <v>758</v>
      </c>
      <c r="E107" s="507">
        <f>'Power Calculations'!AN9</f>
        <v>0.16949999999999998</v>
      </c>
      <c r="F107" s="253" t="s">
        <v>208</v>
      </c>
      <c r="G107" s="184"/>
      <c r="H107" s="184"/>
      <c r="I107" s="127"/>
      <c r="J107" s="127"/>
      <c r="K107" s="127"/>
      <c r="L107" s="127"/>
      <c r="M107" s="127"/>
      <c r="N107" s="127"/>
      <c r="O107" s="127"/>
      <c r="P107" s="127"/>
      <c r="Q107" s="159"/>
      <c r="R107" s="365"/>
      <c r="S107" s="85"/>
      <c r="T107" s="85"/>
      <c r="W107" s="85"/>
      <c r="X107" s="85"/>
      <c r="Y107" s="85"/>
      <c r="AB107" s="85"/>
      <c r="AC107" s="85"/>
      <c r="AD107" s="85"/>
      <c r="AG107" s="85"/>
      <c r="AH107" s="85"/>
      <c r="AI107" s="85"/>
    </row>
    <row r="108" spans="1:35" ht="19.5" customHeight="1" thickBot="1" x14ac:dyDescent="0.35">
      <c r="A108" s="289"/>
      <c r="B108" s="255"/>
      <c r="C108" s="255"/>
      <c r="D108" s="508" t="s">
        <v>759</v>
      </c>
      <c r="E108" s="509">
        <f>'Power Calculations'!AN9*50</f>
        <v>8.4749999999999996</v>
      </c>
      <c r="F108" s="510" t="s">
        <v>441</v>
      </c>
      <c r="G108" s="170"/>
      <c r="H108" s="184"/>
      <c r="I108" s="127"/>
      <c r="J108" s="127"/>
      <c r="K108" s="127"/>
      <c r="L108" s="127"/>
      <c r="M108" s="127"/>
      <c r="N108" s="127"/>
      <c r="O108" s="127"/>
      <c r="P108" s="127"/>
      <c r="Q108" s="159"/>
      <c r="R108" s="365"/>
      <c r="S108" s="85"/>
      <c r="T108" s="85"/>
      <c r="W108" s="85"/>
      <c r="X108" s="85"/>
      <c r="Y108" s="85"/>
      <c r="AB108" s="85"/>
      <c r="AC108" s="85"/>
      <c r="AD108" s="85"/>
      <c r="AG108" s="85"/>
      <c r="AH108" s="85"/>
      <c r="AI108" s="85"/>
    </row>
    <row r="109" spans="1:35" ht="15.75" customHeight="1" x14ac:dyDescent="0.3">
      <c r="A109" s="277"/>
      <c r="B109" s="170"/>
      <c r="C109" s="170"/>
      <c r="D109" s="170"/>
      <c r="E109" s="170"/>
      <c r="F109" s="170"/>
      <c r="G109" s="170"/>
      <c r="H109" s="184"/>
      <c r="I109" s="127"/>
      <c r="J109" s="127"/>
      <c r="K109" s="127"/>
      <c r="L109" s="127"/>
      <c r="M109" s="127"/>
      <c r="N109" s="127"/>
      <c r="O109" s="127"/>
      <c r="P109" s="127"/>
      <c r="Q109" s="159"/>
      <c r="R109" s="365"/>
      <c r="S109" s="85"/>
      <c r="T109" s="85"/>
      <c r="W109" s="85"/>
      <c r="X109" s="85"/>
      <c r="Y109" s="85"/>
      <c r="AB109" s="85"/>
      <c r="AC109" s="85"/>
      <c r="AD109" s="85"/>
      <c r="AG109" s="85"/>
      <c r="AH109" s="85"/>
      <c r="AI109" s="85"/>
    </row>
    <row r="110" spans="1:35" ht="14.4" customHeight="1" x14ac:dyDescent="0.3">
      <c r="A110" s="277"/>
      <c r="B110" s="170"/>
      <c r="C110" s="170"/>
      <c r="D110" s="170"/>
      <c r="E110" s="170"/>
      <c r="F110" s="170"/>
      <c r="G110" s="170"/>
      <c r="H110" s="184"/>
      <c r="I110" s="127"/>
      <c r="J110" s="127"/>
      <c r="K110" s="127"/>
      <c r="L110" s="127"/>
      <c r="M110" s="127"/>
      <c r="N110" s="127"/>
      <c r="O110" s="127"/>
      <c r="P110" s="127"/>
      <c r="Q110" s="159"/>
      <c r="R110" s="365"/>
      <c r="S110" s="85"/>
      <c r="T110" s="85"/>
      <c r="W110" s="85"/>
      <c r="X110" s="85"/>
      <c r="Y110" s="85"/>
      <c r="AB110" s="85"/>
      <c r="AC110" s="85"/>
      <c r="AD110" s="85"/>
      <c r="AG110" s="85"/>
      <c r="AH110" s="85"/>
      <c r="AI110" s="85"/>
    </row>
    <row r="111" spans="1:35" ht="16.2" customHeight="1" thickBot="1" x14ac:dyDescent="0.35">
      <c r="A111" s="183"/>
      <c r="B111" s="184"/>
      <c r="C111" s="184"/>
      <c r="D111" s="180"/>
      <c r="E111" s="283"/>
      <c r="F111" s="184"/>
      <c r="G111" s="184"/>
      <c r="H111" s="184"/>
      <c r="I111" s="127"/>
      <c r="J111" s="127"/>
      <c r="K111" s="127"/>
      <c r="L111" s="127"/>
      <c r="M111" s="127"/>
      <c r="N111" s="127"/>
      <c r="O111" s="127"/>
      <c r="P111" s="127"/>
      <c r="Q111" s="159"/>
      <c r="R111" s="365"/>
      <c r="S111" s="85"/>
      <c r="T111" s="85"/>
      <c r="W111" s="85"/>
      <c r="X111" s="85"/>
      <c r="Y111" s="85"/>
      <c r="AB111" s="85"/>
      <c r="AC111" s="85"/>
      <c r="AD111" s="85"/>
      <c r="AG111" s="85"/>
      <c r="AH111" s="85"/>
      <c r="AI111" s="85"/>
    </row>
    <row r="112" spans="1:35" ht="14.4" thickBot="1" x14ac:dyDescent="0.35">
      <c r="A112" s="360"/>
      <c r="B112" s="361"/>
      <c r="C112" s="362"/>
      <c r="D112" s="362"/>
      <c r="E112" s="362"/>
      <c r="F112" s="362"/>
      <c r="G112" s="362"/>
      <c r="H112" s="362"/>
      <c r="I112" s="362"/>
      <c r="J112" s="362"/>
      <c r="K112" s="362"/>
      <c r="L112" s="362"/>
      <c r="M112" s="362"/>
      <c r="N112" s="362"/>
      <c r="O112" s="362"/>
      <c r="P112" s="362"/>
      <c r="Q112" s="362"/>
      <c r="R112" s="363"/>
      <c r="S112" s="85"/>
      <c r="T112" s="85"/>
      <c r="W112" s="85"/>
      <c r="X112" s="85"/>
      <c r="Y112" s="85"/>
      <c r="AB112" s="85"/>
      <c r="AC112" s="85"/>
      <c r="AD112" s="85"/>
      <c r="AG112" s="85"/>
      <c r="AH112" s="85"/>
      <c r="AI112" s="85"/>
    </row>
    <row r="113" spans="18:35" x14ac:dyDescent="0.3">
      <c r="R113" s="85"/>
      <c r="S113" s="85"/>
      <c r="T113" s="85"/>
      <c r="W113" s="85"/>
      <c r="X113" s="85"/>
      <c r="Y113" s="85"/>
      <c r="AB113" s="85"/>
      <c r="AC113" s="85"/>
      <c r="AD113" s="85"/>
      <c r="AG113" s="85"/>
      <c r="AH113" s="85"/>
      <c r="AI113" s="85"/>
    </row>
    <row r="114" spans="18:35" x14ac:dyDescent="0.3">
      <c r="R114" s="85"/>
      <c r="S114" s="85"/>
      <c r="T114" s="85"/>
      <c r="W114" s="85"/>
      <c r="X114" s="85"/>
      <c r="Y114" s="85"/>
      <c r="AB114" s="85"/>
      <c r="AC114" s="85"/>
      <c r="AD114" s="85"/>
      <c r="AG114" s="85"/>
      <c r="AH114" s="85"/>
      <c r="AI114" s="85"/>
    </row>
    <row r="115" spans="18:35" x14ac:dyDescent="0.3">
      <c r="R115" s="85"/>
      <c r="S115" s="85"/>
      <c r="T115" s="85"/>
      <c r="W115" s="85"/>
      <c r="X115" s="85"/>
      <c r="Y115" s="85"/>
      <c r="AB115" s="85"/>
      <c r="AC115" s="85"/>
      <c r="AD115" s="85"/>
      <c r="AG115" s="85"/>
      <c r="AH115" s="85"/>
      <c r="AI115" s="85"/>
    </row>
    <row r="116" spans="18:35" x14ac:dyDescent="0.3">
      <c r="R116" s="85"/>
      <c r="S116" s="85"/>
      <c r="T116" s="85"/>
      <c r="W116" s="85"/>
      <c r="X116" s="85"/>
      <c r="Y116" s="85"/>
      <c r="AB116" s="85"/>
      <c r="AC116" s="85"/>
      <c r="AD116" s="85"/>
      <c r="AG116" s="85"/>
      <c r="AH116" s="85"/>
      <c r="AI116" s="85"/>
    </row>
    <row r="117" spans="18:35" x14ac:dyDescent="0.3">
      <c r="R117" s="85"/>
      <c r="S117" s="85"/>
      <c r="T117" s="85"/>
      <c r="W117" s="85"/>
      <c r="X117" s="85"/>
      <c r="Y117" s="85"/>
      <c r="AB117" s="85"/>
      <c r="AC117" s="85"/>
      <c r="AD117" s="85"/>
      <c r="AG117" s="85"/>
      <c r="AH117" s="85"/>
      <c r="AI117" s="85"/>
    </row>
    <row r="118" spans="18:35" x14ac:dyDescent="0.3">
      <c r="R118" s="85"/>
      <c r="S118" s="85"/>
      <c r="T118" s="85"/>
      <c r="W118" s="85"/>
      <c r="X118" s="85"/>
      <c r="Y118" s="85"/>
      <c r="AB118" s="85"/>
      <c r="AC118" s="85"/>
      <c r="AD118" s="85"/>
      <c r="AG118" s="85"/>
      <c r="AH118" s="85"/>
      <c r="AI118" s="85"/>
    </row>
    <row r="119" spans="18:35" x14ac:dyDescent="0.3">
      <c r="R119" s="85"/>
      <c r="S119" s="85"/>
      <c r="T119" s="85"/>
      <c r="W119" s="85"/>
      <c r="X119" s="85"/>
      <c r="Y119" s="85"/>
      <c r="AB119" s="85"/>
      <c r="AC119" s="85"/>
      <c r="AD119" s="85"/>
      <c r="AG119" s="85"/>
      <c r="AH119" s="85"/>
      <c r="AI119" s="85"/>
    </row>
    <row r="120" spans="18:35" x14ac:dyDescent="0.3">
      <c r="R120" s="85"/>
      <c r="S120" s="85"/>
      <c r="T120" s="85"/>
      <c r="W120" s="85"/>
      <c r="X120" s="85"/>
      <c r="Y120" s="85"/>
      <c r="AB120" s="85"/>
      <c r="AC120" s="85"/>
      <c r="AD120" s="85"/>
      <c r="AG120" s="85"/>
      <c r="AH120" s="85"/>
      <c r="AI120" s="85"/>
    </row>
    <row r="121" spans="18:35" x14ac:dyDescent="0.3">
      <c r="R121" s="85"/>
      <c r="S121" s="85"/>
      <c r="T121" s="85"/>
      <c r="W121" s="85"/>
      <c r="X121" s="85"/>
      <c r="Y121" s="85"/>
      <c r="AB121" s="85"/>
      <c r="AC121" s="85"/>
      <c r="AD121" s="85"/>
      <c r="AG121" s="85"/>
      <c r="AH121" s="85"/>
      <c r="AI121" s="85"/>
    </row>
    <row r="122" spans="18:35" x14ac:dyDescent="0.3">
      <c r="R122" s="85"/>
      <c r="S122" s="85"/>
      <c r="T122" s="85"/>
      <c r="W122" s="85"/>
      <c r="X122" s="85"/>
      <c r="Y122" s="85"/>
      <c r="AB122" s="85"/>
      <c r="AC122" s="85"/>
      <c r="AD122" s="85"/>
      <c r="AG122" s="85"/>
      <c r="AH122" s="85"/>
      <c r="AI122" s="85"/>
    </row>
    <row r="123" spans="18:35" x14ac:dyDescent="0.3">
      <c r="R123" s="85"/>
      <c r="S123" s="85"/>
      <c r="T123" s="85"/>
      <c r="W123" s="85"/>
      <c r="X123" s="85"/>
      <c r="Y123" s="85"/>
      <c r="AB123" s="85"/>
      <c r="AC123" s="85"/>
      <c r="AD123" s="85"/>
      <c r="AG123" s="85"/>
      <c r="AH123" s="85"/>
      <c r="AI123" s="85"/>
    </row>
    <row r="124" spans="18:35" x14ac:dyDescent="0.3">
      <c r="R124" s="85"/>
      <c r="S124" s="85"/>
      <c r="T124" s="85"/>
      <c r="W124" s="85"/>
      <c r="X124" s="85"/>
      <c r="Y124" s="85"/>
      <c r="AB124" s="85"/>
      <c r="AC124" s="85"/>
      <c r="AD124" s="85"/>
      <c r="AG124" s="85"/>
      <c r="AH124" s="85"/>
      <c r="AI124" s="85"/>
    </row>
    <row r="125" spans="18:35" x14ac:dyDescent="0.3">
      <c r="R125" s="85"/>
      <c r="S125" s="85"/>
      <c r="T125" s="85"/>
      <c r="W125" s="85"/>
      <c r="X125" s="85"/>
      <c r="Y125" s="85"/>
      <c r="AB125" s="85"/>
      <c r="AC125" s="85"/>
      <c r="AD125" s="85"/>
      <c r="AG125" s="85"/>
      <c r="AH125" s="85"/>
      <c r="AI125" s="85"/>
    </row>
    <row r="126" spans="18:35" x14ac:dyDescent="0.3">
      <c r="R126" s="85"/>
      <c r="S126" s="85"/>
      <c r="T126" s="85"/>
      <c r="W126" s="85"/>
      <c r="X126" s="85"/>
      <c r="Y126" s="85"/>
      <c r="AB126" s="85"/>
      <c r="AC126" s="85"/>
      <c r="AD126" s="85"/>
      <c r="AG126" s="85"/>
      <c r="AH126" s="85"/>
      <c r="AI126" s="85"/>
    </row>
    <row r="127" spans="18:35" x14ac:dyDescent="0.3">
      <c r="R127" s="85"/>
      <c r="S127" s="85"/>
      <c r="T127" s="85"/>
      <c r="W127" s="85"/>
      <c r="X127" s="85"/>
      <c r="Y127" s="85"/>
      <c r="AB127" s="85"/>
      <c r="AC127" s="85"/>
      <c r="AD127" s="85"/>
      <c r="AG127" s="85"/>
      <c r="AH127" s="85"/>
      <c r="AI127" s="85"/>
    </row>
    <row r="128" spans="18:35" x14ac:dyDescent="0.3">
      <c r="R128" s="85"/>
      <c r="S128" s="85"/>
      <c r="T128" s="85"/>
      <c r="W128" s="85"/>
      <c r="X128" s="85"/>
      <c r="Y128" s="85"/>
      <c r="AB128" s="85"/>
      <c r="AC128" s="85"/>
      <c r="AD128" s="85"/>
      <c r="AG128" s="85"/>
      <c r="AH128" s="85"/>
      <c r="AI128" s="85"/>
    </row>
    <row r="129" spans="18:35" x14ac:dyDescent="0.3">
      <c r="R129" s="85"/>
      <c r="S129" s="85"/>
      <c r="T129" s="85"/>
      <c r="W129" s="85"/>
      <c r="X129" s="85"/>
      <c r="Y129" s="85"/>
      <c r="AB129" s="85"/>
      <c r="AC129" s="85"/>
      <c r="AD129" s="85"/>
      <c r="AG129" s="85"/>
      <c r="AH129" s="85"/>
      <c r="AI129" s="85"/>
    </row>
    <row r="130" spans="18:35" x14ac:dyDescent="0.3">
      <c r="R130" s="85"/>
      <c r="S130" s="85"/>
      <c r="T130" s="85"/>
      <c r="W130" s="85"/>
      <c r="X130" s="85"/>
      <c r="Y130" s="85"/>
      <c r="AB130" s="85"/>
      <c r="AC130" s="85"/>
      <c r="AD130" s="85"/>
      <c r="AG130" s="85"/>
      <c r="AH130" s="85"/>
      <c r="AI130" s="85"/>
    </row>
    <row r="131" spans="18:35" x14ac:dyDescent="0.3">
      <c r="R131" s="85"/>
      <c r="S131" s="85"/>
      <c r="T131" s="85"/>
      <c r="W131" s="85"/>
      <c r="X131" s="85"/>
      <c r="Y131" s="85"/>
      <c r="AB131" s="85"/>
      <c r="AC131" s="85"/>
      <c r="AD131" s="85"/>
      <c r="AG131" s="85"/>
      <c r="AH131" s="85"/>
      <c r="AI131" s="85"/>
    </row>
    <row r="132" spans="18:35" x14ac:dyDescent="0.3">
      <c r="R132" s="85"/>
      <c r="S132" s="85"/>
      <c r="T132" s="85"/>
      <c r="W132" s="85"/>
      <c r="X132" s="85"/>
      <c r="Y132" s="85"/>
      <c r="AB132" s="85"/>
      <c r="AC132" s="85"/>
      <c r="AD132" s="85"/>
      <c r="AG132" s="85"/>
      <c r="AH132" s="85"/>
      <c r="AI132" s="85"/>
    </row>
    <row r="133" spans="18:35" x14ac:dyDescent="0.3">
      <c r="R133" s="85"/>
      <c r="S133" s="85"/>
      <c r="T133" s="85"/>
      <c r="W133" s="85"/>
      <c r="X133" s="85"/>
      <c r="Y133" s="85"/>
      <c r="AB133" s="85"/>
      <c r="AC133" s="85"/>
      <c r="AD133" s="85"/>
      <c r="AG133" s="85"/>
      <c r="AH133" s="85"/>
      <c r="AI133" s="85"/>
    </row>
    <row r="134" spans="18:35" x14ac:dyDescent="0.3">
      <c r="R134" s="85"/>
      <c r="S134" s="85"/>
      <c r="T134" s="85"/>
      <c r="W134" s="85"/>
      <c r="X134" s="85"/>
      <c r="Y134" s="85"/>
      <c r="AB134" s="85"/>
      <c r="AC134" s="85"/>
      <c r="AD134" s="85"/>
      <c r="AG134" s="85"/>
      <c r="AH134" s="85"/>
      <c r="AI134" s="85"/>
    </row>
    <row r="135" spans="18:35" x14ac:dyDescent="0.3">
      <c r="R135" s="85"/>
      <c r="S135" s="85"/>
      <c r="T135" s="85"/>
      <c r="W135" s="85"/>
      <c r="X135" s="85"/>
      <c r="Y135" s="85"/>
      <c r="AB135" s="85"/>
      <c r="AC135" s="85"/>
      <c r="AD135" s="85"/>
      <c r="AG135" s="85"/>
      <c r="AH135" s="85"/>
      <c r="AI135" s="85"/>
    </row>
    <row r="136" spans="18:35" x14ac:dyDescent="0.3">
      <c r="R136" s="85"/>
      <c r="S136" s="85"/>
      <c r="T136" s="85"/>
      <c r="W136" s="85"/>
      <c r="X136" s="85"/>
      <c r="Y136" s="85"/>
      <c r="AB136" s="85"/>
      <c r="AC136" s="85"/>
      <c r="AD136" s="85"/>
      <c r="AG136" s="85"/>
      <c r="AH136" s="85"/>
      <c r="AI136" s="85"/>
    </row>
    <row r="137" spans="18:35" x14ac:dyDescent="0.3">
      <c r="R137" s="85"/>
      <c r="S137" s="85"/>
      <c r="T137" s="85"/>
      <c r="W137" s="85"/>
      <c r="X137" s="85"/>
      <c r="Y137" s="85"/>
      <c r="AB137" s="85"/>
      <c r="AC137" s="85"/>
      <c r="AD137" s="85"/>
      <c r="AG137" s="85"/>
      <c r="AH137" s="85"/>
      <c r="AI137" s="85"/>
    </row>
    <row r="138" spans="18:35" x14ac:dyDescent="0.3">
      <c r="R138" s="85"/>
      <c r="S138" s="85"/>
      <c r="T138" s="85"/>
      <c r="W138" s="85"/>
      <c r="X138" s="85"/>
      <c r="Y138" s="85"/>
      <c r="AB138" s="85"/>
      <c r="AC138" s="85"/>
      <c r="AD138" s="85"/>
      <c r="AG138" s="85"/>
      <c r="AH138" s="85"/>
      <c r="AI138" s="85"/>
    </row>
    <row r="139" spans="18:35" x14ac:dyDescent="0.3">
      <c r="R139" s="85"/>
      <c r="S139" s="85"/>
      <c r="T139" s="85"/>
      <c r="W139" s="85"/>
      <c r="X139" s="85"/>
      <c r="Y139" s="85"/>
      <c r="AB139" s="85"/>
      <c r="AC139" s="85"/>
      <c r="AD139" s="85"/>
      <c r="AG139" s="85"/>
      <c r="AH139" s="85"/>
      <c r="AI139" s="85"/>
    </row>
    <row r="140" spans="18:35" x14ac:dyDescent="0.3">
      <c r="R140" s="85"/>
      <c r="S140" s="85"/>
      <c r="T140" s="85"/>
      <c r="W140" s="85"/>
      <c r="X140" s="85"/>
      <c r="Y140" s="85"/>
      <c r="AB140" s="85"/>
      <c r="AC140" s="85"/>
      <c r="AD140" s="85"/>
      <c r="AG140" s="85"/>
      <c r="AH140" s="85"/>
      <c r="AI140" s="85"/>
    </row>
    <row r="141" spans="18:35" x14ac:dyDescent="0.3">
      <c r="R141" s="85"/>
      <c r="S141" s="85"/>
      <c r="T141" s="85"/>
      <c r="W141" s="85"/>
      <c r="X141" s="85"/>
      <c r="Y141" s="85"/>
      <c r="AB141" s="85"/>
      <c r="AC141" s="85"/>
      <c r="AD141" s="85"/>
      <c r="AG141" s="85"/>
      <c r="AH141" s="85"/>
      <c r="AI141" s="85"/>
    </row>
    <row r="142" spans="18:35" x14ac:dyDescent="0.3">
      <c r="R142" s="85"/>
      <c r="S142" s="85"/>
      <c r="T142" s="85"/>
      <c r="W142" s="85"/>
      <c r="X142" s="85"/>
      <c r="Y142" s="85"/>
      <c r="AB142" s="85"/>
      <c r="AC142" s="85"/>
      <c r="AD142" s="85"/>
      <c r="AG142" s="85"/>
      <c r="AH142" s="85"/>
      <c r="AI142" s="85"/>
    </row>
    <row r="143" spans="18:35" x14ac:dyDescent="0.3">
      <c r="R143" s="85"/>
      <c r="S143" s="85"/>
      <c r="T143" s="85"/>
      <c r="W143" s="85"/>
      <c r="X143" s="85"/>
      <c r="Y143" s="85"/>
      <c r="AB143" s="85"/>
      <c r="AC143" s="85"/>
      <c r="AD143" s="85"/>
      <c r="AG143" s="85"/>
      <c r="AH143" s="85"/>
      <c r="AI143" s="85"/>
    </row>
    <row r="144" spans="18:35" x14ac:dyDescent="0.3">
      <c r="R144" s="85"/>
      <c r="S144" s="85"/>
      <c r="T144" s="85"/>
      <c r="W144" s="85"/>
      <c r="X144" s="85"/>
      <c r="Y144" s="85"/>
      <c r="AB144" s="85"/>
      <c r="AC144" s="85"/>
      <c r="AD144" s="85"/>
      <c r="AG144" s="85"/>
      <c r="AH144" s="85"/>
      <c r="AI144" s="85"/>
    </row>
    <row r="145" spans="18:35" x14ac:dyDescent="0.3">
      <c r="R145" s="85"/>
      <c r="S145" s="85"/>
      <c r="T145" s="85"/>
      <c r="W145" s="85"/>
      <c r="X145" s="85"/>
      <c r="Y145" s="85"/>
      <c r="AB145" s="85"/>
      <c r="AC145" s="85"/>
      <c r="AD145" s="85"/>
      <c r="AG145" s="85"/>
      <c r="AH145" s="85"/>
      <c r="AI145" s="85"/>
    </row>
    <row r="146" spans="18:35" x14ac:dyDescent="0.3">
      <c r="R146" s="85"/>
      <c r="S146" s="85"/>
      <c r="T146" s="85"/>
      <c r="W146" s="85"/>
      <c r="X146" s="85"/>
      <c r="Y146" s="85"/>
      <c r="AB146" s="85"/>
      <c r="AC146" s="85"/>
      <c r="AD146" s="85"/>
      <c r="AG146" s="85"/>
      <c r="AH146" s="85"/>
      <c r="AI146" s="85"/>
    </row>
    <row r="147" spans="18:35" x14ac:dyDescent="0.3">
      <c r="R147" s="85"/>
      <c r="S147" s="85"/>
      <c r="T147" s="85"/>
      <c r="W147" s="85"/>
      <c r="X147" s="85"/>
      <c r="Y147" s="85"/>
      <c r="AB147" s="85"/>
      <c r="AC147" s="85"/>
      <c r="AD147" s="85"/>
      <c r="AG147" s="85"/>
      <c r="AH147" s="85"/>
      <c r="AI147" s="85"/>
    </row>
    <row r="148" spans="18:35" x14ac:dyDescent="0.3">
      <c r="R148" s="85"/>
      <c r="S148" s="85"/>
      <c r="T148" s="85"/>
      <c r="W148" s="85"/>
      <c r="X148" s="85"/>
      <c r="Y148" s="85"/>
      <c r="AB148" s="85"/>
      <c r="AC148" s="85"/>
      <c r="AD148" s="85"/>
      <c r="AG148" s="85"/>
      <c r="AH148" s="85"/>
      <c r="AI148" s="85"/>
    </row>
    <row r="149" spans="18:35" x14ac:dyDescent="0.3">
      <c r="R149" s="85"/>
      <c r="S149" s="85"/>
      <c r="T149" s="85"/>
      <c r="W149" s="85"/>
      <c r="X149" s="85"/>
      <c r="Y149" s="85"/>
      <c r="AB149" s="85"/>
      <c r="AC149" s="85"/>
      <c r="AD149" s="85"/>
      <c r="AG149" s="85"/>
      <c r="AH149" s="85"/>
      <c r="AI149" s="85"/>
    </row>
    <row r="150" spans="18:35" x14ac:dyDescent="0.3">
      <c r="R150" s="85"/>
      <c r="S150" s="85"/>
      <c r="T150" s="85"/>
      <c r="W150" s="85"/>
      <c r="X150" s="85"/>
      <c r="Y150" s="85"/>
      <c r="AB150" s="85"/>
      <c r="AC150" s="85"/>
      <c r="AD150" s="85"/>
      <c r="AG150" s="85"/>
      <c r="AH150" s="85"/>
      <c r="AI150" s="85"/>
    </row>
    <row r="151" spans="18:35" x14ac:dyDescent="0.3">
      <c r="R151" s="85"/>
      <c r="S151" s="85"/>
      <c r="T151" s="85"/>
      <c r="W151" s="85"/>
      <c r="X151" s="85"/>
      <c r="Y151" s="85"/>
      <c r="AB151" s="85"/>
      <c r="AC151" s="85"/>
      <c r="AD151" s="85"/>
      <c r="AG151" s="85"/>
      <c r="AH151" s="85"/>
      <c r="AI151" s="85"/>
    </row>
    <row r="152" spans="18:35" x14ac:dyDescent="0.3">
      <c r="R152" s="85"/>
      <c r="S152" s="85"/>
      <c r="T152" s="85"/>
      <c r="W152" s="85"/>
      <c r="X152" s="85"/>
      <c r="Y152" s="85"/>
      <c r="AB152" s="85"/>
      <c r="AC152" s="85"/>
      <c r="AD152" s="85"/>
      <c r="AG152" s="85"/>
      <c r="AH152" s="85"/>
      <c r="AI152" s="85"/>
    </row>
    <row r="153" spans="18:35" x14ac:dyDescent="0.3">
      <c r="R153" s="85"/>
      <c r="S153" s="85"/>
      <c r="T153" s="85"/>
      <c r="W153" s="85"/>
      <c r="X153" s="85"/>
      <c r="Y153" s="85"/>
      <c r="AB153" s="85"/>
      <c r="AC153" s="85"/>
      <c r="AD153" s="85"/>
      <c r="AG153" s="85"/>
      <c r="AH153" s="85"/>
      <c r="AI153" s="85"/>
    </row>
    <row r="154" spans="18:35" x14ac:dyDescent="0.3">
      <c r="R154" s="85"/>
      <c r="S154" s="85"/>
      <c r="T154" s="85"/>
      <c r="W154" s="85"/>
      <c r="X154" s="85"/>
      <c r="Y154" s="85"/>
      <c r="AB154" s="85"/>
      <c r="AC154" s="85"/>
      <c r="AD154" s="85"/>
      <c r="AG154" s="85"/>
      <c r="AH154" s="85"/>
      <c r="AI154" s="85"/>
    </row>
    <row r="155" spans="18:35" x14ac:dyDescent="0.3">
      <c r="R155" s="85"/>
      <c r="S155" s="85"/>
      <c r="T155" s="85"/>
      <c r="W155" s="85"/>
      <c r="X155" s="85"/>
      <c r="Y155" s="85"/>
      <c r="AB155" s="85"/>
      <c r="AC155" s="85"/>
      <c r="AD155" s="85"/>
      <c r="AG155" s="85"/>
      <c r="AH155" s="85"/>
      <c r="AI155" s="85"/>
    </row>
    <row r="156" spans="18:35" x14ac:dyDescent="0.3">
      <c r="R156" s="85"/>
      <c r="S156" s="85"/>
      <c r="T156" s="85"/>
      <c r="W156" s="85"/>
      <c r="X156" s="85"/>
      <c r="Y156" s="85"/>
      <c r="AB156" s="85"/>
      <c r="AC156" s="85"/>
      <c r="AD156" s="85"/>
      <c r="AG156" s="85"/>
      <c r="AH156" s="85"/>
      <c r="AI156" s="85"/>
    </row>
    <row r="157" spans="18:35" x14ac:dyDescent="0.3">
      <c r="R157" s="85"/>
      <c r="S157" s="85"/>
      <c r="T157" s="85"/>
      <c r="W157" s="85"/>
      <c r="X157" s="85"/>
      <c r="Y157" s="85"/>
      <c r="AB157" s="85"/>
      <c r="AC157" s="85"/>
      <c r="AD157" s="85"/>
      <c r="AG157" s="85"/>
      <c r="AH157" s="85"/>
      <c r="AI157" s="85"/>
    </row>
    <row r="158" spans="18:35" x14ac:dyDescent="0.3">
      <c r="R158" s="85"/>
      <c r="S158" s="85"/>
      <c r="T158" s="85"/>
      <c r="W158" s="85"/>
      <c r="X158" s="85"/>
      <c r="Y158" s="85"/>
      <c r="AB158" s="85"/>
      <c r="AC158" s="85"/>
      <c r="AD158" s="85"/>
      <c r="AG158" s="85"/>
      <c r="AH158" s="85"/>
      <c r="AI158" s="85"/>
    </row>
    <row r="159" spans="18:35" x14ac:dyDescent="0.3">
      <c r="R159" s="85"/>
      <c r="S159" s="85"/>
      <c r="T159" s="85"/>
      <c r="W159" s="85"/>
      <c r="X159" s="85"/>
      <c r="Y159" s="85"/>
      <c r="AB159" s="85"/>
      <c r="AC159" s="85"/>
      <c r="AD159" s="85"/>
      <c r="AG159" s="85"/>
      <c r="AH159" s="85"/>
      <c r="AI159" s="85"/>
    </row>
    <row r="160" spans="18:35" x14ac:dyDescent="0.3">
      <c r="R160" s="85"/>
      <c r="S160" s="85"/>
      <c r="T160" s="85"/>
      <c r="W160" s="85"/>
      <c r="X160" s="85"/>
      <c r="Y160" s="85"/>
      <c r="AB160" s="85"/>
      <c r="AC160" s="85"/>
      <c r="AD160" s="85"/>
      <c r="AG160" s="85"/>
      <c r="AH160" s="85"/>
      <c r="AI160" s="85"/>
    </row>
    <row r="161" spans="18:35" x14ac:dyDescent="0.3">
      <c r="R161" s="85"/>
      <c r="S161" s="85"/>
      <c r="T161" s="85"/>
      <c r="W161" s="85"/>
      <c r="X161" s="85"/>
      <c r="Y161" s="85"/>
      <c r="AB161" s="85"/>
      <c r="AC161" s="85"/>
      <c r="AD161" s="85"/>
      <c r="AG161" s="85"/>
      <c r="AH161" s="85"/>
      <c r="AI161" s="85"/>
    </row>
    <row r="162" spans="18:35" x14ac:dyDescent="0.3">
      <c r="R162" s="85"/>
      <c r="S162" s="85"/>
      <c r="T162" s="85"/>
      <c r="W162" s="85"/>
      <c r="X162" s="85"/>
      <c r="Y162" s="85"/>
      <c r="AB162" s="85"/>
      <c r="AC162" s="85"/>
      <c r="AD162" s="85"/>
      <c r="AG162" s="85"/>
      <c r="AH162" s="85"/>
      <c r="AI162" s="85"/>
    </row>
    <row r="163" spans="18:35" x14ac:dyDescent="0.3">
      <c r="R163" s="85"/>
      <c r="S163" s="85"/>
      <c r="T163" s="85"/>
      <c r="W163" s="85"/>
      <c r="X163" s="85"/>
      <c r="Y163" s="85"/>
      <c r="AB163" s="85"/>
      <c r="AC163" s="85"/>
      <c r="AD163" s="85"/>
      <c r="AG163" s="85"/>
      <c r="AH163" s="85"/>
      <c r="AI163" s="85"/>
    </row>
    <row r="164" spans="18:35" x14ac:dyDescent="0.3">
      <c r="R164" s="85"/>
      <c r="S164" s="85"/>
      <c r="T164" s="85"/>
      <c r="W164" s="85"/>
      <c r="X164" s="85"/>
      <c r="Y164" s="85"/>
      <c r="AB164" s="85"/>
      <c r="AC164" s="85"/>
      <c r="AD164" s="85"/>
      <c r="AG164" s="85"/>
      <c r="AH164" s="85"/>
      <c r="AI164" s="85"/>
    </row>
    <row r="165" spans="18:35" x14ac:dyDescent="0.3">
      <c r="R165" s="85"/>
      <c r="S165" s="85"/>
      <c r="T165" s="85"/>
      <c r="W165" s="85"/>
      <c r="X165" s="85"/>
      <c r="Y165" s="85"/>
      <c r="AB165" s="85"/>
      <c r="AC165" s="85"/>
      <c r="AD165" s="85"/>
      <c r="AG165" s="85"/>
      <c r="AH165" s="85"/>
      <c r="AI165" s="85"/>
    </row>
    <row r="166" spans="18:35" x14ac:dyDescent="0.3">
      <c r="R166" s="85"/>
      <c r="S166" s="85"/>
      <c r="T166" s="85"/>
      <c r="W166" s="85"/>
      <c r="X166" s="85"/>
      <c r="Y166" s="85"/>
      <c r="AB166" s="85"/>
      <c r="AC166" s="85"/>
      <c r="AD166" s="85"/>
      <c r="AG166" s="85"/>
      <c r="AH166" s="85"/>
      <c r="AI166" s="85"/>
    </row>
    <row r="167" spans="18:35" x14ac:dyDescent="0.3">
      <c r="R167" s="85"/>
      <c r="S167" s="85"/>
      <c r="T167" s="85"/>
      <c r="W167" s="85"/>
      <c r="X167" s="85"/>
      <c r="Y167" s="85"/>
      <c r="AB167" s="85"/>
      <c r="AC167" s="85"/>
      <c r="AD167" s="85"/>
      <c r="AG167" s="85"/>
      <c r="AH167" s="85"/>
      <c r="AI167" s="85"/>
    </row>
    <row r="168" spans="18:35" x14ac:dyDescent="0.3">
      <c r="R168" s="85"/>
      <c r="S168" s="85"/>
      <c r="T168" s="85"/>
      <c r="W168" s="85"/>
      <c r="X168" s="85"/>
      <c r="Y168" s="85"/>
      <c r="AB168" s="85"/>
      <c r="AC168" s="85"/>
      <c r="AD168" s="85"/>
      <c r="AG168" s="85"/>
      <c r="AH168" s="85"/>
      <c r="AI168" s="85"/>
    </row>
    <row r="169" spans="18:35" x14ac:dyDescent="0.3">
      <c r="R169" s="85"/>
      <c r="S169" s="85"/>
      <c r="T169" s="85"/>
      <c r="W169" s="85"/>
      <c r="X169" s="85"/>
      <c r="Y169" s="85"/>
      <c r="AB169" s="85"/>
      <c r="AC169" s="85"/>
      <c r="AD169" s="85"/>
      <c r="AG169" s="85"/>
      <c r="AH169" s="85"/>
      <c r="AI169" s="85"/>
    </row>
    <row r="170" spans="18:35" x14ac:dyDescent="0.3">
      <c r="R170" s="85"/>
      <c r="S170" s="85"/>
      <c r="T170" s="85"/>
      <c r="W170" s="85"/>
      <c r="X170" s="85"/>
      <c r="Y170" s="85"/>
      <c r="AB170" s="85"/>
      <c r="AC170" s="85"/>
      <c r="AD170" s="85"/>
      <c r="AG170" s="85"/>
      <c r="AH170" s="85"/>
      <c r="AI170" s="85"/>
    </row>
    <row r="171" spans="18:35" x14ac:dyDescent="0.3">
      <c r="R171" s="85"/>
      <c r="S171" s="85"/>
      <c r="T171" s="85"/>
      <c r="W171" s="85"/>
      <c r="X171" s="85"/>
      <c r="Y171" s="85"/>
      <c r="AB171" s="85"/>
      <c r="AC171" s="85"/>
      <c r="AD171" s="85"/>
      <c r="AG171" s="85"/>
      <c r="AH171" s="85"/>
      <c r="AI171" s="85"/>
    </row>
    <row r="172" spans="18:35" x14ac:dyDescent="0.3">
      <c r="R172" s="85"/>
      <c r="S172" s="85"/>
      <c r="T172" s="85"/>
      <c r="W172" s="85"/>
      <c r="X172" s="85"/>
      <c r="Y172" s="85"/>
      <c r="AB172" s="85"/>
      <c r="AC172" s="85"/>
      <c r="AD172" s="85"/>
      <c r="AG172" s="85"/>
      <c r="AH172" s="85"/>
      <c r="AI172" s="85"/>
    </row>
    <row r="173" spans="18:35" x14ac:dyDescent="0.3">
      <c r="R173" s="85"/>
      <c r="S173" s="85"/>
      <c r="T173" s="85"/>
      <c r="W173" s="85"/>
      <c r="X173" s="85"/>
      <c r="Y173" s="85"/>
      <c r="AB173" s="85"/>
      <c r="AC173" s="85"/>
      <c r="AD173" s="85"/>
      <c r="AG173" s="85"/>
      <c r="AH173" s="85"/>
      <c r="AI173" s="85"/>
    </row>
    <row r="174" spans="18:35" x14ac:dyDescent="0.3">
      <c r="R174" s="85"/>
      <c r="S174" s="85"/>
      <c r="T174" s="85"/>
      <c r="W174" s="85"/>
      <c r="X174" s="85"/>
      <c r="Y174" s="85"/>
      <c r="AB174" s="85"/>
      <c r="AC174" s="85"/>
      <c r="AD174" s="85"/>
      <c r="AG174" s="85"/>
      <c r="AH174" s="85"/>
      <c r="AI174" s="85"/>
    </row>
    <row r="175" spans="18:35" x14ac:dyDescent="0.3">
      <c r="R175" s="85"/>
      <c r="S175" s="85"/>
      <c r="T175" s="85"/>
      <c r="W175" s="85"/>
      <c r="X175" s="85"/>
      <c r="Y175" s="85"/>
      <c r="AB175" s="85"/>
      <c r="AC175" s="85"/>
      <c r="AD175" s="85"/>
      <c r="AG175" s="85"/>
      <c r="AH175" s="85"/>
      <c r="AI175" s="85"/>
    </row>
    <row r="176" spans="18:35" x14ac:dyDescent="0.3">
      <c r="R176" s="85"/>
      <c r="S176" s="85"/>
      <c r="T176" s="85"/>
      <c r="W176" s="85"/>
      <c r="X176" s="85"/>
      <c r="Y176" s="85"/>
      <c r="AB176" s="85"/>
      <c r="AC176" s="85"/>
      <c r="AD176" s="85"/>
      <c r="AG176" s="85"/>
      <c r="AH176" s="85"/>
      <c r="AI176" s="85"/>
    </row>
    <row r="177" spans="18:35" x14ac:dyDescent="0.3">
      <c r="R177" s="85"/>
      <c r="S177" s="85"/>
      <c r="T177" s="85"/>
      <c r="W177" s="85"/>
      <c r="X177" s="85"/>
      <c r="Y177" s="85"/>
      <c r="AB177" s="85"/>
      <c r="AC177" s="85"/>
      <c r="AD177" s="85"/>
      <c r="AG177" s="85"/>
      <c r="AH177" s="85"/>
      <c r="AI177" s="85"/>
    </row>
    <row r="178" spans="18:35" x14ac:dyDescent="0.3">
      <c r="R178" s="85"/>
      <c r="S178" s="85"/>
      <c r="T178" s="85"/>
      <c r="W178" s="85"/>
      <c r="X178" s="85"/>
      <c r="Y178" s="85"/>
      <c r="AB178" s="85"/>
      <c r="AC178" s="85"/>
      <c r="AD178" s="85"/>
      <c r="AG178" s="85"/>
      <c r="AH178" s="85"/>
      <c r="AI178" s="85"/>
    </row>
    <row r="179" spans="18:35" x14ac:dyDescent="0.3">
      <c r="R179" s="85"/>
      <c r="S179" s="85"/>
      <c r="T179" s="85"/>
      <c r="W179" s="85"/>
      <c r="X179" s="85"/>
      <c r="Y179" s="85"/>
      <c r="AB179" s="85"/>
      <c r="AC179" s="85"/>
      <c r="AD179" s="85"/>
      <c r="AG179" s="85"/>
      <c r="AH179" s="85"/>
      <c r="AI179" s="85"/>
    </row>
    <row r="180" spans="18:35" x14ac:dyDescent="0.3">
      <c r="R180" s="85"/>
      <c r="S180" s="85"/>
      <c r="T180" s="85"/>
      <c r="W180" s="85"/>
      <c r="X180" s="85"/>
      <c r="Y180" s="85"/>
      <c r="AB180" s="85"/>
      <c r="AC180" s="85"/>
      <c r="AD180" s="85"/>
      <c r="AG180" s="85"/>
      <c r="AH180" s="85"/>
      <c r="AI180" s="85"/>
    </row>
    <row r="181" spans="18:35" x14ac:dyDescent="0.3">
      <c r="R181" s="85"/>
      <c r="S181" s="85"/>
      <c r="T181" s="85"/>
      <c r="W181" s="85"/>
      <c r="X181" s="85"/>
      <c r="Y181" s="85"/>
      <c r="AB181" s="85"/>
      <c r="AC181" s="85"/>
      <c r="AD181" s="85"/>
      <c r="AG181" s="85"/>
      <c r="AH181" s="85"/>
      <c r="AI181" s="85"/>
    </row>
    <row r="182" spans="18:35" x14ac:dyDescent="0.3">
      <c r="R182" s="85"/>
      <c r="S182" s="85"/>
      <c r="T182" s="85"/>
      <c r="W182" s="85"/>
      <c r="X182" s="85"/>
      <c r="Y182" s="85"/>
      <c r="AB182" s="85"/>
      <c r="AC182" s="85"/>
      <c r="AD182" s="85"/>
      <c r="AG182" s="85"/>
      <c r="AH182" s="85"/>
      <c r="AI182" s="85"/>
    </row>
    <row r="183" spans="18:35" x14ac:dyDescent="0.3">
      <c r="R183" s="85"/>
      <c r="S183" s="85"/>
      <c r="T183" s="85"/>
      <c r="W183" s="85"/>
      <c r="X183" s="85"/>
      <c r="Y183" s="85"/>
      <c r="AB183" s="85"/>
      <c r="AC183" s="85"/>
      <c r="AD183" s="85"/>
      <c r="AG183" s="85"/>
      <c r="AH183" s="85"/>
      <c r="AI183" s="85"/>
    </row>
    <row r="184" spans="18:35" x14ac:dyDescent="0.3">
      <c r="R184" s="85"/>
      <c r="S184" s="85"/>
      <c r="T184" s="85"/>
      <c r="W184" s="85"/>
      <c r="X184" s="85"/>
      <c r="Y184" s="85"/>
      <c r="AB184" s="85"/>
      <c r="AC184" s="85"/>
      <c r="AD184" s="85"/>
      <c r="AG184" s="85"/>
      <c r="AH184" s="85"/>
      <c r="AI184" s="85"/>
    </row>
    <row r="185" spans="18:35" x14ac:dyDescent="0.3">
      <c r="R185" s="85"/>
      <c r="S185" s="85"/>
      <c r="T185" s="85"/>
      <c r="W185" s="85"/>
      <c r="X185" s="85"/>
      <c r="Y185" s="85"/>
      <c r="AB185" s="85"/>
      <c r="AC185" s="85"/>
      <c r="AD185" s="85"/>
      <c r="AG185" s="85"/>
      <c r="AH185" s="85"/>
      <c r="AI185" s="85"/>
    </row>
    <row r="186" spans="18:35" x14ac:dyDescent="0.3">
      <c r="R186" s="85"/>
      <c r="S186" s="85"/>
      <c r="T186" s="85"/>
      <c r="W186" s="85"/>
      <c r="X186" s="85"/>
      <c r="Y186" s="85"/>
      <c r="AB186" s="85"/>
      <c r="AC186" s="85"/>
      <c r="AD186" s="85"/>
      <c r="AG186" s="85"/>
      <c r="AH186" s="85"/>
      <c r="AI186" s="85"/>
    </row>
    <row r="187" spans="18:35" x14ac:dyDescent="0.3">
      <c r="R187" s="85"/>
      <c r="S187" s="85"/>
      <c r="T187" s="85"/>
      <c r="W187" s="85"/>
      <c r="X187" s="85"/>
      <c r="Y187" s="85"/>
      <c r="AB187" s="85"/>
      <c r="AC187" s="85"/>
      <c r="AD187" s="85"/>
      <c r="AG187" s="85"/>
      <c r="AH187" s="85"/>
      <c r="AI187" s="85"/>
    </row>
    <row r="188" spans="18:35" x14ac:dyDescent="0.3">
      <c r="R188" s="85"/>
      <c r="S188" s="85"/>
      <c r="T188" s="85"/>
      <c r="W188" s="85"/>
      <c r="X188" s="85"/>
      <c r="Y188" s="85"/>
      <c r="AB188" s="85"/>
      <c r="AC188" s="85"/>
      <c r="AD188" s="85"/>
      <c r="AG188" s="85"/>
      <c r="AH188" s="85"/>
      <c r="AI188" s="85"/>
    </row>
    <row r="189" spans="18:35" x14ac:dyDescent="0.3">
      <c r="R189" s="85"/>
      <c r="S189" s="85"/>
      <c r="T189" s="85"/>
      <c r="W189" s="85"/>
      <c r="X189" s="85"/>
      <c r="Y189" s="85"/>
      <c r="AB189" s="85"/>
      <c r="AC189" s="85"/>
      <c r="AD189" s="85"/>
      <c r="AG189" s="85"/>
      <c r="AH189" s="85"/>
      <c r="AI189" s="85"/>
    </row>
    <row r="190" spans="18:35" x14ac:dyDescent="0.3">
      <c r="R190" s="85"/>
      <c r="S190" s="85"/>
      <c r="T190" s="85"/>
      <c r="W190" s="85"/>
      <c r="X190" s="85"/>
      <c r="Y190" s="85"/>
      <c r="AB190" s="85"/>
      <c r="AC190" s="85"/>
      <c r="AD190" s="85"/>
      <c r="AG190" s="85"/>
      <c r="AH190" s="85"/>
      <c r="AI190" s="85"/>
    </row>
    <row r="191" spans="18:35" x14ac:dyDescent="0.3">
      <c r="R191" s="85"/>
      <c r="S191" s="85"/>
      <c r="T191" s="85"/>
      <c r="W191" s="85"/>
      <c r="X191" s="85"/>
      <c r="Y191" s="85"/>
      <c r="AB191" s="85"/>
      <c r="AC191" s="85"/>
      <c r="AD191" s="85"/>
      <c r="AG191" s="85"/>
      <c r="AH191" s="85"/>
      <c r="AI191" s="85"/>
    </row>
    <row r="192" spans="18:35" x14ac:dyDescent="0.3">
      <c r="R192" s="85"/>
      <c r="S192" s="85"/>
      <c r="T192" s="85"/>
      <c r="W192" s="85"/>
      <c r="X192" s="85"/>
      <c r="Y192" s="85"/>
      <c r="AB192" s="85"/>
      <c r="AC192" s="85"/>
      <c r="AD192" s="85"/>
      <c r="AG192" s="85"/>
      <c r="AH192" s="85"/>
      <c r="AI192" s="85"/>
    </row>
    <row r="193" spans="18:35" x14ac:dyDescent="0.3">
      <c r="R193" s="85"/>
      <c r="S193" s="85"/>
      <c r="T193" s="85"/>
      <c r="W193" s="85"/>
      <c r="X193" s="85"/>
      <c r="Y193" s="85"/>
      <c r="AB193" s="85"/>
      <c r="AC193" s="85"/>
      <c r="AD193" s="85"/>
      <c r="AG193" s="85"/>
      <c r="AH193" s="85"/>
      <c r="AI193" s="85"/>
    </row>
    <row r="194" spans="18:35" x14ac:dyDescent="0.3">
      <c r="R194" s="85"/>
      <c r="S194" s="85"/>
      <c r="T194" s="85"/>
      <c r="W194" s="85"/>
      <c r="X194" s="85"/>
      <c r="Y194" s="85"/>
      <c r="AB194" s="85"/>
      <c r="AC194" s="85"/>
      <c r="AD194" s="85"/>
      <c r="AG194" s="85"/>
      <c r="AH194" s="85"/>
      <c r="AI194" s="85"/>
    </row>
    <row r="195" spans="18:35" x14ac:dyDescent="0.3">
      <c r="R195" s="85"/>
      <c r="S195" s="85"/>
      <c r="T195" s="85"/>
      <c r="W195" s="85"/>
      <c r="X195" s="85"/>
      <c r="Y195" s="85"/>
      <c r="AB195" s="85"/>
      <c r="AC195" s="85"/>
      <c r="AD195" s="85"/>
      <c r="AG195" s="85"/>
      <c r="AH195" s="85"/>
      <c r="AI195" s="85"/>
    </row>
    <row r="196" spans="18:35" x14ac:dyDescent="0.3">
      <c r="R196" s="85"/>
      <c r="S196" s="85"/>
      <c r="T196" s="85"/>
      <c r="W196" s="85"/>
      <c r="X196" s="85"/>
      <c r="Y196" s="85"/>
      <c r="AB196" s="85"/>
      <c r="AC196" s="85"/>
      <c r="AD196" s="85"/>
      <c r="AG196" s="85"/>
      <c r="AH196" s="85"/>
      <c r="AI196" s="85"/>
    </row>
    <row r="197" spans="18:35" x14ac:dyDescent="0.3">
      <c r="R197" s="85"/>
      <c r="S197" s="85"/>
      <c r="T197" s="85"/>
      <c r="W197" s="85"/>
      <c r="X197" s="85"/>
      <c r="Y197" s="85"/>
      <c r="AB197" s="85"/>
      <c r="AC197" s="85"/>
      <c r="AD197" s="85"/>
      <c r="AG197" s="85"/>
      <c r="AH197" s="85"/>
      <c r="AI197" s="85"/>
    </row>
    <row r="198" spans="18:35" x14ac:dyDescent="0.3">
      <c r="R198" s="85"/>
      <c r="S198" s="85"/>
      <c r="T198" s="85"/>
      <c r="W198" s="85"/>
      <c r="X198" s="85"/>
      <c r="Y198" s="85"/>
      <c r="AB198" s="85"/>
      <c r="AC198" s="85"/>
      <c r="AD198" s="85"/>
      <c r="AG198" s="85"/>
      <c r="AH198" s="85"/>
      <c r="AI198" s="85"/>
    </row>
    <row r="199" spans="18:35" x14ac:dyDescent="0.3">
      <c r="R199" s="85"/>
      <c r="S199" s="85"/>
      <c r="T199" s="85"/>
      <c r="W199" s="85"/>
      <c r="X199" s="85"/>
      <c r="Y199" s="85"/>
      <c r="AB199" s="85"/>
      <c r="AC199" s="85"/>
      <c r="AD199" s="85"/>
      <c r="AG199" s="85"/>
      <c r="AH199" s="85"/>
      <c r="AI199" s="85"/>
    </row>
    <row r="200" spans="18:35" x14ac:dyDescent="0.3">
      <c r="R200" s="85"/>
      <c r="S200" s="85"/>
      <c r="T200" s="85"/>
      <c r="W200" s="85"/>
      <c r="X200" s="85"/>
      <c r="Y200" s="85"/>
      <c r="AB200" s="85"/>
      <c r="AC200" s="85"/>
      <c r="AD200" s="85"/>
      <c r="AG200" s="85"/>
      <c r="AH200" s="85"/>
      <c r="AI200" s="85"/>
    </row>
    <row r="201" spans="18:35" x14ac:dyDescent="0.3">
      <c r="R201" s="85"/>
      <c r="S201" s="85"/>
      <c r="T201" s="85"/>
      <c r="W201" s="85"/>
      <c r="X201" s="85"/>
      <c r="Y201" s="85"/>
      <c r="AB201" s="85"/>
      <c r="AC201" s="85"/>
      <c r="AD201" s="85"/>
      <c r="AG201" s="85"/>
      <c r="AH201" s="85"/>
      <c r="AI201" s="85"/>
    </row>
    <row r="202" spans="18:35" x14ac:dyDescent="0.3">
      <c r="R202" s="85"/>
      <c r="S202" s="85"/>
      <c r="T202" s="85"/>
      <c r="W202" s="85"/>
      <c r="X202" s="85"/>
      <c r="Y202" s="85"/>
      <c r="AB202" s="85"/>
      <c r="AC202" s="85"/>
      <c r="AD202" s="85"/>
      <c r="AG202" s="85"/>
      <c r="AH202" s="85"/>
      <c r="AI202" s="85"/>
    </row>
    <row r="203" spans="18:35" x14ac:dyDescent="0.3">
      <c r="R203" s="85"/>
      <c r="S203" s="85"/>
      <c r="T203" s="85"/>
      <c r="W203" s="85"/>
      <c r="X203" s="85"/>
      <c r="Y203" s="85"/>
      <c r="AB203" s="85"/>
      <c r="AC203" s="85"/>
      <c r="AD203" s="85"/>
      <c r="AG203" s="85"/>
      <c r="AH203" s="85"/>
      <c r="AI203" s="85"/>
    </row>
    <row r="204" spans="18:35" x14ac:dyDescent="0.3">
      <c r="R204" s="85"/>
      <c r="S204" s="85"/>
      <c r="T204" s="85"/>
      <c r="W204" s="85"/>
      <c r="X204" s="85"/>
      <c r="Y204" s="85"/>
      <c r="AB204" s="85"/>
      <c r="AC204" s="85"/>
      <c r="AD204" s="85"/>
      <c r="AG204" s="85"/>
      <c r="AH204" s="85"/>
      <c r="AI204" s="85"/>
    </row>
    <row r="205" spans="18:35" x14ac:dyDescent="0.3">
      <c r="R205" s="85"/>
      <c r="S205" s="85"/>
      <c r="T205" s="85"/>
      <c r="W205" s="85"/>
      <c r="X205" s="85"/>
      <c r="Y205" s="85"/>
      <c r="AB205" s="85"/>
      <c r="AC205" s="85"/>
      <c r="AD205" s="85"/>
      <c r="AG205" s="85"/>
      <c r="AH205" s="85"/>
      <c r="AI205" s="85"/>
    </row>
    <row r="206" spans="18:35" x14ac:dyDescent="0.3">
      <c r="R206" s="85"/>
      <c r="S206" s="85"/>
      <c r="T206" s="85"/>
      <c r="W206" s="85"/>
      <c r="X206" s="85"/>
      <c r="Y206" s="85"/>
      <c r="AB206" s="85"/>
      <c r="AC206" s="85"/>
      <c r="AD206" s="85"/>
      <c r="AG206" s="85"/>
      <c r="AH206" s="85"/>
      <c r="AI206" s="85"/>
    </row>
    <row r="207" spans="18:35" x14ac:dyDescent="0.3">
      <c r="R207" s="85"/>
      <c r="S207" s="85"/>
      <c r="T207" s="85"/>
      <c r="W207" s="85"/>
      <c r="X207" s="85"/>
      <c r="Y207" s="85"/>
      <c r="AB207" s="85"/>
      <c r="AC207" s="85"/>
      <c r="AD207" s="85"/>
      <c r="AG207" s="85"/>
      <c r="AH207" s="85"/>
      <c r="AI207" s="85"/>
    </row>
    <row r="208" spans="18:35" x14ac:dyDescent="0.3">
      <c r="R208" s="85"/>
      <c r="S208" s="85"/>
      <c r="T208" s="85"/>
      <c r="W208" s="85"/>
      <c r="X208" s="85"/>
      <c r="Y208" s="85"/>
      <c r="AB208" s="85"/>
      <c r="AC208" s="85"/>
      <c r="AD208" s="85"/>
      <c r="AG208" s="85"/>
      <c r="AH208" s="85"/>
      <c r="AI208" s="85"/>
    </row>
    <row r="209" spans="18:35" x14ac:dyDescent="0.3">
      <c r="R209" s="85"/>
      <c r="S209" s="85"/>
      <c r="T209" s="85"/>
      <c r="W209" s="85"/>
      <c r="X209" s="85"/>
      <c r="Y209" s="85"/>
      <c r="AB209" s="85"/>
      <c r="AC209" s="85"/>
      <c r="AD209" s="85"/>
      <c r="AG209" s="85"/>
      <c r="AH209" s="85"/>
      <c r="AI209" s="85"/>
    </row>
    <row r="210" spans="18:35" x14ac:dyDescent="0.3">
      <c r="R210" s="85"/>
      <c r="S210" s="85"/>
      <c r="T210" s="85"/>
      <c r="W210" s="85"/>
      <c r="X210" s="85"/>
      <c r="Y210" s="85"/>
      <c r="AB210" s="85"/>
      <c r="AC210" s="85"/>
      <c r="AD210" s="85"/>
      <c r="AG210" s="85"/>
      <c r="AH210" s="85"/>
      <c r="AI210" s="85"/>
    </row>
    <row r="211" spans="18:35" x14ac:dyDescent="0.3">
      <c r="R211" s="85"/>
      <c r="S211" s="85"/>
      <c r="T211" s="85"/>
      <c r="W211" s="85"/>
      <c r="X211" s="85"/>
      <c r="Y211" s="85"/>
      <c r="AB211" s="85"/>
      <c r="AC211" s="85"/>
      <c r="AD211" s="85"/>
      <c r="AG211" s="85"/>
      <c r="AH211" s="85"/>
      <c r="AI211" s="85"/>
    </row>
    <row r="212" spans="18:35" x14ac:dyDescent="0.3">
      <c r="R212" s="85"/>
      <c r="S212" s="85"/>
      <c r="T212" s="85"/>
      <c r="W212" s="85"/>
      <c r="X212" s="85"/>
      <c r="Y212" s="85"/>
      <c r="AB212" s="85"/>
      <c r="AC212" s="85"/>
      <c r="AD212" s="85"/>
      <c r="AG212" s="85"/>
      <c r="AH212" s="85"/>
      <c r="AI212" s="85"/>
    </row>
    <row r="213" spans="18:35" x14ac:dyDescent="0.3">
      <c r="R213" s="85"/>
      <c r="S213" s="85"/>
      <c r="T213" s="85"/>
      <c r="W213" s="85"/>
      <c r="X213" s="85"/>
      <c r="Y213" s="85"/>
      <c r="AB213" s="85"/>
      <c r="AC213" s="85"/>
      <c r="AD213" s="85"/>
      <c r="AG213" s="85"/>
      <c r="AH213" s="85"/>
      <c r="AI213" s="85"/>
    </row>
    <row r="214" spans="18:35" x14ac:dyDescent="0.3">
      <c r="R214" s="85"/>
      <c r="S214" s="85"/>
      <c r="T214" s="85"/>
      <c r="W214" s="85"/>
      <c r="X214" s="85"/>
      <c r="Y214" s="85"/>
      <c r="AB214" s="85"/>
      <c r="AC214" s="85"/>
      <c r="AD214" s="85"/>
      <c r="AG214" s="85"/>
      <c r="AH214" s="85"/>
      <c r="AI214" s="85"/>
    </row>
    <row r="215" spans="18:35" x14ac:dyDescent="0.3">
      <c r="R215" s="85"/>
      <c r="S215" s="85"/>
      <c r="T215" s="85"/>
      <c r="W215" s="85"/>
      <c r="X215" s="85"/>
      <c r="Y215" s="85"/>
      <c r="AB215" s="85"/>
      <c r="AC215" s="85"/>
      <c r="AD215" s="85"/>
      <c r="AG215" s="85"/>
      <c r="AH215" s="85"/>
      <c r="AI215" s="85"/>
    </row>
    <row r="216" spans="18:35" x14ac:dyDescent="0.3">
      <c r="R216" s="85"/>
      <c r="S216" s="85"/>
      <c r="T216" s="85"/>
      <c r="W216" s="85"/>
      <c r="X216" s="85"/>
      <c r="Y216" s="85"/>
      <c r="AB216" s="85"/>
      <c r="AC216" s="85"/>
      <c r="AD216" s="85"/>
      <c r="AG216" s="85"/>
      <c r="AH216" s="85"/>
      <c r="AI216" s="85"/>
    </row>
    <row r="217" spans="18:35" x14ac:dyDescent="0.3">
      <c r="R217" s="85"/>
      <c r="S217" s="85"/>
      <c r="T217" s="85"/>
      <c r="W217" s="85"/>
      <c r="X217" s="85"/>
      <c r="Y217" s="85"/>
      <c r="AB217" s="85"/>
      <c r="AC217" s="85"/>
      <c r="AD217" s="85"/>
      <c r="AG217" s="85"/>
      <c r="AH217" s="85"/>
      <c r="AI217" s="85"/>
    </row>
    <row r="218" spans="18:35" x14ac:dyDescent="0.3">
      <c r="R218" s="85"/>
      <c r="S218" s="85"/>
      <c r="T218" s="85"/>
      <c r="W218" s="85"/>
      <c r="X218" s="85"/>
      <c r="Y218" s="85"/>
      <c r="AB218" s="85"/>
      <c r="AC218" s="85"/>
      <c r="AD218" s="85"/>
      <c r="AG218" s="85"/>
      <c r="AH218" s="85"/>
      <c r="AI218" s="85"/>
    </row>
    <row r="219" spans="18:35" x14ac:dyDescent="0.3">
      <c r="R219" s="85"/>
      <c r="S219" s="85"/>
      <c r="T219" s="85"/>
      <c r="W219" s="85"/>
      <c r="X219" s="85"/>
      <c r="Y219" s="85"/>
      <c r="AB219" s="85"/>
      <c r="AC219" s="85"/>
      <c r="AD219" s="85"/>
      <c r="AG219" s="85"/>
      <c r="AH219" s="85"/>
      <c r="AI219" s="85"/>
    </row>
    <row r="220" spans="18:35" x14ac:dyDescent="0.3">
      <c r="R220" s="85"/>
      <c r="S220" s="85"/>
      <c r="T220" s="85"/>
      <c r="W220" s="85"/>
      <c r="X220" s="85"/>
      <c r="Y220" s="85"/>
      <c r="AB220" s="85"/>
      <c r="AC220" s="85"/>
      <c r="AD220" s="85"/>
      <c r="AG220" s="85"/>
      <c r="AH220" s="85"/>
      <c r="AI220" s="85"/>
    </row>
    <row r="221" spans="18:35" x14ac:dyDescent="0.3">
      <c r="R221" s="85"/>
      <c r="S221" s="85"/>
      <c r="T221" s="85"/>
      <c r="W221" s="85"/>
      <c r="X221" s="85"/>
      <c r="Y221" s="85"/>
      <c r="AB221" s="85"/>
      <c r="AC221" s="85"/>
      <c r="AD221" s="85"/>
      <c r="AG221" s="85"/>
      <c r="AH221" s="85"/>
      <c r="AI221" s="85"/>
    </row>
    <row r="222" spans="18:35" x14ac:dyDescent="0.3">
      <c r="R222" s="85"/>
      <c r="S222" s="85"/>
      <c r="T222" s="85"/>
      <c r="W222" s="85"/>
      <c r="X222" s="85"/>
      <c r="Y222" s="85"/>
      <c r="AB222" s="85"/>
      <c r="AC222" s="85"/>
      <c r="AD222" s="85"/>
      <c r="AG222" s="85"/>
      <c r="AH222" s="85"/>
      <c r="AI222" s="85"/>
    </row>
    <row r="223" spans="18:35" x14ac:dyDescent="0.3">
      <c r="R223" s="85"/>
      <c r="S223" s="85"/>
      <c r="T223" s="85"/>
      <c r="W223" s="85"/>
      <c r="X223" s="85"/>
      <c r="Y223" s="85"/>
      <c r="AB223" s="85"/>
      <c r="AC223" s="85"/>
      <c r="AD223" s="85"/>
      <c r="AG223" s="85"/>
      <c r="AH223" s="85"/>
      <c r="AI223" s="85"/>
    </row>
    <row r="224" spans="18:35" x14ac:dyDescent="0.3">
      <c r="R224" s="85"/>
      <c r="S224" s="85"/>
      <c r="T224" s="85"/>
      <c r="W224" s="85"/>
      <c r="X224" s="85"/>
      <c r="Y224" s="85"/>
      <c r="AB224" s="85"/>
      <c r="AC224" s="85"/>
      <c r="AD224" s="85"/>
      <c r="AG224" s="85"/>
      <c r="AH224" s="85"/>
      <c r="AI224" s="85"/>
    </row>
    <row r="225" spans="18:35" x14ac:dyDescent="0.3">
      <c r="R225" s="85"/>
      <c r="S225" s="85"/>
      <c r="T225" s="85"/>
      <c r="W225" s="85"/>
      <c r="X225" s="85"/>
      <c r="Y225" s="85"/>
      <c r="AB225" s="85"/>
      <c r="AC225" s="85"/>
      <c r="AD225" s="85"/>
      <c r="AG225" s="85"/>
      <c r="AH225" s="85"/>
      <c r="AI225" s="85"/>
    </row>
    <row r="226" spans="18:35" x14ac:dyDescent="0.3">
      <c r="R226" s="85"/>
      <c r="S226" s="85"/>
      <c r="T226" s="85"/>
      <c r="W226" s="85"/>
      <c r="X226" s="85"/>
      <c r="Y226" s="85"/>
      <c r="AB226" s="85"/>
      <c r="AC226" s="85"/>
      <c r="AD226" s="85"/>
      <c r="AG226" s="85"/>
      <c r="AH226" s="85"/>
      <c r="AI226" s="85"/>
    </row>
    <row r="227" spans="18:35" x14ac:dyDescent="0.3">
      <c r="R227" s="85"/>
      <c r="S227" s="85"/>
      <c r="T227" s="85"/>
      <c r="W227" s="85"/>
      <c r="X227" s="85"/>
      <c r="Y227" s="85"/>
      <c r="AB227" s="85"/>
      <c r="AC227" s="85"/>
      <c r="AD227" s="85"/>
      <c r="AG227" s="85"/>
      <c r="AH227" s="85"/>
      <c r="AI227" s="85"/>
    </row>
    <row r="228" spans="18:35" x14ac:dyDescent="0.3">
      <c r="R228" s="85"/>
      <c r="S228" s="85"/>
      <c r="T228" s="85"/>
      <c r="W228" s="85"/>
      <c r="X228" s="85"/>
      <c r="Y228" s="85"/>
      <c r="AB228" s="85"/>
      <c r="AC228" s="85"/>
      <c r="AD228" s="85"/>
      <c r="AG228" s="85"/>
      <c r="AH228" s="85"/>
      <c r="AI228" s="85"/>
    </row>
    <row r="229" spans="18:35" x14ac:dyDescent="0.3">
      <c r="R229" s="85"/>
      <c r="S229" s="85"/>
      <c r="T229" s="85"/>
      <c r="W229" s="85"/>
      <c r="X229" s="85"/>
      <c r="Y229" s="85"/>
      <c r="AB229" s="85"/>
      <c r="AC229" s="85"/>
      <c r="AD229" s="85"/>
      <c r="AG229" s="85"/>
      <c r="AH229" s="85"/>
      <c r="AI229" s="85"/>
    </row>
    <row r="230" spans="18:35" x14ac:dyDescent="0.3">
      <c r="R230" s="85"/>
      <c r="S230" s="85"/>
      <c r="T230" s="85"/>
      <c r="W230" s="85"/>
      <c r="X230" s="85"/>
      <c r="Y230" s="85"/>
      <c r="AB230" s="85"/>
      <c r="AC230" s="85"/>
      <c r="AD230" s="85"/>
      <c r="AG230" s="85"/>
      <c r="AH230" s="85"/>
      <c r="AI230" s="85"/>
    </row>
    <row r="231" spans="18:35" x14ac:dyDescent="0.3">
      <c r="R231" s="85"/>
      <c r="S231" s="85"/>
      <c r="T231" s="85"/>
      <c r="W231" s="85"/>
      <c r="X231" s="85"/>
      <c r="Y231" s="85"/>
      <c r="AB231" s="85"/>
      <c r="AC231" s="85"/>
      <c r="AD231" s="85"/>
      <c r="AG231" s="85"/>
      <c r="AH231" s="85"/>
      <c r="AI231" s="85"/>
    </row>
    <row r="232" spans="18:35" x14ac:dyDescent="0.3">
      <c r="R232" s="85"/>
      <c r="S232" s="85"/>
      <c r="T232" s="85"/>
      <c r="W232" s="85"/>
      <c r="X232" s="85"/>
      <c r="Y232" s="85"/>
      <c r="AB232" s="85"/>
      <c r="AC232" s="85"/>
      <c r="AD232" s="85"/>
      <c r="AG232" s="85"/>
      <c r="AH232" s="85"/>
      <c r="AI232" s="85"/>
    </row>
    <row r="233" spans="18:35" x14ac:dyDescent="0.3">
      <c r="R233" s="85"/>
      <c r="S233" s="85"/>
      <c r="T233" s="85"/>
      <c r="W233" s="85"/>
      <c r="X233" s="85"/>
      <c r="Y233" s="85"/>
      <c r="AB233" s="85"/>
      <c r="AC233" s="85"/>
      <c r="AD233" s="85"/>
      <c r="AG233" s="85"/>
      <c r="AH233" s="85"/>
      <c r="AI233" s="85"/>
    </row>
    <row r="234" spans="18:35" x14ac:dyDescent="0.3">
      <c r="R234" s="85"/>
      <c r="S234" s="85"/>
      <c r="T234" s="85"/>
      <c r="W234" s="85"/>
      <c r="X234" s="85"/>
      <c r="Y234" s="85"/>
      <c r="AB234" s="85"/>
      <c r="AC234" s="85"/>
      <c r="AD234" s="85"/>
      <c r="AG234" s="85"/>
      <c r="AH234" s="85"/>
      <c r="AI234" s="85"/>
    </row>
    <row r="235" spans="18:35" x14ac:dyDescent="0.3">
      <c r="R235" s="85"/>
      <c r="S235" s="85"/>
      <c r="T235" s="85"/>
      <c r="W235" s="85"/>
      <c r="X235" s="85"/>
      <c r="Y235" s="85"/>
      <c r="AB235" s="85"/>
      <c r="AC235" s="85"/>
      <c r="AD235" s="85"/>
      <c r="AG235" s="85"/>
      <c r="AH235" s="85"/>
      <c r="AI235" s="85"/>
    </row>
    <row r="236" spans="18:35" x14ac:dyDescent="0.3">
      <c r="R236" s="85"/>
      <c r="S236" s="85"/>
      <c r="T236" s="85"/>
      <c r="W236" s="85"/>
      <c r="X236" s="85"/>
      <c r="Y236" s="85"/>
      <c r="AB236" s="85"/>
      <c r="AC236" s="85"/>
      <c r="AD236" s="85"/>
      <c r="AG236" s="85"/>
      <c r="AH236" s="85"/>
      <c r="AI236" s="85"/>
    </row>
    <row r="237" spans="18:35" x14ac:dyDescent="0.3">
      <c r="R237" s="85"/>
      <c r="S237" s="85"/>
      <c r="T237" s="85"/>
      <c r="W237" s="85"/>
      <c r="X237" s="85"/>
      <c r="Y237" s="85"/>
      <c r="AB237" s="85"/>
      <c r="AC237" s="85"/>
      <c r="AD237" s="85"/>
      <c r="AG237" s="85"/>
      <c r="AH237" s="85"/>
      <c r="AI237" s="85"/>
    </row>
    <row r="238" spans="18:35" x14ac:dyDescent="0.3">
      <c r="R238" s="85"/>
      <c r="S238" s="85"/>
      <c r="T238" s="85"/>
      <c r="W238" s="85"/>
      <c r="X238" s="85"/>
      <c r="Y238" s="85"/>
      <c r="AB238" s="85"/>
      <c r="AC238" s="85"/>
      <c r="AD238" s="85"/>
      <c r="AG238" s="85"/>
      <c r="AH238" s="85"/>
      <c r="AI238" s="85"/>
    </row>
    <row r="239" spans="18:35" x14ac:dyDescent="0.3">
      <c r="R239" s="85"/>
      <c r="S239" s="85"/>
      <c r="T239" s="85"/>
      <c r="W239" s="85"/>
      <c r="X239" s="85"/>
      <c r="Y239" s="85"/>
      <c r="AB239" s="85"/>
      <c r="AC239" s="85"/>
      <c r="AD239" s="85"/>
      <c r="AG239" s="85"/>
      <c r="AH239" s="85"/>
      <c r="AI239" s="85"/>
    </row>
    <row r="240" spans="18:35" x14ac:dyDescent="0.3">
      <c r="R240" s="85"/>
      <c r="S240" s="85"/>
      <c r="T240" s="85"/>
      <c r="W240" s="85"/>
      <c r="X240" s="85"/>
      <c r="Y240" s="85"/>
      <c r="AB240" s="85"/>
      <c r="AC240" s="85"/>
      <c r="AD240" s="85"/>
      <c r="AG240" s="85"/>
      <c r="AH240" s="85"/>
      <c r="AI240" s="85"/>
    </row>
    <row r="241" spans="18:35" x14ac:dyDescent="0.3">
      <c r="R241" s="85"/>
      <c r="S241" s="85"/>
      <c r="T241" s="85"/>
      <c r="W241" s="85"/>
      <c r="X241" s="85"/>
      <c r="Y241" s="85"/>
      <c r="AB241" s="85"/>
      <c r="AC241" s="85"/>
      <c r="AD241" s="85"/>
      <c r="AG241" s="85"/>
      <c r="AH241" s="85"/>
      <c r="AI241" s="85"/>
    </row>
    <row r="242" spans="18:35" x14ac:dyDescent="0.3">
      <c r="R242" s="85"/>
      <c r="S242" s="85"/>
      <c r="T242" s="85"/>
      <c r="W242" s="85"/>
      <c r="X242" s="85"/>
      <c r="Y242" s="85"/>
      <c r="AB242" s="85"/>
      <c r="AC242" s="85"/>
      <c r="AD242" s="85"/>
      <c r="AG242" s="85"/>
      <c r="AH242" s="85"/>
      <c r="AI242" s="85"/>
    </row>
    <row r="243" spans="18:35" x14ac:dyDescent="0.3">
      <c r="R243" s="85"/>
      <c r="S243" s="85"/>
      <c r="T243" s="85"/>
      <c r="W243" s="85"/>
      <c r="X243" s="85"/>
      <c r="Y243" s="85"/>
      <c r="AB243" s="85"/>
      <c r="AC243" s="85"/>
      <c r="AD243" s="85"/>
      <c r="AG243" s="85"/>
      <c r="AH243" s="85"/>
      <c r="AI243" s="85"/>
    </row>
    <row r="244" spans="18:35" x14ac:dyDescent="0.3">
      <c r="R244" s="85"/>
      <c r="S244" s="85"/>
      <c r="T244" s="85"/>
      <c r="W244" s="85"/>
      <c r="X244" s="85"/>
      <c r="Y244" s="85"/>
      <c r="AB244" s="85"/>
      <c r="AC244" s="85"/>
      <c r="AD244" s="85"/>
      <c r="AG244" s="85"/>
      <c r="AH244" s="85"/>
      <c r="AI244" s="85"/>
    </row>
    <row r="245" spans="18:35" x14ac:dyDescent="0.3">
      <c r="R245" s="85"/>
      <c r="S245" s="85"/>
      <c r="T245" s="85"/>
      <c r="W245" s="85"/>
      <c r="X245" s="85"/>
      <c r="Y245" s="85"/>
      <c r="AB245" s="85"/>
      <c r="AC245" s="85"/>
      <c r="AD245" s="85"/>
      <c r="AG245" s="85"/>
      <c r="AH245" s="85"/>
      <c r="AI245" s="85"/>
    </row>
    <row r="246" spans="18:35" x14ac:dyDescent="0.3">
      <c r="R246" s="85"/>
      <c r="S246" s="85"/>
      <c r="T246" s="85"/>
      <c r="W246" s="85"/>
      <c r="X246" s="85"/>
      <c r="Y246" s="85"/>
      <c r="AB246" s="85"/>
      <c r="AC246" s="85"/>
      <c r="AD246" s="85"/>
      <c r="AG246" s="85"/>
      <c r="AH246" s="85"/>
      <c r="AI246" s="85"/>
    </row>
    <row r="247" spans="18:35" x14ac:dyDescent="0.3">
      <c r="R247" s="85"/>
      <c r="S247" s="85"/>
      <c r="T247" s="85"/>
      <c r="W247" s="85"/>
      <c r="X247" s="85"/>
      <c r="Y247" s="85"/>
      <c r="AB247" s="85"/>
      <c r="AC247" s="85"/>
      <c r="AD247" s="85"/>
      <c r="AG247" s="85"/>
      <c r="AH247" s="85"/>
      <c r="AI247" s="85"/>
    </row>
    <row r="248" spans="18:35" x14ac:dyDescent="0.3">
      <c r="R248" s="85"/>
      <c r="S248" s="85"/>
      <c r="T248" s="85"/>
      <c r="W248" s="85"/>
      <c r="X248" s="85"/>
      <c r="Y248" s="85"/>
      <c r="AB248" s="85"/>
      <c r="AC248" s="85"/>
      <c r="AD248" s="85"/>
      <c r="AG248" s="85"/>
      <c r="AH248" s="85"/>
      <c r="AI248" s="85"/>
    </row>
    <row r="249" spans="18:35" x14ac:dyDescent="0.3">
      <c r="R249" s="85"/>
      <c r="S249" s="85"/>
      <c r="T249" s="85"/>
      <c r="W249" s="85"/>
      <c r="X249" s="85"/>
      <c r="Y249" s="85"/>
      <c r="AB249" s="85"/>
      <c r="AC249" s="85"/>
      <c r="AD249" s="85"/>
      <c r="AG249" s="85"/>
      <c r="AH249" s="85"/>
      <c r="AI249" s="85"/>
    </row>
    <row r="250" spans="18:35" x14ac:dyDescent="0.3">
      <c r="R250" s="85"/>
      <c r="S250" s="85"/>
      <c r="T250" s="85"/>
      <c r="W250" s="85"/>
      <c r="X250" s="85"/>
      <c r="Y250" s="85"/>
      <c r="AB250" s="85"/>
      <c r="AC250" s="85"/>
      <c r="AD250" s="85"/>
      <c r="AG250" s="85"/>
      <c r="AH250" s="85"/>
      <c r="AI250" s="85"/>
    </row>
    <row r="251" spans="18:35" x14ac:dyDescent="0.3">
      <c r="R251" s="85"/>
      <c r="S251" s="85"/>
      <c r="T251" s="85"/>
      <c r="W251" s="85"/>
      <c r="X251" s="85"/>
      <c r="Y251" s="85"/>
      <c r="AB251" s="85"/>
      <c r="AC251" s="85"/>
      <c r="AD251" s="85"/>
      <c r="AG251" s="85"/>
      <c r="AH251" s="85"/>
      <c r="AI251" s="85"/>
    </row>
    <row r="252" spans="18:35" x14ac:dyDescent="0.3">
      <c r="R252" s="85"/>
      <c r="S252" s="85"/>
      <c r="T252" s="85"/>
      <c r="W252" s="85"/>
      <c r="X252" s="85"/>
      <c r="Y252" s="85"/>
      <c r="AB252" s="85"/>
      <c r="AC252" s="85"/>
      <c r="AD252" s="85"/>
      <c r="AG252" s="85"/>
      <c r="AH252" s="85"/>
      <c r="AI252" s="85"/>
    </row>
    <row r="253" spans="18:35" x14ac:dyDescent="0.3">
      <c r="R253" s="85"/>
      <c r="S253" s="85"/>
      <c r="T253" s="85"/>
      <c r="W253" s="85"/>
      <c r="X253" s="85"/>
      <c r="Y253" s="85"/>
      <c r="AB253" s="85"/>
      <c r="AC253" s="85"/>
      <c r="AD253" s="85"/>
      <c r="AG253" s="85"/>
      <c r="AH253" s="85"/>
      <c r="AI253" s="85"/>
    </row>
    <row r="254" spans="18:35" x14ac:dyDescent="0.3">
      <c r="R254" s="85"/>
      <c r="S254" s="85"/>
      <c r="T254" s="85"/>
      <c r="W254" s="85"/>
      <c r="X254" s="85"/>
      <c r="Y254" s="85"/>
      <c r="AB254" s="85"/>
      <c r="AC254" s="85"/>
      <c r="AD254" s="85"/>
      <c r="AG254" s="85"/>
      <c r="AH254" s="85"/>
      <c r="AI254" s="85"/>
    </row>
    <row r="255" spans="18:35" x14ac:dyDescent="0.3">
      <c r="R255" s="85"/>
      <c r="S255" s="85"/>
      <c r="T255" s="85"/>
      <c r="W255" s="85"/>
      <c r="X255" s="85"/>
      <c r="Y255" s="85"/>
      <c r="AB255" s="85"/>
      <c r="AC255" s="85"/>
      <c r="AD255" s="85"/>
      <c r="AG255" s="85"/>
      <c r="AH255" s="85"/>
      <c r="AI255" s="85"/>
    </row>
    <row r="256" spans="18:35" x14ac:dyDescent="0.3">
      <c r="R256" s="85"/>
      <c r="S256" s="85"/>
      <c r="T256" s="85"/>
      <c r="W256" s="85"/>
      <c r="X256" s="85"/>
      <c r="Y256" s="85"/>
      <c r="AB256" s="85"/>
      <c r="AC256" s="85"/>
      <c r="AD256" s="85"/>
      <c r="AG256" s="85"/>
      <c r="AH256" s="85"/>
      <c r="AI256" s="85"/>
    </row>
    <row r="257" spans="18:35" x14ac:dyDescent="0.3">
      <c r="R257" s="85"/>
      <c r="S257" s="85"/>
      <c r="T257" s="85"/>
      <c r="W257" s="85"/>
      <c r="X257" s="85"/>
      <c r="Y257" s="85"/>
      <c r="AB257" s="85"/>
      <c r="AC257" s="85"/>
      <c r="AD257" s="85"/>
      <c r="AG257" s="85"/>
      <c r="AH257" s="85"/>
      <c r="AI257" s="85"/>
    </row>
    <row r="258" spans="18:35" x14ac:dyDescent="0.3">
      <c r="R258" s="85"/>
      <c r="S258" s="85"/>
      <c r="T258" s="85"/>
      <c r="W258" s="85"/>
      <c r="X258" s="85"/>
      <c r="Y258" s="85"/>
      <c r="AB258" s="85"/>
      <c r="AC258" s="85"/>
      <c r="AD258" s="85"/>
      <c r="AG258" s="85"/>
      <c r="AH258" s="85"/>
      <c r="AI258" s="85"/>
    </row>
    <row r="259" spans="18:35" x14ac:dyDescent="0.3">
      <c r="R259" s="85"/>
      <c r="S259" s="85"/>
      <c r="T259" s="85"/>
      <c r="W259" s="85"/>
      <c r="X259" s="85"/>
      <c r="Y259" s="85"/>
      <c r="AB259" s="85"/>
      <c r="AC259" s="85"/>
      <c r="AD259" s="85"/>
      <c r="AG259" s="85"/>
      <c r="AH259" s="85"/>
      <c r="AI259" s="85"/>
    </row>
    <row r="260" spans="18:35" x14ac:dyDescent="0.3">
      <c r="R260" s="85"/>
      <c r="S260" s="85"/>
      <c r="T260" s="85"/>
      <c r="W260" s="85"/>
      <c r="X260" s="85"/>
      <c r="Y260" s="85"/>
      <c r="AB260" s="85"/>
      <c r="AC260" s="85"/>
      <c r="AD260" s="85"/>
      <c r="AG260" s="85"/>
      <c r="AH260" s="85"/>
      <c r="AI260" s="85"/>
    </row>
    <row r="261" spans="18:35" x14ac:dyDescent="0.3">
      <c r="R261" s="85"/>
      <c r="S261" s="85"/>
      <c r="T261" s="85"/>
      <c r="W261" s="85"/>
      <c r="X261" s="85"/>
      <c r="Y261" s="85"/>
      <c r="AB261" s="85"/>
      <c r="AC261" s="85"/>
      <c r="AD261" s="85"/>
      <c r="AG261" s="85"/>
      <c r="AH261" s="85"/>
      <c r="AI261" s="85"/>
    </row>
    <row r="262" spans="18:35" x14ac:dyDescent="0.3">
      <c r="R262" s="85"/>
      <c r="S262" s="85"/>
      <c r="T262" s="85"/>
      <c r="W262" s="85"/>
      <c r="X262" s="85"/>
      <c r="Y262" s="85"/>
      <c r="AB262" s="85"/>
      <c r="AC262" s="85"/>
      <c r="AD262" s="85"/>
      <c r="AG262" s="85"/>
      <c r="AH262" s="85"/>
      <c r="AI262" s="85"/>
    </row>
    <row r="263" spans="18:35" x14ac:dyDescent="0.3">
      <c r="R263" s="85"/>
      <c r="S263" s="85"/>
      <c r="T263" s="85"/>
      <c r="W263" s="85"/>
      <c r="X263" s="85"/>
      <c r="Y263" s="85"/>
      <c r="AB263" s="85"/>
      <c r="AC263" s="85"/>
      <c r="AD263" s="85"/>
      <c r="AG263" s="85"/>
      <c r="AH263" s="85"/>
      <c r="AI263" s="85"/>
    </row>
    <row r="264" spans="18:35" x14ac:dyDescent="0.3">
      <c r="R264" s="85"/>
      <c r="S264" s="85"/>
      <c r="T264" s="85"/>
      <c r="W264" s="85"/>
      <c r="X264" s="85"/>
      <c r="Y264" s="85"/>
      <c r="AB264" s="85"/>
      <c r="AC264" s="85"/>
      <c r="AD264" s="85"/>
      <c r="AG264" s="85"/>
      <c r="AH264" s="85"/>
      <c r="AI264" s="85"/>
    </row>
    <row r="265" spans="18:35" x14ac:dyDescent="0.3">
      <c r="R265" s="85"/>
      <c r="S265" s="85"/>
      <c r="T265" s="85"/>
      <c r="W265" s="85"/>
      <c r="X265" s="85"/>
      <c r="Y265" s="85"/>
      <c r="AB265" s="85"/>
      <c r="AC265" s="85"/>
      <c r="AD265" s="85"/>
      <c r="AG265" s="85"/>
      <c r="AH265" s="85"/>
      <c r="AI265" s="85"/>
    </row>
    <row r="266" spans="18:35" x14ac:dyDescent="0.3">
      <c r="R266" s="85"/>
      <c r="S266" s="85"/>
      <c r="T266" s="85"/>
      <c r="W266" s="85"/>
      <c r="X266" s="85"/>
      <c r="Y266" s="85"/>
      <c r="AB266" s="85"/>
      <c r="AC266" s="85"/>
      <c r="AD266" s="85"/>
      <c r="AG266" s="85"/>
      <c r="AH266" s="85"/>
      <c r="AI266" s="85"/>
    </row>
    <row r="267" spans="18:35" x14ac:dyDescent="0.3">
      <c r="R267" s="85"/>
      <c r="S267" s="85"/>
      <c r="T267" s="85"/>
      <c r="W267" s="85"/>
      <c r="X267" s="85"/>
      <c r="Y267" s="85"/>
      <c r="AB267" s="85"/>
      <c r="AC267" s="85"/>
      <c r="AD267" s="85"/>
      <c r="AG267" s="85"/>
      <c r="AH267" s="85"/>
      <c r="AI267" s="85"/>
    </row>
    <row r="268" spans="18:35" x14ac:dyDescent="0.3">
      <c r="R268" s="85"/>
      <c r="S268" s="85"/>
      <c r="T268" s="85"/>
      <c r="W268" s="85"/>
      <c r="X268" s="85"/>
      <c r="Y268" s="85"/>
      <c r="AB268" s="85"/>
      <c r="AC268" s="85"/>
      <c r="AD268" s="85"/>
      <c r="AG268" s="85"/>
      <c r="AH268" s="85"/>
      <c r="AI268" s="85"/>
    </row>
    <row r="269" spans="18:35" x14ac:dyDescent="0.3">
      <c r="R269" s="85"/>
      <c r="S269" s="85"/>
      <c r="T269" s="85"/>
      <c r="W269" s="85"/>
      <c r="X269" s="85"/>
      <c r="Y269" s="85"/>
      <c r="AB269" s="85"/>
      <c r="AC269" s="85"/>
      <c r="AD269" s="85"/>
      <c r="AG269" s="85"/>
      <c r="AH269" s="85"/>
      <c r="AI269" s="85"/>
    </row>
    <row r="270" spans="18:35" x14ac:dyDescent="0.3">
      <c r="R270" s="85"/>
      <c r="S270" s="85"/>
      <c r="T270" s="85"/>
      <c r="W270" s="85"/>
      <c r="X270" s="85"/>
      <c r="Y270" s="85"/>
      <c r="AB270" s="85"/>
      <c r="AC270" s="85"/>
      <c r="AD270" s="85"/>
      <c r="AG270" s="85"/>
      <c r="AH270" s="85"/>
      <c r="AI270" s="85"/>
    </row>
    <row r="271" spans="18:35" x14ac:dyDescent="0.3">
      <c r="R271" s="85"/>
      <c r="S271" s="85"/>
      <c r="T271" s="85"/>
      <c r="W271" s="85"/>
      <c r="X271" s="85"/>
      <c r="Y271" s="85"/>
      <c r="AB271" s="85"/>
      <c r="AC271" s="85"/>
      <c r="AD271" s="85"/>
      <c r="AG271" s="85"/>
      <c r="AH271" s="85"/>
      <c r="AI271" s="85"/>
    </row>
    <row r="272" spans="18:35" x14ac:dyDescent="0.3">
      <c r="R272" s="85"/>
      <c r="S272" s="85"/>
      <c r="T272" s="85"/>
      <c r="W272" s="85"/>
      <c r="X272" s="85"/>
      <c r="Y272" s="85"/>
      <c r="AB272" s="85"/>
      <c r="AC272" s="85"/>
      <c r="AD272" s="85"/>
      <c r="AG272" s="85"/>
      <c r="AH272" s="85"/>
      <c r="AI272" s="85"/>
    </row>
    <row r="273" spans="18:35" x14ac:dyDescent="0.3">
      <c r="R273" s="85"/>
      <c r="S273" s="85"/>
      <c r="T273" s="85"/>
      <c r="W273" s="85"/>
      <c r="X273" s="85"/>
      <c r="Y273" s="85"/>
      <c r="AB273" s="85"/>
      <c r="AC273" s="85"/>
      <c r="AD273" s="85"/>
      <c r="AG273" s="85"/>
      <c r="AH273" s="85"/>
      <c r="AI273" s="85"/>
    </row>
    <row r="274" spans="18:35" x14ac:dyDescent="0.3">
      <c r="R274" s="85"/>
      <c r="S274" s="85"/>
      <c r="T274" s="85"/>
      <c r="W274" s="85"/>
      <c r="X274" s="85"/>
      <c r="Y274" s="85"/>
      <c r="AB274" s="85"/>
      <c r="AC274" s="85"/>
      <c r="AD274" s="85"/>
      <c r="AG274" s="85"/>
      <c r="AH274" s="85"/>
      <c r="AI274" s="85"/>
    </row>
    <row r="275" spans="18:35" x14ac:dyDescent="0.3">
      <c r="R275" s="85"/>
      <c r="S275" s="85"/>
      <c r="T275" s="85"/>
      <c r="W275" s="85"/>
      <c r="X275" s="85"/>
      <c r="Y275" s="85"/>
      <c r="AB275" s="85"/>
      <c r="AC275" s="85"/>
      <c r="AD275" s="85"/>
      <c r="AG275" s="85"/>
      <c r="AH275" s="85"/>
      <c r="AI275" s="85"/>
    </row>
    <row r="276" spans="18:35" x14ac:dyDescent="0.3">
      <c r="R276" s="85"/>
      <c r="S276" s="85"/>
      <c r="T276" s="85"/>
      <c r="W276" s="85"/>
      <c r="X276" s="85"/>
      <c r="Y276" s="85"/>
      <c r="AB276" s="85"/>
      <c r="AC276" s="85"/>
      <c r="AD276" s="85"/>
      <c r="AG276" s="85"/>
      <c r="AH276" s="85"/>
      <c r="AI276" s="85"/>
    </row>
    <row r="277" spans="18:35" x14ac:dyDescent="0.3">
      <c r="R277" s="85"/>
      <c r="S277" s="85"/>
      <c r="T277" s="85"/>
      <c r="W277" s="85"/>
      <c r="X277" s="85"/>
      <c r="Y277" s="85"/>
      <c r="AB277" s="85"/>
      <c r="AC277" s="85"/>
      <c r="AD277" s="85"/>
      <c r="AG277" s="85"/>
      <c r="AH277" s="85"/>
      <c r="AI277" s="85"/>
    </row>
    <row r="278" spans="18:35" x14ac:dyDescent="0.3">
      <c r="R278" s="85"/>
      <c r="S278" s="85"/>
      <c r="T278" s="85"/>
      <c r="W278" s="85"/>
      <c r="X278" s="85"/>
      <c r="Y278" s="85"/>
      <c r="AB278" s="85"/>
      <c r="AC278" s="85"/>
      <c r="AD278" s="85"/>
      <c r="AG278" s="85"/>
      <c r="AH278" s="85"/>
      <c r="AI278" s="85"/>
    </row>
    <row r="279" spans="18:35" x14ac:dyDescent="0.3">
      <c r="R279" s="85"/>
      <c r="S279" s="85"/>
      <c r="T279" s="85"/>
      <c r="W279" s="85"/>
      <c r="X279" s="85"/>
      <c r="Y279" s="85"/>
      <c r="AB279" s="85"/>
      <c r="AC279" s="85"/>
      <c r="AD279" s="85"/>
      <c r="AG279" s="85"/>
      <c r="AH279" s="85"/>
      <c r="AI279" s="85"/>
    </row>
    <row r="280" spans="18:35" x14ac:dyDescent="0.3">
      <c r="R280" s="85"/>
      <c r="S280" s="85"/>
      <c r="T280" s="85"/>
      <c r="W280" s="85"/>
      <c r="X280" s="85"/>
      <c r="Y280" s="85"/>
      <c r="AB280" s="85"/>
      <c r="AC280" s="85"/>
      <c r="AD280" s="85"/>
      <c r="AG280" s="85"/>
      <c r="AH280" s="85"/>
      <c r="AI280" s="85"/>
    </row>
    <row r="281" spans="18:35" x14ac:dyDescent="0.3">
      <c r="R281" s="85"/>
      <c r="S281" s="85"/>
      <c r="T281" s="85"/>
      <c r="W281" s="85"/>
      <c r="X281" s="85"/>
      <c r="Y281" s="85"/>
      <c r="AB281" s="85"/>
      <c r="AC281" s="85"/>
      <c r="AD281" s="85"/>
      <c r="AG281" s="85"/>
      <c r="AH281" s="85"/>
      <c r="AI281" s="85"/>
    </row>
    <row r="282" spans="18:35" x14ac:dyDescent="0.3">
      <c r="R282" s="85"/>
      <c r="S282" s="85"/>
      <c r="T282" s="85"/>
      <c r="W282" s="85"/>
      <c r="X282" s="85"/>
      <c r="Y282" s="85"/>
      <c r="AB282" s="85"/>
      <c r="AC282" s="85"/>
      <c r="AD282" s="85"/>
      <c r="AG282" s="85"/>
      <c r="AH282" s="85"/>
      <c r="AI282" s="85"/>
    </row>
    <row r="283" spans="18:35" x14ac:dyDescent="0.3">
      <c r="R283" s="85"/>
      <c r="S283" s="85"/>
      <c r="T283" s="85"/>
      <c r="W283" s="85"/>
      <c r="X283" s="85"/>
      <c r="Y283" s="85"/>
      <c r="AB283" s="85"/>
      <c r="AC283" s="85"/>
      <c r="AD283" s="85"/>
      <c r="AG283" s="85"/>
      <c r="AH283" s="85"/>
      <c r="AI283" s="85"/>
    </row>
    <row r="284" spans="18:35" x14ac:dyDescent="0.3">
      <c r="R284" s="85"/>
      <c r="S284" s="85"/>
      <c r="T284" s="85"/>
      <c r="W284" s="85"/>
      <c r="X284" s="85"/>
      <c r="Y284" s="85"/>
      <c r="AB284" s="85"/>
      <c r="AC284" s="85"/>
      <c r="AD284" s="85"/>
      <c r="AG284" s="85"/>
      <c r="AH284" s="85"/>
      <c r="AI284" s="85"/>
    </row>
    <row r="285" spans="18:35" x14ac:dyDescent="0.3">
      <c r="R285" s="85"/>
      <c r="S285" s="85"/>
      <c r="T285" s="85"/>
      <c r="W285" s="85"/>
      <c r="X285" s="85"/>
      <c r="Y285" s="85"/>
      <c r="AB285" s="85"/>
      <c r="AC285" s="85"/>
      <c r="AD285" s="85"/>
      <c r="AG285" s="85"/>
      <c r="AH285" s="85"/>
      <c r="AI285" s="85"/>
    </row>
    <row r="286" spans="18:35" x14ac:dyDescent="0.3">
      <c r="R286" s="85"/>
      <c r="S286" s="85"/>
      <c r="T286" s="85"/>
      <c r="W286" s="85"/>
      <c r="X286" s="85"/>
      <c r="Y286" s="85"/>
      <c r="AB286" s="85"/>
      <c r="AC286" s="85"/>
      <c r="AD286" s="85"/>
      <c r="AG286" s="85"/>
      <c r="AH286" s="85"/>
      <c r="AI286" s="85"/>
    </row>
    <row r="287" spans="18:35" x14ac:dyDescent="0.3">
      <c r="R287" s="85"/>
      <c r="S287" s="85"/>
      <c r="T287" s="85"/>
      <c r="W287" s="85"/>
      <c r="X287" s="85"/>
      <c r="Y287" s="85"/>
      <c r="AB287" s="85"/>
      <c r="AC287" s="85"/>
      <c r="AD287" s="85"/>
      <c r="AG287" s="85"/>
      <c r="AH287" s="85"/>
      <c r="AI287" s="85"/>
    </row>
    <row r="288" spans="18:35" x14ac:dyDescent="0.3">
      <c r="R288" s="85"/>
      <c r="S288" s="85"/>
      <c r="T288" s="85"/>
      <c r="W288" s="85"/>
      <c r="X288" s="85"/>
      <c r="Y288" s="85"/>
      <c r="AB288" s="85"/>
      <c r="AC288" s="85"/>
      <c r="AD288" s="85"/>
      <c r="AG288" s="85"/>
      <c r="AH288" s="85"/>
      <c r="AI288" s="85"/>
    </row>
    <row r="289" spans="18:35" x14ac:dyDescent="0.3">
      <c r="R289" s="85"/>
      <c r="S289" s="85"/>
      <c r="T289" s="85"/>
      <c r="W289" s="85"/>
      <c r="X289" s="85"/>
      <c r="Y289" s="85"/>
      <c r="AB289" s="85"/>
      <c r="AC289" s="85"/>
      <c r="AD289" s="85"/>
      <c r="AG289" s="85"/>
      <c r="AH289" s="85"/>
      <c r="AI289" s="85"/>
    </row>
    <row r="290" spans="18:35" x14ac:dyDescent="0.3">
      <c r="R290" s="85"/>
      <c r="S290" s="85"/>
      <c r="T290" s="85"/>
      <c r="W290" s="85"/>
      <c r="X290" s="85"/>
      <c r="Y290" s="85"/>
      <c r="AB290" s="85"/>
      <c r="AC290" s="85"/>
      <c r="AD290" s="85"/>
      <c r="AG290" s="85"/>
      <c r="AH290" s="85"/>
      <c r="AI290" s="85"/>
    </row>
    <row r="291" spans="18:35" x14ac:dyDescent="0.3">
      <c r="R291" s="85"/>
      <c r="S291" s="85"/>
      <c r="T291" s="85"/>
      <c r="W291" s="85"/>
      <c r="X291" s="85"/>
      <c r="Y291" s="85"/>
      <c r="AB291" s="85"/>
      <c r="AC291" s="85"/>
      <c r="AD291" s="85"/>
      <c r="AG291" s="85"/>
      <c r="AH291" s="85"/>
      <c r="AI291" s="85"/>
    </row>
    <row r="292" spans="18:35" x14ac:dyDescent="0.3">
      <c r="R292" s="85"/>
      <c r="S292" s="85"/>
      <c r="T292" s="85"/>
      <c r="W292" s="85"/>
      <c r="X292" s="85"/>
      <c r="Y292" s="85"/>
      <c r="AB292" s="85"/>
      <c r="AC292" s="85"/>
      <c r="AD292" s="85"/>
      <c r="AG292" s="85"/>
      <c r="AH292" s="85"/>
      <c r="AI292" s="85"/>
    </row>
    <row r="293" spans="18:35" x14ac:dyDescent="0.3">
      <c r="R293" s="85"/>
      <c r="S293" s="85"/>
      <c r="T293" s="85"/>
      <c r="W293" s="85"/>
      <c r="X293" s="85"/>
      <c r="Y293" s="85"/>
      <c r="AB293" s="85"/>
      <c r="AC293" s="85"/>
      <c r="AD293" s="85"/>
      <c r="AG293" s="85"/>
      <c r="AH293" s="85"/>
      <c r="AI293" s="85"/>
    </row>
    <row r="294" spans="18:35" x14ac:dyDescent="0.3">
      <c r="R294" s="85"/>
      <c r="S294" s="85"/>
      <c r="T294" s="85"/>
      <c r="W294" s="85"/>
      <c r="X294" s="85"/>
      <c r="Y294" s="85"/>
      <c r="AB294" s="85"/>
      <c r="AC294" s="85"/>
      <c r="AD294" s="85"/>
      <c r="AG294" s="85"/>
      <c r="AH294" s="85"/>
      <c r="AI294" s="85"/>
    </row>
    <row r="295" spans="18:35" x14ac:dyDescent="0.3">
      <c r="R295" s="85"/>
      <c r="S295" s="85"/>
      <c r="T295" s="85"/>
      <c r="W295" s="85"/>
      <c r="X295" s="85"/>
      <c r="Y295" s="85"/>
      <c r="AB295" s="85"/>
      <c r="AC295" s="85"/>
      <c r="AD295" s="85"/>
      <c r="AG295" s="85"/>
      <c r="AH295" s="85"/>
      <c r="AI295" s="85"/>
    </row>
    <row r="296" spans="18:35" x14ac:dyDescent="0.3">
      <c r="R296" s="85"/>
      <c r="S296" s="85"/>
      <c r="T296" s="85"/>
      <c r="W296" s="85"/>
      <c r="X296" s="85"/>
      <c r="Y296" s="85"/>
      <c r="AB296" s="85"/>
      <c r="AC296" s="85"/>
      <c r="AD296" s="85"/>
      <c r="AG296" s="85"/>
      <c r="AH296" s="85"/>
      <c r="AI296" s="85"/>
    </row>
    <row r="297" spans="18:35" x14ac:dyDescent="0.3">
      <c r="R297" s="85"/>
      <c r="S297" s="85"/>
      <c r="T297" s="85"/>
      <c r="W297" s="85"/>
      <c r="X297" s="85"/>
      <c r="Y297" s="85"/>
      <c r="AB297" s="85"/>
      <c r="AC297" s="85"/>
      <c r="AD297" s="85"/>
      <c r="AG297" s="85"/>
      <c r="AH297" s="85"/>
      <c r="AI297" s="85"/>
    </row>
    <row r="298" spans="18:35" x14ac:dyDescent="0.3">
      <c r="R298" s="85"/>
      <c r="S298" s="85"/>
      <c r="T298" s="85"/>
      <c r="W298" s="85"/>
      <c r="X298" s="85"/>
      <c r="Y298" s="85"/>
      <c r="AB298" s="85"/>
      <c r="AC298" s="85"/>
      <c r="AD298" s="85"/>
      <c r="AG298" s="85"/>
      <c r="AH298" s="85"/>
      <c r="AI298" s="85"/>
    </row>
    <row r="299" spans="18:35" x14ac:dyDescent="0.3">
      <c r="R299" s="85"/>
      <c r="S299" s="85"/>
      <c r="T299" s="85"/>
      <c r="W299" s="85"/>
      <c r="X299" s="85"/>
      <c r="Y299" s="85"/>
      <c r="AB299" s="85"/>
      <c r="AC299" s="85"/>
      <c r="AD299" s="85"/>
      <c r="AG299" s="85"/>
      <c r="AH299" s="85"/>
      <c r="AI299" s="85"/>
    </row>
    <row r="300" spans="18:35" x14ac:dyDescent="0.3">
      <c r="R300" s="85"/>
      <c r="S300" s="85"/>
      <c r="T300" s="85"/>
      <c r="W300" s="85"/>
      <c r="X300" s="85"/>
      <c r="Y300" s="85"/>
      <c r="AB300" s="85"/>
      <c r="AC300" s="85"/>
      <c r="AD300" s="85"/>
      <c r="AG300" s="85"/>
      <c r="AH300" s="85"/>
      <c r="AI300" s="85"/>
    </row>
    <row r="301" spans="18:35" x14ac:dyDescent="0.3">
      <c r="R301" s="85"/>
      <c r="S301" s="85"/>
      <c r="T301" s="85"/>
      <c r="W301" s="85"/>
      <c r="X301" s="85"/>
      <c r="Y301" s="85"/>
      <c r="AB301" s="85"/>
      <c r="AC301" s="85"/>
      <c r="AD301" s="85"/>
      <c r="AG301" s="85"/>
      <c r="AH301" s="85"/>
      <c r="AI301" s="85"/>
    </row>
    <row r="302" spans="18:35" x14ac:dyDescent="0.3">
      <c r="R302" s="85"/>
      <c r="S302" s="85"/>
      <c r="T302" s="85"/>
      <c r="W302" s="85"/>
      <c r="X302" s="85"/>
      <c r="Y302" s="85"/>
      <c r="AB302" s="85"/>
      <c r="AC302" s="85"/>
      <c r="AD302" s="85"/>
      <c r="AG302" s="85"/>
      <c r="AH302" s="85"/>
      <c r="AI302" s="85"/>
    </row>
    <row r="303" spans="18:35" x14ac:dyDescent="0.3">
      <c r="R303" s="85"/>
      <c r="S303" s="85"/>
      <c r="T303" s="85"/>
      <c r="W303" s="85"/>
      <c r="X303" s="85"/>
      <c r="Y303" s="85"/>
      <c r="AB303" s="85"/>
      <c r="AC303" s="85"/>
      <c r="AD303" s="85"/>
      <c r="AG303" s="85"/>
      <c r="AH303" s="85"/>
      <c r="AI303" s="85"/>
    </row>
    <row r="304" spans="18:35" x14ac:dyDescent="0.3">
      <c r="R304" s="85"/>
      <c r="S304" s="85"/>
      <c r="T304" s="85"/>
      <c r="W304" s="85"/>
      <c r="X304" s="85"/>
      <c r="Y304" s="85"/>
      <c r="AB304" s="85"/>
      <c r="AC304" s="85"/>
      <c r="AD304" s="85"/>
      <c r="AG304" s="85"/>
      <c r="AH304" s="85"/>
      <c r="AI304" s="85"/>
    </row>
    <row r="305" spans="18:35" x14ac:dyDescent="0.3">
      <c r="R305" s="85"/>
      <c r="S305" s="85"/>
      <c r="T305" s="85"/>
      <c r="W305" s="85"/>
      <c r="X305" s="85"/>
      <c r="Y305" s="85"/>
      <c r="AB305" s="85"/>
      <c r="AC305" s="85"/>
      <c r="AD305" s="85"/>
      <c r="AG305" s="85"/>
      <c r="AH305" s="85"/>
      <c r="AI305" s="85"/>
    </row>
    <row r="306" spans="18:35" x14ac:dyDescent="0.3">
      <c r="R306" s="85"/>
      <c r="S306" s="85"/>
      <c r="T306" s="85"/>
      <c r="W306" s="85"/>
      <c r="X306" s="85"/>
      <c r="Y306" s="85"/>
      <c r="AB306" s="85"/>
      <c r="AC306" s="85"/>
      <c r="AD306" s="85"/>
      <c r="AG306" s="85"/>
      <c r="AH306" s="85"/>
      <c r="AI306" s="85"/>
    </row>
    <row r="307" spans="18:35" x14ac:dyDescent="0.3">
      <c r="R307" s="85"/>
      <c r="S307" s="85"/>
      <c r="T307" s="85"/>
      <c r="W307" s="85"/>
      <c r="X307" s="85"/>
      <c r="Y307" s="85"/>
      <c r="AB307" s="85"/>
      <c r="AC307" s="85"/>
      <c r="AD307" s="85"/>
      <c r="AG307" s="85"/>
      <c r="AH307" s="85"/>
      <c r="AI307" s="85"/>
    </row>
    <row r="308" spans="18:35" x14ac:dyDescent="0.3">
      <c r="R308" s="85"/>
      <c r="S308" s="85"/>
      <c r="T308" s="85"/>
      <c r="W308" s="85"/>
      <c r="X308" s="85"/>
      <c r="Y308" s="85"/>
      <c r="AB308" s="85"/>
      <c r="AC308" s="85"/>
      <c r="AD308" s="85"/>
      <c r="AG308" s="85"/>
      <c r="AH308" s="85"/>
      <c r="AI308" s="85"/>
    </row>
    <row r="309" spans="18:35" x14ac:dyDescent="0.3">
      <c r="R309" s="85"/>
      <c r="S309" s="85"/>
      <c r="T309" s="85"/>
      <c r="W309" s="85"/>
      <c r="X309" s="85"/>
      <c r="Y309" s="85"/>
      <c r="AB309" s="85"/>
      <c r="AC309" s="85"/>
      <c r="AD309" s="85"/>
      <c r="AG309" s="85"/>
      <c r="AH309" s="85"/>
      <c r="AI309" s="85"/>
    </row>
    <row r="310" spans="18:35" x14ac:dyDescent="0.3">
      <c r="R310" s="85"/>
      <c r="S310" s="85"/>
      <c r="T310" s="85"/>
      <c r="W310" s="85"/>
      <c r="X310" s="85"/>
      <c r="Y310" s="85"/>
      <c r="AB310" s="85"/>
      <c r="AC310" s="85"/>
      <c r="AD310" s="85"/>
      <c r="AG310" s="85"/>
      <c r="AH310" s="85"/>
      <c r="AI310" s="85"/>
    </row>
    <row r="311" spans="18:35" x14ac:dyDescent="0.3">
      <c r="R311" s="85"/>
      <c r="S311" s="85"/>
      <c r="T311" s="85"/>
      <c r="W311" s="85"/>
      <c r="X311" s="85"/>
      <c r="Y311" s="85"/>
      <c r="AB311" s="85"/>
      <c r="AC311" s="85"/>
      <c r="AD311" s="85"/>
      <c r="AG311" s="85"/>
      <c r="AH311" s="85"/>
      <c r="AI311" s="85"/>
    </row>
    <row r="312" spans="18:35" x14ac:dyDescent="0.3">
      <c r="R312" s="85"/>
      <c r="S312" s="85"/>
      <c r="T312" s="85"/>
      <c r="W312" s="85"/>
      <c r="X312" s="85"/>
      <c r="Y312" s="85"/>
      <c r="AB312" s="85"/>
      <c r="AC312" s="85"/>
      <c r="AD312" s="85"/>
      <c r="AG312" s="85"/>
      <c r="AH312" s="85"/>
      <c r="AI312" s="85"/>
    </row>
    <row r="313" spans="18:35" x14ac:dyDescent="0.3">
      <c r="R313" s="85"/>
      <c r="S313" s="85"/>
      <c r="T313" s="85"/>
      <c r="W313" s="85"/>
      <c r="X313" s="85"/>
      <c r="Y313" s="85"/>
      <c r="AB313" s="85"/>
      <c r="AC313" s="85"/>
      <c r="AD313" s="85"/>
      <c r="AG313" s="85"/>
      <c r="AH313" s="85"/>
      <c r="AI313" s="85"/>
    </row>
    <row r="314" spans="18:35" x14ac:dyDescent="0.3">
      <c r="R314" s="85"/>
      <c r="S314" s="85"/>
      <c r="T314" s="85"/>
      <c r="W314" s="85"/>
      <c r="X314" s="85"/>
      <c r="Y314" s="85"/>
      <c r="AB314" s="85"/>
      <c r="AC314" s="85"/>
      <c r="AD314" s="85"/>
      <c r="AG314" s="85"/>
      <c r="AH314" s="85"/>
      <c r="AI314" s="85"/>
    </row>
    <row r="315" spans="18:35" x14ac:dyDescent="0.3">
      <c r="R315" s="85"/>
      <c r="S315" s="85"/>
      <c r="T315" s="85"/>
      <c r="W315" s="85"/>
      <c r="X315" s="85"/>
      <c r="Y315" s="85"/>
      <c r="AB315" s="85"/>
      <c r="AC315" s="85"/>
      <c r="AD315" s="85"/>
      <c r="AG315" s="85"/>
      <c r="AH315" s="85"/>
      <c r="AI315" s="85"/>
    </row>
    <row r="316" spans="18:35" x14ac:dyDescent="0.3">
      <c r="R316" s="85"/>
      <c r="S316" s="85"/>
      <c r="T316" s="85"/>
      <c r="W316" s="85"/>
      <c r="X316" s="85"/>
      <c r="Y316" s="85"/>
      <c r="AB316" s="85"/>
      <c r="AC316" s="85"/>
      <c r="AD316" s="85"/>
      <c r="AG316" s="85"/>
      <c r="AH316" s="85"/>
      <c r="AI316" s="85"/>
    </row>
    <row r="317" spans="18:35" x14ac:dyDescent="0.3">
      <c r="R317" s="85"/>
      <c r="S317" s="85"/>
      <c r="T317" s="85"/>
      <c r="W317" s="85"/>
      <c r="X317" s="85"/>
      <c r="Y317" s="85"/>
      <c r="AB317" s="85"/>
      <c r="AC317" s="85"/>
      <c r="AD317" s="85"/>
      <c r="AG317" s="85"/>
      <c r="AH317" s="85"/>
      <c r="AI317" s="85"/>
    </row>
    <row r="318" spans="18:35" x14ac:dyDescent="0.3">
      <c r="R318" s="85"/>
      <c r="S318" s="85"/>
      <c r="T318" s="85"/>
      <c r="W318" s="85"/>
      <c r="X318" s="85"/>
      <c r="Y318" s="85"/>
      <c r="AB318" s="85"/>
      <c r="AC318" s="85"/>
      <c r="AD318" s="85"/>
      <c r="AG318" s="85"/>
      <c r="AH318" s="85"/>
      <c r="AI318" s="85"/>
    </row>
    <row r="319" spans="18:35" x14ac:dyDescent="0.3">
      <c r="R319" s="85"/>
      <c r="S319" s="85"/>
      <c r="T319" s="85"/>
      <c r="W319" s="85"/>
      <c r="X319" s="85"/>
      <c r="Y319" s="85"/>
      <c r="AB319" s="85"/>
      <c r="AC319" s="85"/>
      <c r="AD319" s="85"/>
      <c r="AG319" s="85"/>
      <c r="AH319" s="85"/>
      <c r="AI319" s="85"/>
    </row>
    <row r="320" spans="18:35" x14ac:dyDescent="0.3">
      <c r="R320" s="85"/>
      <c r="S320" s="85"/>
      <c r="T320" s="85"/>
      <c r="W320" s="85"/>
      <c r="X320" s="85"/>
      <c r="Y320" s="85"/>
      <c r="AB320" s="85"/>
      <c r="AC320" s="85"/>
      <c r="AD320" s="85"/>
      <c r="AG320" s="85"/>
      <c r="AH320" s="85"/>
      <c r="AI320" s="85"/>
    </row>
    <row r="321" spans="18:35" x14ac:dyDescent="0.3">
      <c r="R321" s="85"/>
      <c r="S321" s="85"/>
      <c r="T321" s="85"/>
      <c r="W321" s="85"/>
      <c r="X321" s="85"/>
      <c r="Y321" s="85"/>
      <c r="AB321" s="85"/>
      <c r="AC321" s="85"/>
      <c r="AD321" s="85"/>
      <c r="AG321" s="85"/>
      <c r="AH321" s="85"/>
      <c r="AI321" s="85"/>
    </row>
    <row r="322" spans="18:35" x14ac:dyDescent="0.3">
      <c r="R322" s="85"/>
      <c r="S322" s="85"/>
      <c r="T322" s="85"/>
      <c r="W322" s="85"/>
      <c r="X322" s="85"/>
      <c r="Y322" s="85"/>
      <c r="AB322" s="85"/>
      <c r="AC322" s="85"/>
      <c r="AD322" s="85"/>
      <c r="AG322" s="85"/>
      <c r="AH322" s="85"/>
      <c r="AI322" s="85"/>
    </row>
    <row r="323" spans="18:35" x14ac:dyDescent="0.3">
      <c r="R323" s="85"/>
      <c r="S323" s="85"/>
      <c r="T323" s="85"/>
      <c r="W323" s="85"/>
      <c r="X323" s="85"/>
      <c r="Y323" s="85"/>
      <c r="AB323" s="85"/>
      <c r="AC323" s="85"/>
      <c r="AD323" s="85"/>
      <c r="AG323" s="85"/>
      <c r="AH323" s="85"/>
      <c r="AI323" s="85"/>
    </row>
    <row r="324" spans="18:35" x14ac:dyDescent="0.3">
      <c r="R324" s="85"/>
      <c r="S324" s="85"/>
      <c r="T324" s="85"/>
      <c r="W324" s="85"/>
      <c r="X324" s="85"/>
      <c r="Y324" s="85"/>
      <c r="AB324" s="85"/>
      <c r="AC324" s="85"/>
      <c r="AD324" s="85"/>
      <c r="AG324" s="85"/>
      <c r="AH324" s="85"/>
      <c r="AI324" s="85"/>
    </row>
    <row r="325" spans="18:35" x14ac:dyDescent="0.3">
      <c r="R325" s="85"/>
      <c r="S325" s="85"/>
      <c r="T325" s="85"/>
      <c r="W325" s="85"/>
      <c r="X325" s="85"/>
      <c r="Y325" s="85"/>
      <c r="AB325" s="85"/>
      <c r="AC325" s="85"/>
      <c r="AD325" s="85"/>
      <c r="AG325" s="85"/>
      <c r="AH325" s="85"/>
      <c r="AI325" s="85"/>
    </row>
    <row r="326" spans="18:35" x14ac:dyDescent="0.3">
      <c r="R326" s="85"/>
      <c r="S326" s="85"/>
      <c r="T326" s="85"/>
      <c r="W326" s="85"/>
      <c r="X326" s="85"/>
      <c r="Y326" s="85"/>
      <c r="AB326" s="85"/>
      <c r="AC326" s="85"/>
      <c r="AD326" s="85"/>
      <c r="AG326" s="85"/>
      <c r="AH326" s="85"/>
      <c r="AI326" s="85"/>
    </row>
    <row r="327" spans="18:35" x14ac:dyDescent="0.3">
      <c r="R327" s="85"/>
      <c r="S327" s="85"/>
      <c r="T327" s="85"/>
      <c r="W327" s="85"/>
      <c r="X327" s="85"/>
      <c r="Y327" s="85"/>
      <c r="AB327" s="85"/>
      <c r="AC327" s="85"/>
      <c r="AD327" s="85"/>
      <c r="AG327" s="85"/>
      <c r="AH327" s="85"/>
      <c r="AI327" s="85"/>
    </row>
    <row r="328" spans="18:35" x14ac:dyDescent="0.3">
      <c r="R328" s="85"/>
      <c r="S328" s="85"/>
      <c r="T328" s="85"/>
      <c r="W328" s="85"/>
      <c r="X328" s="85"/>
      <c r="Y328" s="85"/>
      <c r="AB328" s="85"/>
      <c r="AC328" s="85"/>
      <c r="AD328" s="85"/>
      <c r="AG328" s="85"/>
      <c r="AH328" s="85"/>
      <c r="AI328" s="85"/>
    </row>
    <row r="329" spans="18:35" x14ac:dyDescent="0.3">
      <c r="R329" s="85"/>
      <c r="S329" s="85"/>
      <c r="T329" s="85"/>
      <c r="W329" s="85"/>
      <c r="X329" s="85"/>
      <c r="Y329" s="85"/>
      <c r="AB329" s="85"/>
      <c r="AC329" s="85"/>
      <c r="AD329" s="85"/>
      <c r="AG329" s="85"/>
      <c r="AH329" s="85"/>
      <c r="AI329" s="85"/>
    </row>
    <row r="330" spans="18:35" x14ac:dyDescent="0.3">
      <c r="R330" s="85"/>
      <c r="S330" s="85"/>
      <c r="T330" s="85"/>
      <c r="W330" s="85"/>
      <c r="X330" s="85"/>
      <c r="Y330" s="85"/>
      <c r="AB330" s="85"/>
      <c r="AC330" s="85"/>
      <c r="AD330" s="85"/>
      <c r="AG330" s="85"/>
      <c r="AH330" s="85"/>
      <c r="AI330" s="85"/>
    </row>
    <row r="331" spans="18:35" x14ac:dyDescent="0.3">
      <c r="R331" s="85"/>
      <c r="S331" s="85"/>
      <c r="T331" s="85"/>
      <c r="W331" s="85"/>
      <c r="X331" s="85"/>
      <c r="Y331" s="85"/>
      <c r="AB331" s="85"/>
      <c r="AC331" s="85"/>
      <c r="AD331" s="85"/>
      <c r="AG331" s="85"/>
      <c r="AH331" s="85"/>
      <c r="AI331" s="85"/>
    </row>
    <row r="332" spans="18:35" x14ac:dyDescent="0.3">
      <c r="R332" s="85"/>
      <c r="S332" s="85"/>
      <c r="T332" s="85"/>
      <c r="W332" s="85"/>
      <c r="X332" s="85"/>
      <c r="Y332" s="85"/>
      <c r="AB332" s="85"/>
      <c r="AC332" s="85"/>
      <c r="AD332" s="85"/>
      <c r="AG332" s="85"/>
      <c r="AH332" s="85"/>
      <c r="AI332" s="85"/>
    </row>
    <row r="333" spans="18:35" x14ac:dyDescent="0.3">
      <c r="R333" s="85"/>
      <c r="S333" s="85"/>
      <c r="T333" s="85"/>
      <c r="W333" s="85"/>
      <c r="X333" s="85"/>
      <c r="Y333" s="85"/>
      <c r="AB333" s="85"/>
      <c r="AC333" s="85"/>
      <c r="AD333" s="85"/>
      <c r="AG333" s="85"/>
      <c r="AH333" s="85"/>
      <c r="AI333" s="85"/>
    </row>
    <row r="334" spans="18:35" x14ac:dyDescent="0.3">
      <c r="R334" s="85"/>
      <c r="S334" s="85"/>
      <c r="T334" s="85"/>
      <c r="W334" s="85"/>
      <c r="X334" s="85"/>
      <c r="Y334" s="85"/>
      <c r="AB334" s="85"/>
      <c r="AC334" s="85"/>
      <c r="AD334" s="85"/>
      <c r="AG334" s="85"/>
      <c r="AH334" s="85"/>
      <c r="AI334" s="85"/>
    </row>
    <row r="335" spans="18:35" x14ac:dyDescent="0.3">
      <c r="R335" s="85"/>
      <c r="S335" s="85"/>
      <c r="T335" s="85"/>
      <c r="W335" s="85"/>
      <c r="X335" s="85"/>
      <c r="Y335" s="85"/>
      <c r="AB335" s="85"/>
      <c r="AC335" s="85"/>
      <c r="AD335" s="85"/>
      <c r="AG335" s="85"/>
      <c r="AH335" s="85"/>
      <c r="AI335" s="85"/>
    </row>
    <row r="336" spans="18:35" x14ac:dyDescent="0.3">
      <c r="R336" s="85"/>
      <c r="S336" s="85"/>
      <c r="T336" s="85"/>
      <c r="W336" s="85"/>
      <c r="X336" s="85"/>
      <c r="Y336" s="85"/>
      <c r="AB336" s="85"/>
      <c r="AC336" s="85"/>
      <c r="AD336" s="85"/>
      <c r="AG336" s="85"/>
      <c r="AH336" s="85"/>
      <c r="AI336" s="85"/>
    </row>
    <row r="337" spans="18:35" x14ac:dyDescent="0.3">
      <c r="R337" s="85"/>
      <c r="S337" s="85"/>
      <c r="T337" s="85"/>
      <c r="W337" s="85"/>
      <c r="X337" s="85"/>
      <c r="Y337" s="85"/>
      <c r="AB337" s="85"/>
      <c r="AC337" s="85"/>
      <c r="AD337" s="85"/>
      <c r="AG337" s="85"/>
      <c r="AH337" s="85"/>
      <c r="AI337" s="85"/>
    </row>
    <row r="338" spans="18:35" x14ac:dyDescent="0.3">
      <c r="R338" s="85"/>
      <c r="S338" s="85"/>
      <c r="T338" s="85"/>
      <c r="W338" s="85"/>
      <c r="X338" s="85"/>
      <c r="Y338" s="85"/>
      <c r="AB338" s="85"/>
      <c r="AC338" s="85"/>
      <c r="AD338" s="85"/>
      <c r="AG338" s="85"/>
      <c r="AH338" s="85"/>
      <c r="AI338" s="85"/>
    </row>
    <row r="339" spans="18:35" x14ac:dyDescent="0.3">
      <c r="R339" s="85"/>
      <c r="S339" s="85"/>
      <c r="T339" s="85"/>
      <c r="W339" s="85"/>
      <c r="X339" s="85"/>
      <c r="Y339" s="85"/>
      <c r="AB339" s="85"/>
      <c r="AC339" s="85"/>
      <c r="AD339" s="85"/>
      <c r="AG339" s="85"/>
      <c r="AH339" s="85"/>
      <c r="AI339" s="85"/>
    </row>
    <row r="340" spans="18:35" x14ac:dyDescent="0.3">
      <c r="R340" s="85"/>
      <c r="S340" s="85"/>
      <c r="T340" s="85"/>
      <c r="W340" s="85"/>
      <c r="X340" s="85"/>
      <c r="Y340" s="85"/>
      <c r="AB340" s="85"/>
      <c r="AC340" s="85"/>
      <c r="AD340" s="85"/>
      <c r="AG340" s="85"/>
      <c r="AH340" s="85"/>
      <c r="AI340" s="85"/>
    </row>
    <row r="341" spans="18:35" x14ac:dyDescent="0.3">
      <c r="R341" s="85"/>
      <c r="S341" s="85"/>
      <c r="T341" s="85"/>
      <c r="W341" s="85"/>
      <c r="X341" s="85"/>
      <c r="Y341" s="85"/>
      <c r="AB341" s="85"/>
      <c r="AC341" s="85"/>
      <c r="AD341" s="85"/>
      <c r="AG341" s="85"/>
      <c r="AH341" s="85"/>
      <c r="AI341" s="85"/>
    </row>
    <row r="342" spans="18:35" x14ac:dyDescent="0.3">
      <c r="R342" s="85"/>
      <c r="S342" s="85"/>
      <c r="T342" s="85"/>
      <c r="W342" s="85"/>
      <c r="X342" s="85"/>
      <c r="Y342" s="85"/>
      <c r="AB342" s="85"/>
      <c r="AC342" s="85"/>
      <c r="AD342" s="85"/>
      <c r="AG342" s="85"/>
      <c r="AH342" s="85"/>
      <c r="AI342" s="85"/>
    </row>
    <row r="343" spans="18:35" x14ac:dyDescent="0.3">
      <c r="R343" s="85"/>
      <c r="S343" s="85"/>
      <c r="T343" s="85"/>
      <c r="W343" s="85"/>
      <c r="X343" s="85"/>
      <c r="Y343" s="85"/>
      <c r="AB343" s="85"/>
      <c r="AC343" s="85"/>
      <c r="AD343" s="85"/>
      <c r="AG343" s="85"/>
      <c r="AH343" s="85"/>
      <c r="AI343" s="85"/>
    </row>
    <row r="344" spans="18:35" x14ac:dyDescent="0.3">
      <c r="R344" s="85"/>
      <c r="S344" s="85"/>
      <c r="T344" s="85"/>
      <c r="W344" s="85"/>
      <c r="X344" s="85"/>
      <c r="Y344" s="85"/>
      <c r="AB344" s="85"/>
      <c r="AC344" s="85"/>
      <c r="AD344" s="85"/>
      <c r="AG344" s="85"/>
      <c r="AH344" s="85"/>
      <c r="AI344" s="85"/>
    </row>
    <row r="345" spans="18:35" x14ac:dyDescent="0.3">
      <c r="R345" s="85"/>
      <c r="S345" s="85"/>
      <c r="T345" s="85"/>
      <c r="W345" s="85"/>
      <c r="X345" s="85"/>
      <c r="Y345" s="85"/>
      <c r="AB345" s="85"/>
      <c r="AC345" s="85"/>
      <c r="AD345" s="85"/>
      <c r="AG345" s="85"/>
      <c r="AH345" s="85"/>
      <c r="AI345" s="85"/>
    </row>
    <row r="346" spans="18:35" x14ac:dyDescent="0.3">
      <c r="R346" s="85"/>
      <c r="S346" s="85"/>
      <c r="T346" s="85"/>
      <c r="W346" s="85"/>
      <c r="X346" s="85"/>
      <c r="Y346" s="85"/>
      <c r="AB346" s="85"/>
      <c r="AC346" s="85"/>
      <c r="AD346" s="85"/>
      <c r="AG346" s="85"/>
      <c r="AH346" s="85"/>
      <c r="AI346" s="85"/>
    </row>
    <row r="347" spans="18:35" x14ac:dyDescent="0.3">
      <c r="R347" s="85"/>
      <c r="S347" s="85"/>
      <c r="T347" s="85"/>
      <c r="W347" s="85"/>
      <c r="X347" s="85"/>
      <c r="Y347" s="85"/>
      <c r="AB347" s="85"/>
      <c r="AC347" s="85"/>
      <c r="AD347" s="85"/>
      <c r="AG347" s="85"/>
      <c r="AH347" s="85"/>
      <c r="AI347" s="85"/>
    </row>
    <row r="348" spans="18:35" x14ac:dyDescent="0.3">
      <c r="R348" s="85"/>
      <c r="S348" s="85"/>
      <c r="T348" s="85"/>
      <c r="W348" s="85"/>
      <c r="X348" s="85"/>
      <c r="Y348" s="85"/>
      <c r="AB348" s="85"/>
      <c r="AC348" s="85"/>
      <c r="AD348" s="85"/>
      <c r="AG348" s="85"/>
      <c r="AH348" s="85"/>
      <c r="AI348" s="85"/>
    </row>
    <row r="349" spans="18:35" x14ac:dyDescent="0.3">
      <c r="R349" s="85"/>
      <c r="S349" s="85"/>
      <c r="T349" s="85"/>
      <c r="W349" s="85"/>
      <c r="X349" s="85"/>
      <c r="Y349" s="85"/>
      <c r="AB349" s="85"/>
      <c r="AC349" s="85"/>
      <c r="AD349" s="85"/>
      <c r="AG349" s="85"/>
      <c r="AH349" s="85"/>
      <c r="AI349" s="85"/>
    </row>
    <row r="350" spans="18:35" x14ac:dyDescent="0.3">
      <c r="R350" s="85"/>
      <c r="S350" s="85"/>
      <c r="T350" s="85"/>
      <c r="W350" s="85"/>
      <c r="X350" s="85"/>
      <c r="Y350" s="85"/>
      <c r="AB350" s="85"/>
      <c r="AC350" s="85"/>
      <c r="AD350" s="85"/>
      <c r="AG350" s="85"/>
      <c r="AH350" s="85"/>
      <c r="AI350" s="85"/>
    </row>
    <row r="351" spans="18:35" x14ac:dyDescent="0.3">
      <c r="R351" s="85"/>
      <c r="S351" s="85"/>
      <c r="T351" s="85"/>
      <c r="W351" s="85"/>
      <c r="X351" s="85"/>
      <c r="Y351" s="85"/>
      <c r="AB351" s="85"/>
      <c r="AC351" s="85"/>
      <c r="AD351" s="85"/>
      <c r="AG351" s="85"/>
      <c r="AH351" s="85"/>
      <c r="AI351" s="85"/>
    </row>
    <row r="352" spans="18:35" x14ac:dyDescent="0.3">
      <c r="R352" s="85"/>
      <c r="S352" s="85"/>
      <c r="T352" s="85"/>
      <c r="W352" s="85"/>
      <c r="X352" s="85"/>
      <c r="Y352" s="85"/>
      <c r="AB352" s="85"/>
      <c r="AC352" s="85"/>
      <c r="AD352" s="85"/>
      <c r="AG352" s="85"/>
      <c r="AH352" s="85"/>
      <c r="AI352" s="85"/>
    </row>
    <row r="353" spans="18:35" x14ac:dyDescent="0.3">
      <c r="R353" s="85"/>
      <c r="S353" s="85"/>
      <c r="T353" s="85"/>
      <c r="W353" s="85"/>
      <c r="X353" s="85"/>
      <c r="Y353" s="85"/>
      <c r="AB353" s="85"/>
      <c r="AC353" s="85"/>
      <c r="AD353" s="85"/>
      <c r="AG353" s="85"/>
      <c r="AH353" s="85"/>
      <c r="AI353" s="85"/>
    </row>
    <row r="354" spans="18:35" x14ac:dyDescent="0.3">
      <c r="R354" s="85"/>
      <c r="S354" s="85"/>
      <c r="T354" s="85"/>
      <c r="W354" s="85"/>
      <c r="X354" s="85"/>
      <c r="Y354" s="85"/>
      <c r="AB354" s="85"/>
      <c r="AC354" s="85"/>
      <c r="AD354" s="85"/>
      <c r="AG354" s="85"/>
      <c r="AH354" s="85"/>
      <c r="AI354" s="85"/>
    </row>
    <row r="355" spans="18:35" x14ac:dyDescent="0.3">
      <c r="R355" s="85"/>
      <c r="S355" s="85"/>
      <c r="T355" s="85"/>
      <c r="W355" s="85"/>
      <c r="X355" s="85"/>
      <c r="Y355" s="85"/>
      <c r="AB355" s="85"/>
      <c r="AC355" s="85"/>
      <c r="AD355" s="85"/>
      <c r="AG355" s="85"/>
      <c r="AH355" s="85"/>
      <c r="AI355" s="85"/>
    </row>
    <row r="356" spans="18:35" x14ac:dyDescent="0.3">
      <c r="R356" s="85"/>
      <c r="S356" s="85"/>
      <c r="T356" s="85"/>
      <c r="W356" s="85"/>
      <c r="X356" s="85"/>
      <c r="Y356" s="85"/>
      <c r="AB356" s="85"/>
      <c r="AC356" s="85"/>
      <c r="AD356" s="85"/>
      <c r="AG356" s="85"/>
      <c r="AH356" s="85"/>
      <c r="AI356" s="85"/>
    </row>
    <row r="357" spans="18:35" x14ac:dyDescent="0.3">
      <c r="R357" s="85"/>
      <c r="S357" s="85"/>
      <c r="T357" s="85"/>
      <c r="W357" s="85"/>
      <c r="X357" s="85"/>
      <c r="Y357" s="85"/>
      <c r="AB357" s="85"/>
      <c r="AC357" s="85"/>
      <c r="AD357" s="85"/>
      <c r="AG357" s="85"/>
      <c r="AH357" s="85"/>
      <c r="AI357" s="85"/>
    </row>
    <row r="358" spans="18:35" x14ac:dyDescent="0.3">
      <c r="R358" s="85"/>
      <c r="S358" s="85"/>
      <c r="T358" s="85"/>
      <c r="W358" s="85"/>
      <c r="X358" s="85"/>
      <c r="Y358" s="85"/>
      <c r="AB358" s="85"/>
      <c r="AC358" s="85"/>
      <c r="AD358" s="85"/>
      <c r="AG358" s="85"/>
      <c r="AH358" s="85"/>
      <c r="AI358" s="85"/>
    </row>
    <row r="359" spans="18:35" x14ac:dyDescent="0.3">
      <c r="R359" s="85"/>
      <c r="S359" s="85"/>
      <c r="T359" s="85"/>
      <c r="W359" s="85"/>
      <c r="X359" s="85"/>
      <c r="Y359" s="85"/>
      <c r="AB359" s="85"/>
      <c r="AC359" s="85"/>
      <c r="AD359" s="85"/>
      <c r="AG359" s="85"/>
      <c r="AH359" s="85"/>
      <c r="AI359" s="85"/>
    </row>
    <row r="360" spans="18:35" x14ac:dyDescent="0.3">
      <c r="R360" s="85"/>
      <c r="S360" s="85"/>
      <c r="T360" s="85"/>
      <c r="W360" s="85"/>
      <c r="X360" s="85"/>
      <c r="Y360" s="85"/>
      <c r="AB360" s="85"/>
      <c r="AC360" s="85"/>
      <c r="AD360" s="85"/>
      <c r="AG360" s="85"/>
      <c r="AH360" s="85"/>
      <c r="AI360" s="85"/>
    </row>
    <row r="361" spans="18:35" x14ac:dyDescent="0.3">
      <c r="R361" s="85"/>
      <c r="S361" s="85"/>
      <c r="T361" s="85"/>
      <c r="W361" s="85"/>
      <c r="X361" s="85"/>
      <c r="Y361" s="85"/>
      <c r="AB361" s="85"/>
      <c r="AC361" s="85"/>
      <c r="AD361" s="85"/>
      <c r="AG361" s="85"/>
      <c r="AH361" s="85"/>
      <c r="AI361" s="85"/>
    </row>
    <row r="362" spans="18:35" x14ac:dyDescent="0.3">
      <c r="R362" s="85"/>
      <c r="S362" s="85"/>
      <c r="T362" s="85"/>
      <c r="W362" s="85"/>
      <c r="X362" s="85"/>
      <c r="Y362" s="85"/>
      <c r="AB362" s="85"/>
      <c r="AC362" s="85"/>
      <c r="AD362" s="85"/>
      <c r="AG362" s="85"/>
      <c r="AH362" s="85"/>
      <c r="AI362" s="85"/>
    </row>
    <row r="363" spans="18:35" x14ac:dyDescent="0.3">
      <c r="R363" s="85"/>
      <c r="S363" s="85"/>
      <c r="T363" s="85"/>
      <c r="W363" s="85"/>
      <c r="X363" s="85"/>
      <c r="Y363" s="85"/>
      <c r="AB363" s="85"/>
      <c r="AC363" s="85"/>
      <c r="AD363" s="85"/>
      <c r="AG363" s="85"/>
      <c r="AH363" s="85"/>
      <c r="AI363" s="85"/>
    </row>
    <row r="364" spans="18:35" x14ac:dyDescent="0.3">
      <c r="R364" s="85"/>
      <c r="S364" s="85"/>
      <c r="T364" s="85"/>
      <c r="W364" s="85"/>
      <c r="X364" s="85"/>
      <c r="Y364" s="85"/>
      <c r="AB364" s="85"/>
      <c r="AC364" s="85"/>
      <c r="AD364" s="85"/>
      <c r="AG364" s="85"/>
      <c r="AH364" s="85"/>
      <c r="AI364" s="85"/>
    </row>
    <row r="365" spans="18:35" x14ac:dyDescent="0.3">
      <c r="R365" s="85"/>
      <c r="S365" s="85"/>
      <c r="T365" s="85"/>
      <c r="W365" s="85"/>
      <c r="X365" s="85"/>
      <c r="Y365" s="85"/>
      <c r="AB365" s="85"/>
      <c r="AC365" s="85"/>
      <c r="AD365" s="85"/>
      <c r="AG365" s="85"/>
      <c r="AH365" s="85"/>
      <c r="AI365" s="85"/>
    </row>
    <row r="366" spans="18:35" x14ac:dyDescent="0.3">
      <c r="R366" s="85"/>
      <c r="S366" s="85"/>
      <c r="T366" s="85"/>
      <c r="W366" s="85"/>
      <c r="X366" s="85"/>
      <c r="Y366" s="85"/>
      <c r="AB366" s="85"/>
      <c r="AC366" s="85"/>
      <c r="AD366" s="85"/>
      <c r="AG366" s="85"/>
      <c r="AH366" s="85"/>
      <c r="AI366" s="85"/>
    </row>
    <row r="367" spans="18:35" x14ac:dyDescent="0.3">
      <c r="R367" s="85"/>
      <c r="S367" s="85"/>
      <c r="T367" s="85"/>
      <c r="W367" s="85"/>
      <c r="X367" s="85"/>
      <c r="Y367" s="85"/>
      <c r="AB367" s="85"/>
      <c r="AC367" s="85"/>
      <c r="AD367" s="85"/>
      <c r="AG367" s="85"/>
      <c r="AH367" s="85"/>
      <c r="AI367" s="85"/>
    </row>
    <row r="368" spans="18:35" x14ac:dyDescent="0.3">
      <c r="R368" s="85"/>
      <c r="S368" s="85"/>
      <c r="T368" s="85"/>
      <c r="W368" s="85"/>
      <c r="X368" s="85"/>
      <c r="Y368" s="85"/>
      <c r="AB368" s="85"/>
      <c r="AC368" s="85"/>
      <c r="AD368" s="85"/>
      <c r="AG368" s="85"/>
      <c r="AH368" s="85"/>
      <c r="AI368" s="85"/>
    </row>
    <row r="369" spans="18:35" x14ac:dyDescent="0.3">
      <c r="R369" s="85"/>
      <c r="S369" s="85"/>
      <c r="T369" s="85"/>
      <c r="W369" s="85"/>
      <c r="X369" s="85"/>
      <c r="Y369" s="85"/>
      <c r="AB369" s="85"/>
      <c r="AC369" s="85"/>
      <c r="AD369" s="85"/>
      <c r="AG369" s="85"/>
      <c r="AH369" s="85"/>
      <c r="AI369" s="85"/>
    </row>
    <row r="370" spans="18:35" x14ac:dyDescent="0.3">
      <c r="R370" s="85"/>
      <c r="S370" s="85"/>
      <c r="T370" s="85"/>
      <c r="W370" s="85"/>
      <c r="X370" s="85"/>
      <c r="Y370" s="85"/>
      <c r="AB370" s="85"/>
      <c r="AC370" s="85"/>
      <c r="AD370" s="85"/>
      <c r="AG370" s="85"/>
      <c r="AH370" s="85"/>
      <c r="AI370" s="85"/>
    </row>
    <row r="371" spans="18:35" x14ac:dyDescent="0.3">
      <c r="R371" s="85"/>
      <c r="S371" s="85"/>
      <c r="T371" s="85"/>
      <c r="W371" s="85"/>
      <c r="X371" s="85"/>
      <c r="Y371" s="85"/>
      <c r="AB371" s="85"/>
      <c r="AC371" s="85"/>
      <c r="AD371" s="85"/>
      <c r="AG371" s="85"/>
      <c r="AH371" s="85"/>
      <c r="AI371" s="85"/>
    </row>
    <row r="372" spans="18:35" x14ac:dyDescent="0.3">
      <c r="R372" s="85"/>
      <c r="S372" s="85"/>
      <c r="T372" s="85"/>
      <c r="W372" s="85"/>
      <c r="X372" s="85"/>
      <c r="Y372" s="85"/>
      <c r="AB372" s="85"/>
      <c r="AC372" s="85"/>
      <c r="AD372" s="85"/>
      <c r="AG372" s="85"/>
      <c r="AH372" s="85"/>
      <c r="AI372" s="85"/>
    </row>
    <row r="373" spans="18:35" x14ac:dyDescent="0.3">
      <c r="R373" s="85"/>
      <c r="S373" s="85"/>
      <c r="T373" s="85"/>
      <c r="W373" s="85"/>
      <c r="X373" s="85"/>
      <c r="Y373" s="85"/>
      <c r="AB373" s="85"/>
      <c r="AC373" s="85"/>
      <c r="AD373" s="85"/>
      <c r="AG373" s="85"/>
      <c r="AH373" s="85"/>
      <c r="AI373" s="85"/>
    </row>
    <row r="374" spans="18:35" x14ac:dyDescent="0.3">
      <c r="R374" s="85"/>
      <c r="S374" s="85"/>
      <c r="T374" s="85"/>
      <c r="W374" s="85"/>
      <c r="X374" s="85"/>
      <c r="Y374" s="85"/>
      <c r="AB374" s="85"/>
      <c r="AC374" s="85"/>
      <c r="AD374" s="85"/>
      <c r="AG374" s="85"/>
      <c r="AH374" s="85"/>
      <c r="AI374" s="85"/>
    </row>
    <row r="375" spans="18:35" x14ac:dyDescent="0.3">
      <c r="R375" s="85"/>
      <c r="S375" s="85"/>
      <c r="T375" s="85"/>
      <c r="W375" s="85"/>
      <c r="X375" s="85"/>
      <c r="Y375" s="85"/>
      <c r="AB375" s="85"/>
      <c r="AC375" s="85"/>
      <c r="AD375" s="85"/>
      <c r="AG375" s="85"/>
      <c r="AH375" s="85"/>
      <c r="AI375" s="85"/>
    </row>
    <row r="376" spans="18:35" x14ac:dyDescent="0.3">
      <c r="R376" s="85"/>
      <c r="S376" s="85"/>
      <c r="T376" s="85"/>
      <c r="W376" s="85"/>
      <c r="X376" s="85"/>
      <c r="Y376" s="85"/>
      <c r="AB376" s="85"/>
      <c r="AC376" s="85"/>
      <c r="AD376" s="85"/>
      <c r="AG376" s="85"/>
      <c r="AH376" s="85"/>
      <c r="AI376" s="85"/>
    </row>
    <row r="377" spans="18:35" x14ac:dyDescent="0.3">
      <c r="R377" s="85"/>
      <c r="S377" s="85"/>
      <c r="T377" s="85"/>
      <c r="W377" s="85"/>
      <c r="X377" s="85"/>
      <c r="Y377" s="85"/>
      <c r="AB377" s="85"/>
      <c r="AC377" s="85"/>
      <c r="AD377" s="85"/>
      <c r="AG377" s="85"/>
      <c r="AH377" s="85"/>
      <c r="AI377" s="85"/>
    </row>
    <row r="378" spans="18:35" x14ac:dyDescent="0.3">
      <c r="R378" s="85"/>
      <c r="S378" s="85"/>
      <c r="T378" s="85"/>
      <c r="W378" s="85"/>
      <c r="X378" s="85"/>
      <c r="Y378" s="85"/>
      <c r="AB378" s="85"/>
      <c r="AC378" s="85"/>
      <c r="AD378" s="85"/>
      <c r="AG378" s="85"/>
      <c r="AH378" s="85"/>
      <c r="AI378" s="85"/>
    </row>
    <row r="379" spans="18:35" x14ac:dyDescent="0.3">
      <c r="R379" s="85"/>
      <c r="S379" s="85"/>
      <c r="T379" s="85"/>
      <c r="W379" s="85"/>
      <c r="X379" s="85"/>
      <c r="Y379" s="85"/>
      <c r="AB379" s="85"/>
      <c r="AC379" s="85"/>
      <c r="AD379" s="85"/>
      <c r="AG379" s="85"/>
      <c r="AH379" s="85"/>
      <c r="AI379" s="85"/>
    </row>
    <row r="380" spans="18:35" x14ac:dyDescent="0.3">
      <c r="R380" s="85"/>
      <c r="S380" s="85"/>
      <c r="T380" s="85"/>
      <c r="W380" s="85"/>
      <c r="X380" s="85"/>
      <c r="Y380" s="85"/>
      <c r="AB380" s="85"/>
      <c r="AC380" s="85"/>
      <c r="AD380" s="85"/>
      <c r="AG380" s="85"/>
      <c r="AH380" s="85"/>
      <c r="AI380" s="85"/>
    </row>
    <row r="381" spans="18:35" x14ac:dyDescent="0.3">
      <c r="R381" s="85"/>
      <c r="S381" s="85"/>
      <c r="T381" s="85"/>
      <c r="W381" s="85"/>
      <c r="X381" s="85"/>
      <c r="Y381" s="85"/>
      <c r="AB381" s="85"/>
      <c r="AC381" s="85"/>
      <c r="AD381" s="85"/>
      <c r="AG381" s="85"/>
      <c r="AH381" s="85"/>
      <c r="AI381" s="85"/>
    </row>
    <row r="382" spans="18:35" x14ac:dyDescent="0.3">
      <c r="R382" s="85"/>
      <c r="S382" s="85"/>
      <c r="T382" s="85"/>
      <c r="W382" s="85"/>
      <c r="X382" s="85"/>
      <c r="Y382" s="85"/>
      <c r="AB382" s="85"/>
      <c r="AC382" s="85"/>
      <c r="AD382" s="85"/>
      <c r="AG382" s="85"/>
      <c r="AH382" s="85"/>
      <c r="AI382" s="85"/>
    </row>
    <row r="383" spans="18:35" x14ac:dyDescent="0.3">
      <c r="R383" s="85"/>
      <c r="S383" s="85"/>
      <c r="T383" s="85"/>
      <c r="W383" s="85"/>
      <c r="X383" s="85"/>
      <c r="Y383" s="85"/>
      <c r="AB383" s="85"/>
      <c r="AC383" s="85"/>
      <c r="AD383" s="85"/>
      <c r="AG383" s="85"/>
      <c r="AH383" s="85"/>
      <c r="AI383" s="85"/>
    </row>
    <row r="384" spans="18:35" x14ac:dyDescent="0.3">
      <c r="R384" s="85"/>
      <c r="S384" s="85"/>
      <c r="T384" s="85"/>
      <c r="W384" s="85"/>
      <c r="X384" s="85"/>
      <c r="Y384" s="85"/>
      <c r="AB384" s="85"/>
      <c r="AC384" s="85"/>
      <c r="AD384" s="85"/>
      <c r="AG384" s="85"/>
      <c r="AH384" s="85"/>
      <c r="AI384" s="85"/>
    </row>
    <row r="385" spans="18:35" x14ac:dyDescent="0.3">
      <c r="R385" s="85"/>
      <c r="S385" s="85"/>
      <c r="T385" s="85"/>
      <c r="W385" s="85"/>
      <c r="X385" s="85"/>
      <c r="Y385" s="85"/>
      <c r="AB385" s="85"/>
      <c r="AC385" s="85"/>
      <c r="AD385" s="85"/>
      <c r="AG385" s="85"/>
      <c r="AH385" s="85"/>
      <c r="AI385" s="85"/>
    </row>
    <row r="386" spans="18:35" x14ac:dyDescent="0.3">
      <c r="R386" s="85"/>
      <c r="S386" s="85"/>
      <c r="T386" s="85"/>
      <c r="W386" s="85"/>
      <c r="X386" s="85"/>
      <c r="Y386" s="85"/>
      <c r="AB386" s="85"/>
      <c r="AC386" s="85"/>
      <c r="AD386" s="85"/>
      <c r="AG386" s="85"/>
      <c r="AH386" s="85"/>
      <c r="AI386" s="85"/>
    </row>
    <row r="387" spans="18:35" x14ac:dyDescent="0.3">
      <c r="R387" s="85"/>
      <c r="S387" s="85"/>
      <c r="T387" s="85"/>
      <c r="W387" s="85"/>
      <c r="X387" s="85"/>
      <c r="Y387" s="85"/>
      <c r="AB387" s="85"/>
      <c r="AC387" s="85"/>
      <c r="AD387" s="85"/>
      <c r="AG387" s="85"/>
      <c r="AH387" s="85"/>
      <c r="AI387" s="85"/>
    </row>
    <row r="388" spans="18:35" x14ac:dyDescent="0.3">
      <c r="R388" s="85"/>
      <c r="S388" s="85"/>
      <c r="T388" s="85"/>
      <c r="W388" s="85"/>
      <c r="X388" s="85"/>
      <c r="Y388" s="85"/>
      <c r="AB388" s="85"/>
      <c r="AC388" s="85"/>
      <c r="AD388" s="85"/>
      <c r="AG388" s="85"/>
      <c r="AH388" s="85"/>
      <c r="AI388" s="85"/>
    </row>
    <row r="389" spans="18:35" x14ac:dyDescent="0.3">
      <c r="R389" s="85"/>
      <c r="S389" s="85"/>
      <c r="T389" s="85"/>
      <c r="W389" s="85"/>
      <c r="X389" s="85"/>
      <c r="Y389" s="85"/>
      <c r="AB389" s="85"/>
      <c r="AC389" s="85"/>
      <c r="AD389" s="85"/>
      <c r="AG389" s="85"/>
      <c r="AH389" s="85"/>
      <c r="AI389" s="85"/>
    </row>
    <row r="390" spans="18:35" x14ac:dyDescent="0.3">
      <c r="R390" s="85"/>
      <c r="S390" s="85"/>
      <c r="T390" s="85"/>
      <c r="W390" s="85"/>
      <c r="X390" s="85"/>
      <c r="Y390" s="85"/>
      <c r="AB390" s="85"/>
      <c r="AC390" s="85"/>
      <c r="AD390" s="85"/>
      <c r="AG390" s="85"/>
      <c r="AH390" s="85"/>
      <c r="AI390" s="85"/>
    </row>
    <row r="391" spans="18:35" x14ac:dyDescent="0.3">
      <c r="R391" s="85"/>
      <c r="S391" s="85"/>
      <c r="T391" s="85"/>
      <c r="W391" s="85"/>
      <c r="X391" s="85"/>
      <c r="Y391" s="85"/>
      <c r="AB391" s="85"/>
      <c r="AC391" s="85"/>
      <c r="AD391" s="85"/>
      <c r="AG391" s="85"/>
      <c r="AH391" s="85"/>
      <c r="AI391" s="85"/>
    </row>
    <row r="392" spans="18:35" x14ac:dyDescent="0.3">
      <c r="R392" s="85"/>
      <c r="S392" s="85"/>
      <c r="T392" s="85"/>
      <c r="W392" s="85"/>
      <c r="X392" s="85"/>
      <c r="Y392" s="85"/>
      <c r="AB392" s="85"/>
      <c r="AC392" s="85"/>
      <c r="AD392" s="85"/>
      <c r="AG392" s="85"/>
      <c r="AH392" s="85"/>
      <c r="AI392" s="85"/>
    </row>
    <row r="393" spans="18:35" x14ac:dyDescent="0.3">
      <c r="R393" s="85"/>
      <c r="S393" s="85"/>
      <c r="T393" s="85"/>
      <c r="W393" s="85"/>
      <c r="X393" s="85"/>
      <c r="Y393" s="85"/>
      <c r="AB393" s="85"/>
      <c r="AC393" s="85"/>
      <c r="AD393" s="85"/>
      <c r="AG393" s="85"/>
      <c r="AH393" s="85"/>
      <c r="AI393" s="85"/>
    </row>
    <row r="394" spans="18:35" x14ac:dyDescent="0.3">
      <c r="R394" s="85"/>
      <c r="S394" s="85"/>
      <c r="T394" s="85"/>
      <c r="W394" s="85"/>
      <c r="X394" s="85"/>
      <c r="Y394" s="85"/>
      <c r="AB394" s="85"/>
      <c r="AC394" s="85"/>
      <c r="AD394" s="85"/>
      <c r="AG394" s="85"/>
      <c r="AH394" s="85"/>
      <c r="AI394" s="85"/>
    </row>
    <row r="395" spans="18:35" x14ac:dyDescent="0.3">
      <c r="R395" s="85"/>
      <c r="S395" s="85"/>
      <c r="T395" s="85"/>
      <c r="W395" s="85"/>
      <c r="X395" s="85"/>
      <c r="Y395" s="85"/>
      <c r="AB395" s="85"/>
      <c r="AC395" s="85"/>
      <c r="AD395" s="85"/>
      <c r="AG395" s="85"/>
      <c r="AH395" s="85"/>
      <c r="AI395" s="85"/>
    </row>
    <row r="396" spans="18:35" x14ac:dyDescent="0.3">
      <c r="R396" s="85"/>
      <c r="S396" s="85"/>
      <c r="T396" s="85"/>
      <c r="W396" s="85"/>
      <c r="X396" s="85"/>
      <c r="Y396" s="85"/>
      <c r="AB396" s="85"/>
      <c r="AC396" s="85"/>
      <c r="AD396" s="85"/>
      <c r="AG396" s="85"/>
      <c r="AH396" s="85"/>
      <c r="AI396" s="85"/>
    </row>
    <row r="397" spans="18:35" x14ac:dyDescent="0.3">
      <c r="R397" s="85"/>
      <c r="S397" s="85"/>
      <c r="T397" s="85"/>
      <c r="W397" s="85"/>
      <c r="X397" s="85"/>
      <c r="Y397" s="85"/>
      <c r="AB397" s="85"/>
      <c r="AC397" s="85"/>
      <c r="AD397" s="85"/>
      <c r="AG397" s="85"/>
      <c r="AH397" s="85"/>
      <c r="AI397" s="85"/>
    </row>
    <row r="398" spans="18:35" x14ac:dyDescent="0.3">
      <c r="R398" s="85"/>
      <c r="S398" s="85"/>
      <c r="T398" s="85"/>
      <c r="W398" s="85"/>
      <c r="X398" s="85"/>
      <c r="Y398" s="85"/>
      <c r="AB398" s="85"/>
      <c r="AC398" s="85"/>
      <c r="AD398" s="85"/>
      <c r="AG398" s="85"/>
      <c r="AH398" s="85"/>
      <c r="AI398" s="85"/>
    </row>
    <row r="399" spans="18:35" x14ac:dyDescent="0.3">
      <c r="R399" s="85"/>
      <c r="S399" s="85"/>
      <c r="T399" s="85"/>
      <c r="W399" s="85"/>
      <c r="X399" s="85"/>
      <c r="Y399" s="85"/>
      <c r="AB399" s="85"/>
      <c r="AC399" s="85"/>
      <c r="AD399" s="85"/>
      <c r="AG399" s="85"/>
      <c r="AH399" s="85"/>
      <c r="AI399" s="85"/>
    </row>
    <row r="400" spans="18:35" x14ac:dyDescent="0.3">
      <c r="R400" s="85"/>
      <c r="S400" s="85"/>
      <c r="T400" s="85"/>
      <c r="W400" s="85"/>
      <c r="X400" s="85"/>
      <c r="Y400" s="85"/>
      <c r="AB400" s="85"/>
      <c r="AC400" s="85"/>
      <c r="AD400" s="85"/>
      <c r="AG400" s="85"/>
      <c r="AH400" s="85"/>
      <c r="AI400" s="85"/>
    </row>
    <row r="401" spans="18:35" x14ac:dyDescent="0.3">
      <c r="R401" s="85"/>
      <c r="S401" s="85"/>
      <c r="T401" s="85"/>
      <c r="W401" s="85"/>
      <c r="X401" s="85"/>
      <c r="Y401" s="85"/>
      <c r="AB401" s="85"/>
      <c r="AC401" s="85"/>
      <c r="AD401" s="85"/>
      <c r="AG401" s="85"/>
      <c r="AH401" s="85"/>
      <c r="AI401" s="85"/>
    </row>
    <row r="402" spans="18:35" x14ac:dyDescent="0.3">
      <c r="R402" s="85"/>
      <c r="S402" s="85"/>
      <c r="T402" s="85"/>
      <c r="W402" s="85"/>
      <c r="X402" s="85"/>
      <c r="Y402" s="85"/>
      <c r="AB402" s="85"/>
      <c r="AC402" s="85"/>
      <c r="AD402" s="85"/>
      <c r="AG402" s="85"/>
      <c r="AH402" s="85"/>
      <c r="AI402" s="85"/>
    </row>
    <row r="403" spans="18:35" x14ac:dyDescent="0.3">
      <c r="R403" s="85"/>
      <c r="S403" s="85"/>
      <c r="T403" s="85"/>
      <c r="W403" s="85"/>
      <c r="X403" s="85"/>
      <c r="Y403" s="85"/>
      <c r="AB403" s="85"/>
      <c r="AC403" s="85"/>
      <c r="AD403" s="85"/>
      <c r="AG403" s="85"/>
      <c r="AH403" s="85"/>
      <c r="AI403" s="85"/>
    </row>
    <row r="404" spans="18:35" x14ac:dyDescent="0.3">
      <c r="R404" s="85"/>
      <c r="S404" s="85"/>
      <c r="T404" s="85"/>
      <c r="W404" s="85"/>
      <c r="X404" s="85"/>
      <c r="Y404" s="85"/>
      <c r="AB404" s="85"/>
      <c r="AC404" s="85"/>
      <c r="AD404" s="85"/>
      <c r="AG404" s="85"/>
      <c r="AH404" s="85"/>
      <c r="AI404" s="85"/>
    </row>
    <row r="405" spans="18:35" x14ac:dyDescent="0.3">
      <c r="R405" s="85"/>
      <c r="S405" s="85"/>
      <c r="T405" s="85"/>
      <c r="W405" s="85"/>
      <c r="X405" s="85"/>
      <c r="Y405" s="85"/>
      <c r="AB405" s="85"/>
      <c r="AC405" s="85"/>
      <c r="AD405" s="85"/>
      <c r="AG405" s="85"/>
      <c r="AH405" s="85"/>
      <c r="AI405" s="85"/>
    </row>
    <row r="406" spans="18:35" x14ac:dyDescent="0.3">
      <c r="R406" s="85"/>
      <c r="S406" s="85"/>
      <c r="T406" s="85"/>
      <c r="W406" s="85"/>
      <c r="X406" s="85"/>
      <c r="Y406" s="85"/>
      <c r="AB406" s="85"/>
      <c r="AC406" s="85"/>
      <c r="AD406" s="85"/>
      <c r="AG406" s="85"/>
      <c r="AH406" s="85"/>
      <c r="AI406" s="85"/>
    </row>
    <row r="407" spans="18:35" x14ac:dyDescent="0.3">
      <c r="R407" s="85"/>
      <c r="S407" s="85"/>
      <c r="T407" s="85"/>
      <c r="W407" s="85"/>
      <c r="X407" s="85"/>
      <c r="Y407" s="85"/>
      <c r="AB407" s="85"/>
      <c r="AC407" s="85"/>
      <c r="AD407" s="85"/>
      <c r="AG407" s="85"/>
      <c r="AH407" s="85"/>
      <c r="AI407" s="85"/>
    </row>
    <row r="408" spans="18:35" x14ac:dyDescent="0.3">
      <c r="R408" s="85"/>
      <c r="S408" s="85"/>
      <c r="T408" s="85"/>
      <c r="W408" s="85"/>
      <c r="X408" s="85"/>
      <c r="Y408" s="85"/>
      <c r="AB408" s="85"/>
      <c r="AC408" s="85"/>
      <c r="AD408" s="85"/>
      <c r="AG408" s="85"/>
      <c r="AH408" s="85"/>
      <c r="AI408" s="85"/>
    </row>
    <row r="409" spans="18:35" x14ac:dyDescent="0.3">
      <c r="R409" s="85"/>
      <c r="S409" s="85"/>
      <c r="T409" s="85"/>
      <c r="W409" s="85"/>
      <c r="X409" s="85"/>
      <c r="Y409" s="85"/>
      <c r="AB409" s="85"/>
      <c r="AC409" s="85"/>
      <c r="AD409" s="85"/>
      <c r="AG409" s="85"/>
      <c r="AH409" s="85"/>
      <c r="AI409" s="85"/>
    </row>
    <row r="410" spans="18:35" x14ac:dyDescent="0.3">
      <c r="R410" s="85"/>
      <c r="S410" s="85"/>
      <c r="T410" s="85"/>
      <c r="W410" s="85"/>
      <c r="X410" s="85"/>
      <c r="Y410" s="85"/>
      <c r="AB410" s="85"/>
      <c r="AC410" s="85"/>
      <c r="AD410" s="85"/>
      <c r="AG410" s="85"/>
      <c r="AH410" s="85"/>
      <c r="AI410" s="85"/>
    </row>
    <row r="411" spans="18:35" x14ac:dyDescent="0.3">
      <c r="R411" s="85"/>
      <c r="S411" s="85"/>
      <c r="T411" s="85"/>
      <c r="W411" s="85"/>
      <c r="X411" s="85"/>
      <c r="Y411" s="85"/>
      <c r="AB411" s="85"/>
      <c r="AC411" s="85"/>
      <c r="AD411" s="85"/>
      <c r="AG411" s="85"/>
      <c r="AH411" s="85"/>
      <c r="AI411" s="85"/>
    </row>
    <row r="412" spans="18:35" x14ac:dyDescent="0.3">
      <c r="R412" s="85"/>
      <c r="S412" s="85"/>
      <c r="T412" s="85"/>
      <c r="W412" s="85"/>
      <c r="X412" s="85"/>
      <c r="Y412" s="85"/>
      <c r="AB412" s="85"/>
      <c r="AC412" s="85"/>
      <c r="AD412" s="85"/>
      <c r="AG412" s="85"/>
      <c r="AH412" s="85"/>
      <c r="AI412" s="85"/>
    </row>
    <row r="413" spans="18:35" x14ac:dyDescent="0.3">
      <c r="R413" s="85"/>
      <c r="S413" s="85"/>
      <c r="T413" s="85"/>
      <c r="W413" s="85"/>
      <c r="X413" s="85"/>
      <c r="Y413" s="85"/>
      <c r="AB413" s="85"/>
      <c r="AC413" s="85"/>
      <c r="AD413" s="85"/>
      <c r="AG413" s="85"/>
      <c r="AH413" s="85"/>
      <c r="AI413" s="85"/>
    </row>
    <row r="414" spans="18:35" x14ac:dyDescent="0.3">
      <c r="R414" s="85"/>
      <c r="S414" s="85"/>
      <c r="T414" s="85"/>
      <c r="W414" s="85"/>
      <c r="X414" s="85"/>
      <c r="Y414" s="85"/>
      <c r="AB414" s="85"/>
      <c r="AC414" s="85"/>
      <c r="AD414" s="85"/>
      <c r="AG414" s="85"/>
      <c r="AH414" s="85"/>
      <c r="AI414" s="85"/>
    </row>
    <row r="415" spans="18:35" x14ac:dyDescent="0.3">
      <c r="R415" s="85"/>
      <c r="S415" s="85"/>
      <c r="T415" s="85"/>
      <c r="W415" s="85"/>
      <c r="X415" s="85"/>
      <c r="Y415" s="85"/>
      <c r="AB415" s="85"/>
      <c r="AC415" s="85"/>
      <c r="AD415" s="85"/>
      <c r="AG415" s="85"/>
      <c r="AH415" s="85"/>
      <c r="AI415" s="85"/>
    </row>
    <row r="416" spans="18:35" x14ac:dyDescent="0.3">
      <c r="R416" s="85"/>
      <c r="S416" s="85"/>
      <c r="T416" s="85"/>
      <c r="W416" s="85"/>
      <c r="X416" s="85"/>
      <c r="Y416" s="85"/>
      <c r="AB416" s="85"/>
      <c r="AC416" s="85"/>
      <c r="AD416" s="85"/>
      <c r="AG416" s="85"/>
      <c r="AH416" s="85"/>
      <c r="AI416" s="85"/>
    </row>
    <row r="417" spans="18:35" x14ac:dyDescent="0.3">
      <c r="R417" s="85"/>
      <c r="S417" s="85"/>
      <c r="T417" s="85"/>
      <c r="W417" s="85"/>
      <c r="X417" s="85"/>
      <c r="Y417" s="85"/>
      <c r="AB417" s="85"/>
      <c r="AC417" s="85"/>
      <c r="AD417" s="85"/>
      <c r="AG417" s="85"/>
      <c r="AH417" s="85"/>
      <c r="AI417" s="85"/>
    </row>
    <row r="418" spans="18:35" x14ac:dyDescent="0.3">
      <c r="R418" s="85"/>
      <c r="S418" s="85"/>
      <c r="T418" s="85"/>
      <c r="W418" s="85"/>
      <c r="X418" s="85"/>
      <c r="Y418" s="85"/>
      <c r="AB418" s="85"/>
      <c r="AC418" s="85"/>
      <c r="AD418" s="85"/>
      <c r="AG418" s="85"/>
      <c r="AH418" s="85"/>
      <c r="AI418" s="85"/>
    </row>
    <row r="419" spans="18:35" x14ac:dyDescent="0.3">
      <c r="R419" s="85"/>
      <c r="S419" s="85"/>
      <c r="T419" s="85"/>
      <c r="W419" s="85"/>
      <c r="X419" s="85"/>
      <c r="Y419" s="85"/>
      <c r="AB419" s="85"/>
      <c r="AC419" s="85"/>
      <c r="AD419" s="85"/>
      <c r="AG419" s="85"/>
      <c r="AH419" s="85"/>
      <c r="AI419" s="85"/>
    </row>
    <row r="420" spans="18:35" x14ac:dyDescent="0.3">
      <c r="R420" s="85"/>
      <c r="S420" s="85"/>
      <c r="T420" s="85"/>
      <c r="W420" s="85"/>
      <c r="X420" s="85"/>
      <c r="Y420" s="85"/>
      <c r="AB420" s="85"/>
      <c r="AC420" s="85"/>
      <c r="AD420" s="85"/>
      <c r="AG420" s="85"/>
      <c r="AH420" s="85"/>
      <c r="AI420" s="85"/>
    </row>
    <row r="421" spans="18:35" x14ac:dyDescent="0.3">
      <c r="R421" s="85"/>
      <c r="S421" s="85"/>
      <c r="T421" s="85"/>
      <c r="W421" s="85"/>
      <c r="X421" s="85"/>
      <c r="Y421" s="85"/>
      <c r="AB421" s="85"/>
      <c r="AC421" s="85"/>
      <c r="AD421" s="85"/>
      <c r="AG421" s="85"/>
      <c r="AH421" s="85"/>
      <c r="AI421" s="85"/>
    </row>
    <row r="422" spans="18:35" x14ac:dyDescent="0.3">
      <c r="R422" s="85"/>
      <c r="S422" s="85"/>
      <c r="T422" s="85"/>
      <c r="W422" s="85"/>
      <c r="X422" s="85"/>
      <c r="Y422" s="85"/>
      <c r="AB422" s="85"/>
      <c r="AC422" s="85"/>
      <c r="AD422" s="85"/>
      <c r="AG422" s="85"/>
      <c r="AH422" s="85"/>
      <c r="AI422" s="85"/>
    </row>
    <row r="423" spans="18:35" x14ac:dyDescent="0.3">
      <c r="R423" s="85"/>
      <c r="S423" s="85"/>
      <c r="T423" s="85"/>
      <c r="W423" s="85"/>
      <c r="X423" s="85"/>
      <c r="Y423" s="85"/>
      <c r="AB423" s="85"/>
      <c r="AC423" s="85"/>
      <c r="AD423" s="85"/>
      <c r="AG423" s="85"/>
      <c r="AH423" s="85"/>
      <c r="AI423" s="85"/>
    </row>
    <row r="424" spans="18:35" x14ac:dyDescent="0.3">
      <c r="R424" s="85"/>
      <c r="S424" s="85"/>
      <c r="T424" s="85"/>
      <c r="W424" s="85"/>
      <c r="X424" s="85"/>
      <c r="Y424" s="85"/>
      <c r="AB424" s="85"/>
      <c r="AC424" s="85"/>
      <c r="AD424" s="85"/>
      <c r="AG424" s="85"/>
      <c r="AH424" s="85"/>
      <c r="AI424" s="85"/>
    </row>
    <row r="425" spans="18:35" x14ac:dyDescent="0.3">
      <c r="R425" s="85"/>
      <c r="S425" s="85"/>
      <c r="T425" s="85"/>
      <c r="W425" s="85"/>
      <c r="X425" s="85"/>
      <c r="Y425" s="85"/>
      <c r="AB425" s="85"/>
      <c r="AC425" s="85"/>
      <c r="AD425" s="85"/>
      <c r="AG425" s="85"/>
      <c r="AH425" s="85"/>
      <c r="AI425" s="85"/>
    </row>
    <row r="426" spans="18:35" x14ac:dyDescent="0.3">
      <c r="R426" s="85"/>
      <c r="S426" s="85"/>
      <c r="T426" s="85"/>
      <c r="W426" s="85"/>
      <c r="X426" s="85"/>
      <c r="Y426" s="85"/>
      <c r="AB426" s="85"/>
      <c r="AC426" s="85"/>
      <c r="AD426" s="85"/>
      <c r="AG426" s="85"/>
      <c r="AH426" s="85"/>
      <c r="AI426" s="85"/>
    </row>
    <row r="427" spans="18:35" x14ac:dyDescent="0.3">
      <c r="R427" s="85"/>
      <c r="S427" s="85"/>
      <c r="T427" s="85"/>
      <c r="W427" s="85"/>
      <c r="X427" s="85"/>
      <c r="Y427" s="85"/>
      <c r="AB427" s="85"/>
      <c r="AC427" s="85"/>
      <c r="AD427" s="85"/>
      <c r="AG427" s="85"/>
      <c r="AH427" s="85"/>
      <c r="AI427" s="85"/>
    </row>
    <row r="428" spans="18:35" x14ac:dyDescent="0.3">
      <c r="R428" s="85"/>
      <c r="S428" s="85"/>
      <c r="T428" s="85"/>
      <c r="W428" s="85"/>
      <c r="X428" s="85"/>
      <c r="Y428" s="85"/>
      <c r="AB428" s="85"/>
      <c r="AC428" s="85"/>
      <c r="AD428" s="85"/>
      <c r="AG428" s="85"/>
      <c r="AH428" s="85"/>
      <c r="AI428" s="85"/>
    </row>
    <row r="429" spans="18:35" x14ac:dyDescent="0.3">
      <c r="R429" s="85"/>
      <c r="S429" s="85"/>
      <c r="T429" s="85"/>
      <c r="W429" s="85"/>
      <c r="X429" s="85"/>
      <c r="Y429" s="85"/>
      <c r="AB429" s="85"/>
      <c r="AC429" s="85"/>
      <c r="AD429" s="85"/>
      <c r="AG429" s="85"/>
      <c r="AH429" s="85"/>
      <c r="AI429" s="85"/>
    </row>
    <row r="430" spans="18:35" x14ac:dyDescent="0.3">
      <c r="R430" s="85"/>
      <c r="S430" s="85"/>
      <c r="T430" s="85"/>
      <c r="W430" s="85"/>
      <c r="X430" s="85"/>
      <c r="Y430" s="85"/>
      <c r="AB430" s="85"/>
      <c r="AC430" s="85"/>
      <c r="AD430" s="85"/>
      <c r="AG430" s="85"/>
      <c r="AH430" s="85"/>
      <c r="AI430" s="85"/>
    </row>
    <row r="431" spans="18:35" x14ac:dyDescent="0.3">
      <c r="R431" s="85"/>
      <c r="S431" s="85"/>
      <c r="T431" s="85"/>
      <c r="W431" s="85"/>
      <c r="X431" s="85"/>
      <c r="Y431" s="85"/>
      <c r="AB431" s="85"/>
      <c r="AC431" s="85"/>
      <c r="AD431" s="85"/>
      <c r="AG431" s="85"/>
      <c r="AH431" s="85"/>
      <c r="AI431" s="85"/>
    </row>
    <row r="432" spans="18:35" x14ac:dyDescent="0.3">
      <c r="R432" s="85"/>
      <c r="S432" s="85"/>
      <c r="T432" s="85"/>
      <c r="W432" s="85"/>
      <c r="X432" s="85"/>
      <c r="Y432" s="85"/>
      <c r="AB432" s="85"/>
      <c r="AC432" s="85"/>
      <c r="AD432" s="85"/>
      <c r="AG432" s="85"/>
      <c r="AH432" s="85"/>
      <c r="AI432" s="85"/>
    </row>
    <row r="433" spans="18:35" x14ac:dyDescent="0.3">
      <c r="R433" s="85"/>
      <c r="S433" s="85"/>
      <c r="T433" s="85"/>
      <c r="W433" s="85"/>
      <c r="X433" s="85"/>
      <c r="Y433" s="85"/>
      <c r="AB433" s="85"/>
      <c r="AC433" s="85"/>
      <c r="AD433" s="85"/>
      <c r="AG433" s="85"/>
      <c r="AH433" s="85"/>
      <c r="AI433" s="85"/>
    </row>
    <row r="434" spans="18:35" x14ac:dyDescent="0.3">
      <c r="R434" s="85"/>
      <c r="S434" s="85"/>
      <c r="T434" s="85"/>
      <c r="W434" s="85"/>
      <c r="X434" s="85"/>
      <c r="Y434" s="85"/>
      <c r="AB434" s="85"/>
      <c r="AC434" s="85"/>
      <c r="AD434" s="85"/>
      <c r="AG434" s="85"/>
      <c r="AH434" s="85"/>
      <c r="AI434" s="85"/>
    </row>
    <row r="435" spans="18:35" x14ac:dyDescent="0.3">
      <c r="R435" s="85"/>
      <c r="S435" s="85"/>
      <c r="T435" s="85"/>
      <c r="W435" s="85"/>
      <c r="X435" s="85"/>
      <c r="Y435" s="85"/>
      <c r="AB435" s="85"/>
      <c r="AC435" s="85"/>
      <c r="AD435" s="85"/>
      <c r="AG435" s="85"/>
      <c r="AH435" s="85"/>
      <c r="AI435" s="85"/>
    </row>
    <row r="436" spans="18:35" x14ac:dyDescent="0.3">
      <c r="R436" s="85"/>
      <c r="S436" s="85"/>
      <c r="T436" s="85"/>
      <c r="W436" s="85"/>
      <c r="X436" s="85"/>
      <c r="Y436" s="85"/>
      <c r="AB436" s="85"/>
      <c r="AC436" s="85"/>
      <c r="AD436" s="85"/>
      <c r="AG436" s="85"/>
      <c r="AH436" s="85"/>
      <c r="AI436" s="85"/>
    </row>
    <row r="437" spans="18:35" x14ac:dyDescent="0.3">
      <c r="R437" s="85"/>
      <c r="S437" s="85"/>
      <c r="T437" s="85"/>
      <c r="W437" s="85"/>
      <c r="X437" s="85"/>
      <c r="Y437" s="85"/>
      <c r="AB437" s="85"/>
      <c r="AC437" s="85"/>
      <c r="AD437" s="85"/>
      <c r="AG437" s="85"/>
      <c r="AH437" s="85"/>
      <c r="AI437" s="85"/>
    </row>
    <row r="438" spans="18:35" x14ac:dyDescent="0.3">
      <c r="R438" s="85"/>
      <c r="S438" s="85"/>
      <c r="T438" s="85"/>
      <c r="W438" s="85"/>
      <c r="X438" s="85"/>
      <c r="Y438" s="85"/>
      <c r="AB438" s="85"/>
      <c r="AC438" s="85"/>
      <c r="AD438" s="85"/>
      <c r="AG438" s="85"/>
      <c r="AH438" s="85"/>
      <c r="AI438" s="85"/>
    </row>
    <row r="439" spans="18:35" x14ac:dyDescent="0.3">
      <c r="R439" s="85"/>
      <c r="S439" s="85"/>
      <c r="T439" s="85"/>
      <c r="W439" s="85"/>
      <c r="X439" s="85"/>
      <c r="Y439" s="85"/>
      <c r="AB439" s="85"/>
      <c r="AC439" s="85"/>
      <c r="AD439" s="85"/>
      <c r="AG439" s="85"/>
      <c r="AH439" s="85"/>
      <c r="AI439" s="85"/>
    </row>
    <row r="440" spans="18:35" x14ac:dyDescent="0.3">
      <c r="R440" s="85"/>
      <c r="S440" s="85"/>
      <c r="T440" s="85"/>
      <c r="W440" s="85"/>
      <c r="X440" s="85"/>
      <c r="Y440" s="85"/>
      <c r="AB440" s="85"/>
      <c r="AC440" s="85"/>
      <c r="AD440" s="85"/>
      <c r="AG440" s="85"/>
      <c r="AH440" s="85"/>
      <c r="AI440" s="85"/>
    </row>
    <row r="441" spans="18:35" x14ac:dyDescent="0.3">
      <c r="R441" s="85"/>
      <c r="S441" s="85"/>
      <c r="T441" s="85"/>
      <c r="W441" s="85"/>
      <c r="X441" s="85"/>
      <c r="Y441" s="85"/>
      <c r="AB441" s="85"/>
      <c r="AC441" s="85"/>
      <c r="AD441" s="85"/>
      <c r="AG441" s="85"/>
      <c r="AH441" s="85"/>
      <c r="AI441" s="85"/>
    </row>
    <row r="442" spans="18:35" x14ac:dyDescent="0.3">
      <c r="R442" s="85"/>
      <c r="S442" s="85"/>
      <c r="T442" s="85"/>
      <c r="W442" s="85"/>
      <c r="X442" s="85"/>
      <c r="Y442" s="85"/>
      <c r="AB442" s="85"/>
      <c r="AC442" s="85"/>
      <c r="AD442" s="85"/>
      <c r="AG442" s="85"/>
      <c r="AH442" s="85"/>
      <c r="AI442" s="85"/>
    </row>
    <row r="443" spans="18:35" x14ac:dyDescent="0.3">
      <c r="R443" s="85"/>
      <c r="S443" s="85"/>
      <c r="T443" s="85"/>
      <c r="W443" s="85"/>
      <c r="X443" s="85"/>
      <c r="Y443" s="85"/>
      <c r="AB443" s="85"/>
      <c r="AC443" s="85"/>
      <c r="AD443" s="85"/>
      <c r="AG443" s="85"/>
      <c r="AH443" s="85"/>
      <c r="AI443" s="85"/>
    </row>
    <row r="444" spans="18:35" x14ac:dyDescent="0.3">
      <c r="R444" s="85"/>
      <c r="S444" s="85"/>
      <c r="T444" s="85"/>
      <c r="W444" s="85"/>
      <c r="X444" s="85"/>
      <c r="Y444" s="85"/>
      <c r="AB444" s="85"/>
      <c r="AC444" s="85"/>
      <c r="AD444" s="85"/>
      <c r="AG444" s="85"/>
      <c r="AH444" s="85"/>
      <c r="AI444" s="85"/>
    </row>
    <row r="445" spans="18:35" x14ac:dyDescent="0.3">
      <c r="R445" s="85"/>
      <c r="S445" s="85"/>
      <c r="T445" s="85"/>
      <c r="W445" s="85"/>
      <c r="X445" s="85"/>
      <c r="Y445" s="85"/>
      <c r="AB445" s="85"/>
      <c r="AC445" s="85"/>
      <c r="AD445" s="85"/>
      <c r="AG445" s="85"/>
      <c r="AH445" s="85"/>
      <c r="AI445" s="85"/>
    </row>
    <row r="446" spans="18:35" x14ac:dyDescent="0.3">
      <c r="R446" s="85"/>
      <c r="S446" s="85"/>
      <c r="T446" s="85"/>
      <c r="W446" s="85"/>
      <c r="X446" s="85"/>
      <c r="Y446" s="85"/>
      <c r="AB446" s="85"/>
      <c r="AC446" s="85"/>
      <c r="AD446" s="85"/>
      <c r="AG446" s="85"/>
      <c r="AH446" s="85"/>
      <c r="AI446" s="85"/>
    </row>
    <row r="447" spans="18:35" x14ac:dyDescent="0.3">
      <c r="R447" s="85"/>
      <c r="S447" s="85"/>
      <c r="T447" s="85"/>
      <c r="W447" s="85"/>
      <c r="X447" s="85"/>
      <c r="Y447" s="85"/>
      <c r="AB447" s="85"/>
      <c r="AC447" s="85"/>
      <c r="AD447" s="85"/>
      <c r="AG447" s="85"/>
      <c r="AH447" s="85"/>
      <c r="AI447" s="85"/>
    </row>
    <row r="448" spans="18:35" x14ac:dyDescent="0.3">
      <c r="R448" s="85"/>
      <c r="S448" s="85"/>
      <c r="T448" s="85"/>
      <c r="W448" s="85"/>
      <c r="X448" s="85"/>
      <c r="Y448" s="85"/>
      <c r="AB448" s="85"/>
      <c r="AC448" s="85"/>
      <c r="AD448" s="85"/>
      <c r="AG448" s="85"/>
      <c r="AH448" s="85"/>
      <c r="AI448" s="85"/>
    </row>
    <row r="449" spans="18:35" x14ac:dyDescent="0.3">
      <c r="R449" s="85"/>
      <c r="S449" s="85"/>
      <c r="T449" s="85"/>
      <c r="W449" s="85"/>
      <c r="X449" s="85"/>
      <c r="Y449" s="85"/>
      <c r="AB449" s="85"/>
      <c r="AC449" s="85"/>
      <c r="AD449" s="85"/>
      <c r="AG449" s="85"/>
      <c r="AH449" s="85"/>
      <c r="AI449" s="85"/>
    </row>
    <row r="450" spans="18:35" x14ac:dyDescent="0.3">
      <c r="R450" s="85"/>
      <c r="S450" s="85"/>
      <c r="T450" s="85"/>
      <c r="W450" s="85"/>
      <c r="X450" s="85"/>
      <c r="Y450" s="85"/>
      <c r="AB450" s="85"/>
      <c r="AC450" s="85"/>
      <c r="AD450" s="85"/>
      <c r="AG450" s="85"/>
      <c r="AH450" s="85"/>
      <c r="AI450" s="85"/>
    </row>
    <row r="451" spans="18:35" x14ac:dyDescent="0.3">
      <c r="R451" s="85"/>
      <c r="S451" s="85"/>
      <c r="T451" s="85"/>
      <c r="W451" s="85"/>
      <c r="X451" s="85"/>
      <c r="Y451" s="85"/>
      <c r="AB451" s="85"/>
      <c r="AC451" s="85"/>
      <c r="AD451" s="85"/>
      <c r="AG451" s="85"/>
      <c r="AH451" s="85"/>
      <c r="AI451" s="85"/>
    </row>
    <row r="452" spans="18:35" x14ac:dyDescent="0.3">
      <c r="R452" s="85"/>
      <c r="S452" s="85"/>
      <c r="T452" s="85"/>
      <c r="W452" s="85"/>
      <c r="X452" s="85"/>
      <c r="Y452" s="85"/>
      <c r="AB452" s="85"/>
      <c r="AC452" s="85"/>
      <c r="AD452" s="85"/>
      <c r="AG452" s="85"/>
      <c r="AH452" s="85"/>
      <c r="AI452" s="85"/>
    </row>
    <row r="453" spans="18:35" x14ac:dyDescent="0.3">
      <c r="R453" s="85"/>
      <c r="S453" s="85"/>
      <c r="T453" s="85"/>
      <c r="W453" s="85"/>
      <c r="X453" s="85"/>
      <c r="Y453" s="85"/>
      <c r="AB453" s="85"/>
      <c r="AC453" s="85"/>
      <c r="AD453" s="85"/>
      <c r="AG453" s="85"/>
      <c r="AH453" s="85"/>
      <c r="AI453" s="85"/>
    </row>
    <row r="454" spans="18:35" x14ac:dyDescent="0.3">
      <c r="R454" s="85"/>
      <c r="S454" s="85"/>
      <c r="T454" s="85"/>
      <c r="W454" s="85"/>
      <c r="X454" s="85"/>
      <c r="Y454" s="85"/>
      <c r="AB454" s="85"/>
      <c r="AC454" s="85"/>
      <c r="AD454" s="85"/>
      <c r="AG454" s="85"/>
      <c r="AH454" s="85"/>
      <c r="AI454" s="85"/>
    </row>
    <row r="455" spans="18:35" x14ac:dyDescent="0.3">
      <c r="R455" s="85"/>
      <c r="S455" s="85"/>
      <c r="T455" s="85"/>
      <c r="W455" s="85"/>
      <c r="X455" s="85"/>
      <c r="Y455" s="85"/>
      <c r="AB455" s="85"/>
      <c r="AC455" s="85"/>
      <c r="AD455" s="85"/>
      <c r="AG455" s="85"/>
      <c r="AH455" s="85"/>
      <c r="AI455" s="85"/>
    </row>
    <row r="456" spans="18:35" x14ac:dyDescent="0.3">
      <c r="R456" s="85"/>
      <c r="S456" s="85"/>
      <c r="T456" s="85"/>
      <c r="W456" s="85"/>
      <c r="X456" s="85"/>
      <c r="Y456" s="85"/>
      <c r="AB456" s="85"/>
      <c r="AC456" s="85"/>
      <c r="AD456" s="85"/>
      <c r="AG456" s="85"/>
      <c r="AH456" s="85"/>
      <c r="AI456" s="85"/>
    </row>
    <row r="457" spans="18:35" x14ac:dyDescent="0.3">
      <c r="R457" s="85"/>
      <c r="S457" s="85"/>
      <c r="T457" s="85"/>
      <c r="W457" s="85"/>
      <c r="X457" s="85"/>
      <c r="Y457" s="85"/>
      <c r="AB457" s="85"/>
      <c r="AC457" s="85"/>
      <c r="AD457" s="85"/>
      <c r="AG457" s="85"/>
      <c r="AH457" s="85"/>
      <c r="AI457" s="85"/>
    </row>
    <row r="458" spans="18:35" x14ac:dyDescent="0.3">
      <c r="R458" s="85"/>
      <c r="S458" s="85"/>
      <c r="T458" s="85"/>
      <c r="W458" s="85"/>
      <c r="X458" s="85"/>
      <c r="Y458" s="85"/>
      <c r="AB458" s="85"/>
      <c r="AC458" s="85"/>
      <c r="AD458" s="85"/>
      <c r="AG458" s="85"/>
      <c r="AH458" s="85"/>
      <c r="AI458" s="85"/>
    </row>
    <row r="459" spans="18:35" x14ac:dyDescent="0.3">
      <c r="AG459" s="85"/>
      <c r="AH459" s="85"/>
      <c r="AI459" s="85"/>
    </row>
  </sheetData>
  <sheetProtection algorithmName="SHA-512" hashValue="dBywY4BO1U/klAmHKvw0V3Fmu4EQkT1PdqJSxtx6GtIek2jVRIsIWrcI5o/cjYxILAol14sq7PTfna6KbO2EHw==" saltValue="HAXvKz3tzxG7XY6Co8jV7w==" spinCount="100000" sheet="1" objects="1" scenarios="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83100" r:id="rId7" name="Drop Down 1116">
              <controlPr defaultSize="0" autoLine="0" autoPict="0">
                <anchor moveWithCells="1">
                  <from>
                    <xdr:col>16</xdr:col>
                    <xdr:colOff>1699260</xdr:colOff>
                    <xdr:row>0</xdr:row>
                    <xdr:rowOff>449580</xdr:rowOff>
                  </from>
                  <to>
                    <xdr:col>16</xdr:col>
                    <xdr:colOff>2080260</xdr:colOff>
                    <xdr:row>1</xdr:row>
                    <xdr:rowOff>30480</xdr:rowOff>
                  </to>
                </anchor>
              </controlPr>
            </control>
          </mc:Choice>
        </mc:AlternateContent>
        <mc:AlternateContent xmlns:mc="http://schemas.openxmlformats.org/markup-compatibility/2006">
          <mc:Choice Requires="x14">
            <control shapeId="673566" r:id="rId8" name="Button 798">
              <controlPr locked="0" defaultSize="0" print="0" autoFill="0" autoPict="0" macro="[0]!RESET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160020</xdr:rowOff>
                  </from>
                  <to>
                    <xdr:col>5</xdr:col>
                    <xdr:colOff>182880</xdr:colOff>
                    <xdr:row>61</xdr:row>
                    <xdr:rowOff>7620</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182880</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182880</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182880</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182880</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7620</xdr:colOff>
                    <xdr:row>23</xdr:row>
                    <xdr:rowOff>0</xdr:rowOff>
                  </from>
                  <to>
                    <xdr:col>1</xdr:col>
                    <xdr:colOff>525780</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175260</xdr:rowOff>
                  </from>
                  <to>
                    <xdr:col>6</xdr:col>
                    <xdr:colOff>0</xdr:colOff>
                    <xdr:row>4</xdr:row>
                    <xdr:rowOff>236220</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22860</xdr:colOff>
                    <xdr:row>106</xdr:row>
                    <xdr:rowOff>0</xdr:rowOff>
                  </from>
                  <to>
                    <xdr:col>2</xdr:col>
                    <xdr:colOff>198120</xdr:colOff>
                    <xdr:row>107</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zoomScale="85" zoomScaleNormal="85" workbookViewId="0">
      <selection activeCell="A36" sqref="A36"/>
    </sheetView>
  </sheetViews>
  <sheetFormatPr defaultRowHeight="13.2" x14ac:dyDescent="0.25"/>
  <cols>
    <col min="1" max="1" width="8.6640625" style="310" bestFit="1" customWidth="1"/>
    <col min="2" max="2" width="14.88671875" style="310" customWidth="1"/>
    <col min="3" max="3" width="16.109375" style="310" bestFit="1" customWidth="1"/>
    <col min="4" max="4" width="20.109375" style="310" customWidth="1"/>
    <col min="5" max="5" width="17.33203125" style="310" customWidth="1"/>
    <col min="6" max="6" width="20.5546875" style="310" bestFit="1" customWidth="1"/>
    <col min="7" max="7" width="9.6640625" style="310" customWidth="1"/>
    <col min="8" max="8" width="16.109375" style="310" customWidth="1"/>
    <col min="9" max="9" width="18.6640625" style="310" customWidth="1"/>
    <col min="10" max="10" width="12.6640625" style="310" customWidth="1"/>
    <col min="11" max="11" width="17.109375" style="310" customWidth="1"/>
    <col min="12" max="12" width="13.88671875" style="310" customWidth="1"/>
    <col min="13" max="13" width="9.109375" style="311"/>
    <col min="14" max="16" width="9.109375" style="310"/>
    <col min="17" max="17" width="4.88671875" style="310" customWidth="1"/>
    <col min="18" max="256" width="9.109375" style="310"/>
    <col min="257" max="257" width="8.6640625" style="310" bestFit="1" customWidth="1"/>
    <col min="258" max="258" width="13.33203125" style="310" customWidth="1"/>
    <col min="259" max="259" width="16.109375" style="310" bestFit="1" customWidth="1"/>
    <col min="260" max="260" width="23.5546875" style="310" customWidth="1"/>
    <col min="261" max="261" width="17.33203125" style="310" customWidth="1"/>
    <col min="262" max="262" width="20.5546875" style="310" bestFit="1" customWidth="1"/>
    <col min="263" max="263" width="17.109375" style="310" customWidth="1"/>
    <col min="264" max="264" width="21.88671875" style="310" bestFit="1" customWidth="1"/>
    <col min="265" max="265" width="17.109375" style="310" bestFit="1" customWidth="1"/>
    <col min="266" max="266" width="18.109375" style="310" bestFit="1" customWidth="1"/>
    <col min="267" max="267" width="26.44140625" style="310" customWidth="1"/>
    <col min="268" max="512" width="9.109375" style="310"/>
    <col min="513" max="513" width="8.6640625" style="310" bestFit="1" customWidth="1"/>
    <col min="514" max="514" width="13.33203125" style="310" customWidth="1"/>
    <col min="515" max="515" width="16.109375" style="310" bestFit="1" customWidth="1"/>
    <col min="516" max="516" width="23.5546875" style="310" customWidth="1"/>
    <col min="517" max="517" width="17.33203125" style="310" customWidth="1"/>
    <col min="518" max="518" width="20.5546875" style="310" bestFit="1" customWidth="1"/>
    <col min="519" max="519" width="17.109375" style="310" customWidth="1"/>
    <col min="520" max="520" width="21.88671875" style="310" bestFit="1" customWidth="1"/>
    <col min="521" max="521" width="17.109375" style="310" bestFit="1" customWidth="1"/>
    <col min="522" max="522" width="18.109375" style="310" bestFit="1" customWidth="1"/>
    <col min="523" max="523" width="26.44140625" style="310" customWidth="1"/>
    <col min="524" max="768" width="9.109375" style="310"/>
    <col min="769" max="769" width="8.6640625" style="310" bestFit="1" customWidth="1"/>
    <col min="770" max="770" width="13.33203125" style="310" customWidth="1"/>
    <col min="771" max="771" width="16.109375" style="310" bestFit="1" customWidth="1"/>
    <col min="772" max="772" width="23.5546875" style="310" customWidth="1"/>
    <col min="773" max="773" width="17.33203125" style="310" customWidth="1"/>
    <col min="774" max="774" width="20.5546875" style="310" bestFit="1" customWidth="1"/>
    <col min="775" max="775" width="17.109375" style="310" customWidth="1"/>
    <col min="776" max="776" width="21.88671875" style="310" bestFit="1" customWidth="1"/>
    <col min="777" max="777" width="17.109375" style="310" bestFit="1" customWidth="1"/>
    <col min="778" max="778" width="18.109375" style="310" bestFit="1" customWidth="1"/>
    <col min="779" max="779" width="26.44140625" style="310" customWidth="1"/>
    <col min="780" max="1024" width="9.109375" style="310"/>
    <col min="1025" max="1025" width="8.6640625" style="310" bestFit="1" customWidth="1"/>
    <col min="1026" max="1026" width="13.33203125" style="310" customWidth="1"/>
    <col min="1027" max="1027" width="16.109375" style="310" bestFit="1" customWidth="1"/>
    <col min="1028" max="1028" width="23.5546875" style="310" customWidth="1"/>
    <col min="1029" max="1029" width="17.33203125" style="310" customWidth="1"/>
    <col min="1030" max="1030" width="20.5546875" style="310" bestFit="1" customWidth="1"/>
    <col min="1031" max="1031" width="17.109375" style="310" customWidth="1"/>
    <col min="1032" max="1032" width="21.88671875" style="310" bestFit="1" customWidth="1"/>
    <col min="1033" max="1033" width="17.109375" style="310" bestFit="1" customWidth="1"/>
    <col min="1034" max="1034" width="18.109375" style="310" bestFit="1" customWidth="1"/>
    <col min="1035" max="1035" width="26.44140625" style="310" customWidth="1"/>
    <col min="1036" max="1280" width="9.109375" style="310"/>
    <col min="1281" max="1281" width="8.6640625" style="310" bestFit="1" customWidth="1"/>
    <col min="1282" max="1282" width="13.33203125" style="310" customWidth="1"/>
    <col min="1283" max="1283" width="16.109375" style="310" bestFit="1" customWidth="1"/>
    <col min="1284" max="1284" width="23.5546875" style="310" customWidth="1"/>
    <col min="1285" max="1285" width="17.33203125" style="310" customWidth="1"/>
    <col min="1286" max="1286" width="20.5546875" style="310" bestFit="1" customWidth="1"/>
    <col min="1287" max="1287" width="17.109375" style="310" customWidth="1"/>
    <col min="1288" max="1288" width="21.88671875" style="310" bestFit="1" customWidth="1"/>
    <col min="1289" max="1289" width="17.109375" style="310" bestFit="1" customWidth="1"/>
    <col min="1290" max="1290" width="18.109375" style="310" bestFit="1" customWidth="1"/>
    <col min="1291" max="1291" width="26.44140625" style="310" customWidth="1"/>
    <col min="1292" max="1536" width="9.109375" style="310"/>
    <col min="1537" max="1537" width="8.6640625" style="310" bestFit="1" customWidth="1"/>
    <col min="1538" max="1538" width="13.33203125" style="310" customWidth="1"/>
    <col min="1539" max="1539" width="16.109375" style="310" bestFit="1" customWidth="1"/>
    <col min="1540" max="1540" width="23.5546875" style="310" customWidth="1"/>
    <col min="1541" max="1541" width="17.33203125" style="310" customWidth="1"/>
    <col min="1542" max="1542" width="20.5546875" style="310" bestFit="1" customWidth="1"/>
    <col min="1543" max="1543" width="17.109375" style="310" customWidth="1"/>
    <col min="1544" max="1544" width="21.88671875" style="310" bestFit="1" customWidth="1"/>
    <col min="1545" max="1545" width="17.109375" style="310" bestFit="1" customWidth="1"/>
    <col min="1546" max="1546" width="18.109375" style="310" bestFit="1" customWidth="1"/>
    <col min="1547" max="1547" width="26.44140625" style="310" customWidth="1"/>
    <col min="1548" max="1792" width="9.109375" style="310"/>
    <col min="1793" max="1793" width="8.6640625" style="310" bestFit="1" customWidth="1"/>
    <col min="1794" max="1794" width="13.33203125" style="310" customWidth="1"/>
    <col min="1795" max="1795" width="16.109375" style="310" bestFit="1" customWidth="1"/>
    <col min="1796" max="1796" width="23.5546875" style="310" customWidth="1"/>
    <col min="1797" max="1797" width="17.33203125" style="310" customWidth="1"/>
    <col min="1798" max="1798" width="20.5546875" style="310" bestFit="1" customWidth="1"/>
    <col min="1799" max="1799" width="17.109375" style="310" customWidth="1"/>
    <col min="1800" max="1800" width="21.88671875" style="310" bestFit="1" customWidth="1"/>
    <col min="1801" max="1801" width="17.109375" style="310" bestFit="1" customWidth="1"/>
    <col min="1802" max="1802" width="18.109375" style="310" bestFit="1" customWidth="1"/>
    <col min="1803" max="1803" width="26.44140625" style="310" customWidth="1"/>
    <col min="1804" max="2048" width="9.109375" style="310"/>
    <col min="2049" max="2049" width="8.6640625" style="310" bestFit="1" customWidth="1"/>
    <col min="2050" max="2050" width="13.33203125" style="310" customWidth="1"/>
    <col min="2051" max="2051" width="16.109375" style="310" bestFit="1" customWidth="1"/>
    <col min="2052" max="2052" width="23.5546875" style="310" customWidth="1"/>
    <col min="2053" max="2053" width="17.33203125" style="310" customWidth="1"/>
    <col min="2054" max="2054" width="20.5546875" style="310" bestFit="1" customWidth="1"/>
    <col min="2055" max="2055" width="17.109375" style="310" customWidth="1"/>
    <col min="2056" max="2056" width="21.88671875" style="310" bestFit="1" customWidth="1"/>
    <col min="2057" max="2057" width="17.109375" style="310" bestFit="1" customWidth="1"/>
    <col min="2058" max="2058" width="18.109375" style="310" bestFit="1" customWidth="1"/>
    <col min="2059" max="2059" width="26.44140625" style="310" customWidth="1"/>
    <col min="2060" max="2304" width="9.109375" style="310"/>
    <col min="2305" max="2305" width="8.6640625" style="310" bestFit="1" customWidth="1"/>
    <col min="2306" max="2306" width="13.33203125" style="310" customWidth="1"/>
    <col min="2307" max="2307" width="16.109375" style="310" bestFit="1" customWidth="1"/>
    <col min="2308" max="2308" width="23.5546875" style="310" customWidth="1"/>
    <col min="2309" max="2309" width="17.33203125" style="310" customWidth="1"/>
    <col min="2310" max="2310" width="20.5546875" style="310" bestFit="1" customWidth="1"/>
    <col min="2311" max="2311" width="17.109375" style="310" customWidth="1"/>
    <col min="2312" max="2312" width="21.88671875" style="310" bestFit="1" customWidth="1"/>
    <col min="2313" max="2313" width="17.109375" style="310" bestFit="1" customWidth="1"/>
    <col min="2314" max="2314" width="18.109375" style="310" bestFit="1" customWidth="1"/>
    <col min="2315" max="2315" width="26.44140625" style="310" customWidth="1"/>
    <col min="2316" max="2560" width="9.109375" style="310"/>
    <col min="2561" max="2561" width="8.6640625" style="310" bestFit="1" customWidth="1"/>
    <col min="2562" max="2562" width="13.33203125" style="310" customWidth="1"/>
    <col min="2563" max="2563" width="16.109375" style="310" bestFit="1" customWidth="1"/>
    <col min="2564" max="2564" width="23.5546875" style="310" customWidth="1"/>
    <col min="2565" max="2565" width="17.33203125" style="310" customWidth="1"/>
    <col min="2566" max="2566" width="20.5546875" style="310" bestFit="1" customWidth="1"/>
    <col min="2567" max="2567" width="17.109375" style="310" customWidth="1"/>
    <col min="2568" max="2568" width="21.88671875" style="310" bestFit="1" customWidth="1"/>
    <col min="2569" max="2569" width="17.109375" style="310" bestFit="1" customWidth="1"/>
    <col min="2570" max="2570" width="18.109375" style="310" bestFit="1" customWidth="1"/>
    <col min="2571" max="2571" width="26.44140625" style="310" customWidth="1"/>
    <col min="2572" max="2816" width="9.109375" style="310"/>
    <col min="2817" max="2817" width="8.6640625" style="310" bestFit="1" customWidth="1"/>
    <col min="2818" max="2818" width="13.33203125" style="310" customWidth="1"/>
    <col min="2819" max="2819" width="16.109375" style="310" bestFit="1" customWidth="1"/>
    <col min="2820" max="2820" width="23.5546875" style="310" customWidth="1"/>
    <col min="2821" max="2821" width="17.33203125" style="310" customWidth="1"/>
    <col min="2822" max="2822" width="20.5546875" style="310" bestFit="1" customWidth="1"/>
    <col min="2823" max="2823" width="17.109375" style="310" customWidth="1"/>
    <col min="2824" max="2824" width="21.88671875" style="310" bestFit="1" customWidth="1"/>
    <col min="2825" max="2825" width="17.109375" style="310" bestFit="1" customWidth="1"/>
    <col min="2826" max="2826" width="18.109375" style="310" bestFit="1" customWidth="1"/>
    <col min="2827" max="2827" width="26.44140625" style="310" customWidth="1"/>
    <col min="2828" max="3072" width="9.109375" style="310"/>
    <col min="3073" max="3073" width="8.6640625" style="310" bestFit="1" customWidth="1"/>
    <col min="3074" max="3074" width="13.33203125" style="310" customWidth="1"/>
    <col min="3075" max="3075" width="16.109375" style="310" bestFit="1" customWidth="1"/>
    <col min="3076" max="3076" width="23.5546875" style="310" customWidth="1"/>
    <col min="3077" max="3077" width="17.33203125" style="310" customWidth="1"/>
    <col min="3078" max="3078" width="20.5546875" style="310" bestFit="1" customWidth="1"/>
    <col min="3079" max="3079" width="17.109375" style="310" customWidth="1"/>
    <col min="3080" max="3080" width="21.88671875" style="310" bestFit="1" customWidth="1"/>
    <col min="3081" max="3081" width="17.109375" style="310" bestFit="1" customWidth="1"/>
    <col min="3082" max="3082" width="18.109375" style="310" bestFit="1" customWidth="1"/>
    <col min="3083" max="3083" width="26.44140625" style="310" customWidth="1"/>
    <col min="3084" max="3328" width="9.109375" style="310"/>
    <col min="3329" max="3329" width="8.6640625" style="310" bestFit="1" customWidth="1"/>
    <col min="3330" max="3330" width="13.33203125" style="310" customWidth="1"/>
    <col min="3331" max="3331" width="16.109375" style="310" bestFit="1" customWidth="1"/>
    <col min="3332" max="3332" width="23.5546875" style="310" customWidth="1"/>
    <col min="3333" max="3333" width="17.33203125" style="310" customWidth="1"/>
    <col min="3334" max="3334" width="20.5546875" style="310" bestFit="1" customWidth="1"/>
    <col min="3335" max="3335" width="17.109375" style="310" customWidth="1"/>
    <col min="3336" max="3336" width="21.88671875" style="310" bestFit="1" customWidth="1"/>
    <col min="3337" max="3337" width="17.109375" style="310" bestFit="1" customWidth="1"/>
    <col min="3338" max="3338" width="18.109375" style="310" bestFit="1" customWidth="1"/>
    <col min="3339" max="3339" width="26.44140625" style="310" customWidth="1"/>
    <col min="3340" max="3584" width="9.109375" style="310"/>
    <col min="3585" max="3585" width="8.6640625" style="310" bestFit="1" customWidth="1"/>
    <col min="3586" max="3586" width="13.33203125" style="310" customWidth="1"/>
    <col min="3587" max="3587" width="16.109375" style="310" bestFit="1" customWidth="1"/>
    <col min="3588" max="3588" width="23.5546875" style="310" customWidth="1"/>
    <col min="3589" max="3589" width="17.33203125" style="310" customWidth="1"/>
    <col min="3590" max="3590" width="20.5546875" style="310" bestFit="1" customWidth="1"/>
    <col min="3591" max="3591" width="17.109375" style="310" customWidth="1"/>
    <col min="3592" max="3592" width="21.88671875" style="310" bestFit="1" customWidth="1"/>
    <col min="3593" max="3593" width="17.109375" style="310" bestFit="1" customWidth="1"/>
    <col min="3594" max="3594" width="18.109375" style="310" bestFit="1" customWidth="1"/>
    <col min="3595" max="3595" width="26.44140625" style="310" customWidth="1"/>
    <col min="3596" max="3840" width="9.109375" style="310"/>
    <col min="3841" max="3841" width="8.6640625" style="310" bestFit="1" customWidth="1"/>
    <col min="3842" max="3842" width="13.33203125" style="310" customWidth="1"/>
    <col min="3843" max="3843" width="16.109375" style="310" bestFit="1" customWidth="1"/>
    <col min="3844" max="3844" width="23.5546875" style="310" customWidth="1"/>
    <col min="3845" max="3845" width="17.33203125" style="310" customWidth="1"/>
    <col min="3846" max="3846" width="20.5546875" style="310" bestFit="1" customWidth="1"/>
    <col min="3847" max="3847" width="17.109375" style="310" customWidth="1"/>
    <col min="3848" max="3848" width="21.88671875" style="310" bestFit="1" customWidth="1"/>
    <col min="3849" max="3849" width="17.109375" style="310" bestFit="1" customWidth="1"/>
    <col min="3850" max="3850" width="18.109375" style="310" bestFit="1" customWidth="1"/>
    <col min="3851" max="3851" width="26.44140625" style="310" customWidth="1"/>
    <col min="3852" max="4096" width="9.109375" style="310"/>
    <col min="4097" max="4097" width="8.6640625" style="310" bestFit="1" customWidth="1"/>
    <col min="4098" max="4098" width="13.33203125" style="310" customWidth="1"/>
    <col min="4099" max="4099" width="16.109375" style="310" bestFit="1" customWidth="1"/>
    <col min="4100" max="4100" width="23.5546875" style="310" customWidth="1"/>
    <col min="4101" max="4101" width="17.33203125" style="310" customWidth="1"/>
    <col min="4102" max="4102" width="20.5546875" style="310" bestFit="1" customWidth="1"/>
    <col min="4103" max="4103" width="17.109375" style="310" customWidth="1"/>
    <col min="4104" max="4104" width="21.88671875" style="310" bestFit="1" customWidth="1"/>
    <col min="4105" max="4105" width="17.109375" style="310" bestFit="1" customWidth="1"/>
    <col min="4106" max="4106" width="18.109375" style="310" bestFit="1" customWidth="1"/>
    <col min="4107" max="4107" width="26.44140625" style="310" customWidth="1"/>
    <col min="4108" max="4352" width="9.109375" style="310"/>
    <col min="4353" max="4353" width="8.6640625" style="310" bestFit="1" customWidth="1"/>
    <col min="4354" max="4354" width="13.33203125" style="310" customWidth="1"/>
    <col min="4355" max="4355" width="16.109375" style="310" bestFit="1" customWidth="1"/>
    <col min="4356" max="4356" width="23.5546875" style="310" customWidth="1"/>
    <col min="4357" max="4357" width="17.33203125" style="310" customWidth="1"/>
    <col min="4358" max="4358" width="20.5546875" style="310" bestFit="1" customWidth="1"/>
    <col min="4359" max="4359" width="17.109375" style="310" customWidth="1"/>
    <col min="4360" max="4360" width="21.88671875" style="310" bestFit="1" customWidth="1"/>
    <col min="4361" max="4361" width="17.109375" style="310" bestFit="1" customWidth="1"/>
    <col min="4362" max="4362" width="18.109375" style="310" bestFit="1" customWidth="1"/>
    <col min="4363" max="4363" width="26.44140625" style="310" customWidth="1"/>
    <col min="4364" max="4608" width="9.109375" style="310"/>
    <col min="4609" max="4609" width="8.6640625" style="310" bestFit="1" customWidth="1"/>
    <col min="4610" max="4610" width="13.33203125" style="310" customWidth="1"/>
    <col min="4611" max="4611" width="16.109375" style="310" bestFit="1" customWidth="1"/>
    <col min="4612" max="4612" width="23.5546875" style="310" customWidth="1"/>
    <col min="4613" max="4613" width="17.33203125" style="310" customWidth="1"/>
    <col min="4614" max="4614" width="20.5546875" style="310" bestFit="1" customWidth="1"/>
    <col min="4615" max="4615" width="17.109375" style="310" customWidth="1"/>
    <col min="4616" max="4616" width="21.88671875" style="310" bestFit="1" customWidth="1"/>
    <col min="4617" max="4617" width="17.109375" style="310" bestFit="1" customWidth="1"/>
    <col min="4618" max="4618" width="18.109375" style="310" bestFit="1" customWidth="1"/>
    <col min="4619" max="4619" width="26.44140625" style="310" customWidth="1"/>
    <col min="4620" max="4864" width="9.109375" style="310"/>
    <col min="4865" max="4865" width="8.6640625" style="310" bestFit="1" customWidth="1"/>
    <col min="4866" max="4866" width="13.33203125" style="310" customWidth="1"/>
    <col min="4867" max="4867" width="16.109375" style="310" bestFit="1" customWidth="1"/>
    <col min="4868" max="4868" width="23.5546875" style="310" customWidth="1"/>
    <col min="4869" max="4869" width="17.33203125" style="310" customWidth="1"/>
    <col min="4870" max="4870" width="20.5546875" style="310" bestFit="1" customWidth="1"/>
    <col min="4871" max="4871" width="17.109375" style="310" customWidth="1"/>
    <col min="4872" max="4872" width="21.88671875" style="310" bestFit="1" customWidth="1"/>
    <col min="4873" max="4873" width="17.109375" style="310" bestFit="1" customWidth="1"/>
    <col min="4874" max="4874" width="18.109375" style="310" bestFit="1" customWidth="1"/>
    <col min="4875" max="4875" width="26.44140625" style="310" customWidth="1"/>
    <col min="4876" max="5120" width="9.109375" style="310"/>
    <col min="5121" max="5121" width="8.6640625" style="310" bestFit="1" customWidth="1"/>
    <col min="5122" max="5122" width="13.33203125" style="310" customWidth="1"/>
    <col min="5123" max="5123" width="16.109375" style="310" bestFit="1" customWidth="1"/>
    <col min="5124" max="5124" width="23.5546875" style="310" customWidth="1"/>
    <col min="5125" max="5125" width="17.33203125" style="310" customWidth="1"/>
    <col min="5126" max="5126" width="20.5546875" style="310" bestFit="1" customWidth="1"/>
    <col min="5127" max="5127" width="17.109375" style="310" customWidth="1"/>
    <col min="5128" max="5128" width="21.88671875" style="310" bestFit="1" customWidth="1"/>
    <col min="5129" max="5129" width="17.109375" style="310" bestFit="1" customWidth="1"/>
    <col min="5130" max="5130" width="18.109375" style="310" bestFit="1" customWidth="1"/>
    <col min="5131" max="5131" width="26.44140625" style="310" customWidth="1"/>
    <col min="5132" max="5376" width="9.109375" style="310"/>
    <col min="5377" max="5377" width="8.6640625" style="310" bestFit="1" customWidth="1"/>
    <col min="5378" max="5378" width="13.33203125" style="310" customWidth="1"/>
    <col min="5379" max="5379" width="16.109375" style="310" bestFit="1" customWidth="1"/>
    <col min="5380" max="5380" width="23.5546875" style="310" customWidth="1"/>
    <col min="5381" max="5381" width="17.33203125" style="310" customWidth="1"/>
    <col min="5382" max="5382" width="20.5546875" style="310" bestFit="1" customWidth="1"/>
    <col min="5383" max="5383" width="17.109375" style="310" customWidth="1"/>
    <col min="5384" max="5384" width="21.88671875" style="310" bestFit="1" customWidth="1"/>
    <col min="5385" max="5385" width="17.109375" style="310" bestFit="1" customWidth="1"/>
    <col min="5386" max="5386" width="18.109375" style="310" bestFit="1" customWidth="1"/>
    <col min="5387" max="5387" width="26.44140625" style="310" customWidth="1"/>
    <col min="5388" max="5632" width="9.109375" style="310"/>
    <col min="5633" max="5633" width="8.6640625" style="310" bestFit="1" customWidth="1"/>
    <col min="5634" max="5634" width="13.33203125" style="310" customWidth="1"/>
    <col min="5635" max="5635" width="16.109375" style="310" bestFit="1" customWidth="1"/>
    <col min="5636" max="5636" width="23.5546875" style="310" customWidth="1"/>
    <col min="5637" max="5637" width="17.33203125" style="310" customWidth="1"/>
    <col min="5638" max="5638" width="20.5546875" style="310" bestFit="1" customWidth="1"/>
    <col min="5639" max="5639" width="17.109375" style="310" customWidth="1"/>
    <col min="5640" max="5640" width="21.88671875" style="310" bestFit="1" customWidth="1"/>
    <col min="5641" max="5641" width="17.109375" style="310" bestFit="1" customWidth="1"/>
    <col min="5642" max="5642" width="18.109375" style="310" bestFit="1" customWidth="1"/>
    <col min="5643" max="5643" width="26.44140625" style="310" customWidth="1"/>
    <col min="5644" max="5888" width="9.109375" style="310"/>
    <col min="5889" max="5889" width="8.6640625" style="310" bestFit="1" customWidth="1"/>
    <col min="5890" max="5890" width="13.33203125" style="310" customWidth="1"/>
    <col min="5891" max="5891" width="16.109375" style="310" bestFit="1" customWidth="1"/>
    <col min="5892" max="5892" width="23.5546875" style="310" customWidth="1"/>
    <col min="5893" max="5893" width="17.33203125" style="310" customWidth="1"/>
    <col min="5894" max="5894" width="20.5546875" style="310" bestFit="1" customWidth="1"/>
    <col min="5895" max="5895" width="17.109375" style="310" customWidth="1"/>
    <col min="5896" max="5896" width="21.88671875" style="310" bestFit="1" customWidth="1"/>
    <col min="5897" max="5897" width="17.109375" style="310" bestFit="1" customWidth="1"/>
    <col min="5898" max="5898" width="18.109375" style="310" bestFit="1" customWidth="1"/>
    <col min="5899" max="5899" width="26.44140625" style="310" customWidth="1"/>
    <col min="5900" max="6144" width="9.109375" style="310"/>
    <col min="6145" max="6145" width="8.6640625" style="310" bestFit="1" customWidth="1"/>
    <col min="6146" max="6146" width="13.33203125" style="310" customWidth="1"/>
    <col min="6147" max="6147" width="16.109375" style="310" bestFit="1" customWidth="1"/>
    <col min="6148" max="6148" width="23.5546875" style="310" customWidth="1"/>
    <col min="6149" max="6149" width="17.33203125" style="310" customWidth="1"/>
    <col min="6150" max="6150" width="20.5546875" style="310" bestFit="1" customWidth="1"/>
    <col min="6151" max="6151" width="17.109375" style="310" customWidth="1"/>
    <col min="6152" max="6152" width="21.88671875" style="310" bestFit="1" customWidth="1"/>
    <col min="6153" max="6153" width="17.109375" style="310" bestFit="1" customWidth="1"/>
    <col min="6154" max="6154" width="18.109375" style="310" bestFit="1" customWidth="1"/>
    <col min="6155" max="6155" width="26.44140625" style="310" customWidth="1"/>
    <col min="6156" max="6400" width="9.109375" style="310"/>
    <col min="6401" max="6401" width="8.6640625" style="310" bestFit="1" customWidth="1"/>
    <col min="6402" max="6402" width="13.33203125" style="310" customWidth="1"/>
    <col min="6403" max="6403" width="16.109375" style="310" bestFit="1" customWidth="1"/>
    <col min="6404" max="6404" width="23.5546875" style="310" customWidth="1"/>
    <col min="6405" max="6405" width="17.33203125" style="310" customWidth="1"/>
    <col min="6406" max="6406" width="20.5546875" style="310" bestFit="1" customWidth="1"/>
    <col min="6407" max="6407" width="17.109375" style="310" customWidth="1"/>
    <col min="6408" max="6408" width="21.88671875" style="310" bestFit="1" customWidth="1"/>
    <col min="6409" max="6409" width="17.109375" style="310" bestFit="1" customWidth="1"/>
    <col min="6410" max="6410" width="18.109375" style="310" bestFit="1" customWidth="1"/>
    <col min="6411" max="6411" width="26.44140625" style="310" customWidth="1"/>
    <col min="6412" max="6656" width="9.109375" style="310"/>
    <col min="6657" max="6657" width="8.6640625" style="310" bestFit="1" customWidth="1"/>
    <col min="6658" max="6658" width="13.33203125" style="310" customWidth="1"/>
    <col min="6659" max="6659" width="16.109375" style="310" bestFit="1" customWidth="1"/>
    <col min="6660" max="6660" width="23.5546875" style="310" customWidth="1"/>
    <col min="6661" max="6661" width="17.33203125" style="310" customWidth="1"/>
    <col min="6662" max="6662" width="20.5546875" style="310" bestFit="1" customWidth="1"/>
    <col min="6663" max="6663" width="17.109375" style="310" customWidth="1"/>
    <col min="6664" max="6664" width="21.88671875" style="310" bestFit="1" customWidth="1"/>
    <col min="6665" max="6665" width="17.109375" style="310" bestFit="1" customWidth="1"/>
    <col min="6666" max="6666" width="18.109375" style="310" bestFit="1" customWidth="1"/>
    <col min="6667" max="6667" width="26.44140625" style="310" customWidth="1"/>
    <col min="6668" max="6912" width="9.109375" style="310"/>
    <col min="6913" max="6913" width="8.6640625" style="310" bestFit="1" customWidth="1"/>
    <col min="6914" max="6914" width="13.33203125" style="310" customWidth="1"/>
    <col min="6915" max="6915" width="16.109375" style="310" bestFit="1" customWidth="1"/>
    <col min="6916" max="6916" width="23.5546875" style="310" customWidth="1"/>
    <col min="6917" max="6917" width="17.33203125" style="310" customWidth="1"/>
    <col min="6918" max="6918" width="20.5546875" style="310" bestFit="1" customWidth="1"/>
    <col min="6919" max="6919" width="17.109375" style="310" customWidth="1"/>
    <col min="6920" max="6920" width="21.88671875" style="310" bestFit="1" customWidth="1"/>
    <col min="6921" max="6921" width="17.109375" style="310" bestFit="1" customWidth="1"/>
    <col min="6922" max="6922" width="18.109375" style="310" bestFit="1" customWidth="1"/>
    <col min="6923" max="6923" width="26.44140625" style="310" customWidth="1"/>
    <col min="6924" max="7168" width="9.109375" style="310"/>
    <col min="7169" max="7169" width="8.6640625" style="310" bestFit="1" customWidth="1"/>
    <col min="7170" max="7170" width="13.33203125" style="310" customWidth="1"/>
    <col min="7171" max="7171" width="16.109375" style="310" bestFit="1" customWidth="1"/>
    <col min="7172" max="7172" width="23.5546875" style="310" customWidth="1"/>
    <col min="7173" max="7173" width="17.33203125" style="310" customWidth="1"/>
    <col min="7174" max="7174" width="20.5546875" style="310" bestFit="1" customWidth="1"/>
    <col min="7175" max="7175" width="17.109375" style="310" customWidth="1"/>
    <col min="7176" max="7176" width="21.88671875" style="310" bestFit="1" customWidth="1"/>
    <col min="7177" max="7177" width="17.109375" style="310" bestFit="1" customWidth="1"/>
    <col min="7178" max="7178" width="18.109375" style="310" bestFit="1" customWidth="1"/>
    <col min="7179" max="7179" width="26.44140625" style="310" customWidth="1"/>
    <col min="7180" max="7424" width="9.109375" style="310"/>
    <col min="7425" max="7425" width="8.6640625" style="310" bestFit="1" customWidth="1"/>
    <col min="7426" max="7426" width="13.33203125" style="310" customWidth="1"/>
    <col min="7427" max="7427" width="16.109375" style="310" bestFit="1" customWidth="1"/>
    <col min="7428" max="7428" width="23.5546875" style="310" customWidth="1"/>
    <col min="7429" max="7429" width="17.33203125" style="310" customWidth="1"/>
    <col min="7430" max="7430" width="20.5546875" style="310" bestFit="1" customWidth="1"/>
    <col min="7431" max="7431" width="17.109375" style="310" customWidth="1"/>
    <col min="7432" max="7432" width="21.88671875" style="310" bestFit="1" customWidth="1"/>
    <col min="7433" max="7433" width="17.109375" style="310" bestFit="1" customWidth="1"/>
    <col min="7434" max="7434" width="18.109375" style="310" bestFit="1" customWidth="1"/>
    <col min="7435" max="7435" width="26.44140625" style="310" customWidth="1"/>
    <col min="7436" max="7680" width="9.109375" style="310"/>
    <col min="7681" max="7681" width="8.6640625" style="310" bestFit="1" customWidth="1"/>
    <col min="7682" max="7682" width="13.33203125" style="310" customWidth="1"/>
    <col min="7683" max="7683" width="16.109375" style="310" bestFit="1" customWidth="1"/>
    <col min="7684" max="7684" width="23.5546875" style="310" customWidth="1"/>
    <col min="7685" max="7685" width="17.33203125" style="310" customWidth="1"/>
    <col min="7686" max="7686" width="20.5546875" style="310" bestFit="1" customWidth="1"/>
    <col min="7687" max="7687" width="17.109375" style="310" customWidth="1"/>
    <col min="7688" max="7688" width="21.88671875" style="310" bestFit="1" customWidth="1"/>
    <col min="7689" max="7689" width="17.109375" style="310" bestFit="1" customWidth="1"/>
    <col min="7690" max="7690" width="18.109375" style="310" bestFit="1" customWidth="1"/>
    <col min="7691" max="7691" width="26.44140625" style="310" customWidth="1"/>
    <col min="7692" max="7936" width="9.109375" style="310"/>
    <col min="7937" max="7937" width="8.6640625" style="310" bestFit="1" customWidth="1"/>
    <col min="7938" max="7938" width="13.33203125" style="310" customWidth="1"/>
    <col min="7939" max="7939" width="16.109375" style="310" bestFit="1" customWidth="1"/>
    <col min="7940" max="7940" width="23.5546875" style="310" customWidth="1"/>
    <col min="7941" max="7941" width="17.33203125" style="310" customWidth="1"/>
    <col min="7942" max="7942" width="20.5546875" style="310" bestFit="1" customWidth="1"/>
    <col min="7943" max="7943" width="17.109375" style="310" customWidth="1"/>
    <col min="7944" max="7944" width="21.88671875" style="310" bestFit="1" customWidth="1"/>
    <col min="7945" max="7945" width="17.109375" style="310" bestFit="1" customWidth="1"/>
    <col min="7946" max="7946" width="18.109375" style="310" bestFit="1" customWidth="1"/>
    <col min="7947" max="7947" width="26.44140625" style="310" customWidth="1"/>
    <col min="7948" max="8192" width="9.109375" style="310"/>
    <col min="8193" max="8193" width="8.6640625" style="310" bestFit="1" customWidth="1"/>
    <col min="8194" max="8194" width="13.33203125" style="310" customWidth="1"/>
    <col min="8195" max="8195" width="16.109375" style="310" bestFit="1" customWidth="1"/>
    <col min="8196" max="8196" width="23.5546875" style="310" customWidth="1"/>
    <col min="8197" max="8197" width="17.33203125" style="310" customWidth="1"/>
    <col min="8198" max="8198" width="20.5546875" style="310" bestFit="1" customWidth="1"/>
    <col min="8199" max="8199" width="17.109375" style="310" customWidth="1"/>
    <col min="8200" max="8200" width="21.88671875" style="310" bestFit="1" customWidth="1"/>
    <col min="8201" max="8201" width="17.109375" style="310" bestFit="1" customWidth="1"/>
    <col min="8202" max="8202" width="18.109375" style="310" bestFit="1" customWidth="1"/>
    <col min="8203" max="8203" width="26.44140625" style="310" customWidth="1"/>
    <col min="8204" max="8448" width="9.109375" style="310"/>
    <col min="8449" max="8449" width="8.6640625" style="310" bestFit="1" customWidth="1"/>
    <col min="8450" max="8450" width="13.33203125" style="310" customWidth="1"/>
    <col min="8451" max="8451" width="16.109375" style="310" bestFit="1" customWidth="1"/>
    <col min="8452" max="8452" width="23.5546875" style="310" customWidth="1"/>
    <col min="8453" max="8453" width="17.33203125" style="310" customWidth="1"/>
    <col min="8454" max="8454" width="20.5546875" style="310" bestFit="1" customWidth="1"/>
    <col min="8455" max="8455" width="17.109375" style="310" customWidth="1"/>
    <col min="8456" max="8456" width="21.88671875" style="310" bestFit="1" customWidth="1"/>
    <col min="8457" max="8457" width="17.109375" style="310" bestFit="1" customWidth="1"/>
    <col min="8458" max="8458" width="18.109375" style="310" bestFit="1" customWidth="1"/>
    <col min="8459" max="8459" width="26.44140625" style="310" customWidth="1"/>
    <col min="8460" max="8704" width="9.109375" style="310"/>
    <col min="8705" max="8705" width="8.6640625" style="310" bestFit="1" customWidth="1"/>
    <col min="8706" max="8706" width="13.33203125" style="310" customWidth="1"/>
    <col min="8707" max="8707" width="16.109375" style="310" bestFit="1" customWidth="1"/>
    <col min="8708" max="8708" width="23.5546875" style="310" customWidth="1"/>
    <col min="8709" max="8709" width="17.33203125" style="310" customWidth="1"/>
    <col min="8710" max="8710" width="20.5546875" style="310" bestFit="1" customWidth="1"/>
    <col min="8711" max="8711" width="17.109375" style="310" customWidth="1"/>
    <col min="8712" max="8712" width="21.88671875" style="310" bestFit="1" customWidth="1"/>
    <col min="8713" max="8713" width="17.109375" style="310" bestFit="1" customWidth="1"/>
    <col min="8714" max="8714" width="18.109375" style="310" bestFit="1" customWidth="1"/>
    <col min="8715" max="8715" width="26.44140625" style="310" customWidth="1"/>
    <col min="8716" max="8960" width="9.109375" style="310"/>
    <col min="8961" max="8961" width="8.6640625" style="310" bestFit="1" customWidth="1"/>
    <col min="8962" max="8962" width="13.33203125" style="310" customWidth="1"/>
    <col min="8963" max="8963" width="16.109375" style="310" bestFit="1" customWidth="1"/>
    <col min="8964" max="8964" width="23.5546875" style="310" customWidth="1"/>
    <col min="8965" max="8965" width="17.33203125" style="310" customWidth="1"/>
    <col min="8966" max="8966" width="20.5546875" style="310" bestFit="1" customWidth="1"/>
    <col min="8967" max="8967" width="17.109375" style="310" customWidth="1"/>
    <col min="8968" max="8968" width="21.88671875" style="310" bestFit="1" customWidth="1"/>
    <col min="8969" max="8969" width="17.109375" style="310" bestFit="1" customWidth="1"/>
    <col min="8970" max="8970" width="18.109375" style="310" bestFit="1" customWidth="1"/>
    <col min="8971" max="8971" width="26.44140625" style="310" customWidth="1"/>
    <col min="8972" max="9216" width="9.109375" style="310"/>
    <col min="9217" max="9217" width="8.6640625" style="310" bestFit="1" customWidth="1"/>
    <col min="9218" max="9218" width="13.33203125" style="310" customWidth="1"/>
    <col min="9219" max="9219" width="16.109375" style="310" bestFit="1" customWidth="1"/>
    <col min="9220" max="9220" width="23.5546875" style="310" customWidth="1"/>
    <col min="9221" max="9221" width="17.33203125" style="310" customWidth="1"/>
    <col min="9222" max="9222" width="20.5546875" style="310" bestFit="1" customWidth="1"/>
    <col min="9223" max="9223" width="17.109375" style="310" customWidth="1"/>
    <col min="9224" max="9224" width="21.88671875" style="310" bestFit="1" customWidth="1"/>
    <col min="9225" max="9225" width="17.109375" style="310" bestFit="1" customWidth="1"/>
    <col min="9226" max="9226" width="18.109375" style="310" bestFit="1" customWidth="1"/>
    <col min="9227" max="9227" width="26.44140625" style="310" customWidth="1"/>
    <col min="9228" max="9472" width="9.109375" style="310"/>
    <col min="9473" max="9473" width="8.6640625" style="310" bestFit="1" customWidth="1"/>
    <col min="9474" max="9474" width="13.33203125" style="310" customWidth="1"/>
    <col min="9475" max="9475" width="16.109375" style="310" bestFit="1" customWidth="1"/>
    <col min="9476" max="9476" width="23.5546875" style="310" customWidth="1"/>
    <col min="9477" max="9477" width="17.33203125" style="310" customWidth="1"/>
    <col min="9478" max="9478" width="20.5546875" style="310" bestFit="1" customWidth="1"/>
    <col min="9479" max="9479" width="17.109375" style="310" customWidth="1"/>
    <col min="9480" max="9480" width="21.88671875" style="310" bestFit="1" customWidth="1"/>
    <col min="9481" max="9481" width="17.109375" style="310" bestFit="1" customWidth="1"/>
    <col min="9482" max="9482" width="18.109375" style="310" bestFit="1" customWidth="1"/>
    <col min="9483" max="9483" width="26.44140625" style="310" customWidth="1"/>
    <col min="9484" max="9728" width="9.109375" style="310"/>
    <col min="9729" max="9729" width="8.6640625" style="310" bestFit="1" customWidth="1"/>
    <col min="9730" max="9730" width="13.33203125" style="310" customWidth="1"/>
    <col min="9731" max="9731" width="16.109375" style="310" bestFit="1" customWidth="1"/>
    <col min="9732" max="9732" width="23.5546875" style="310" customWidth="1"/>
    <col min="9733" max="9733" width="17.33203125" style="310" customWidth="1"/>
    <col min="9734" max="9734" width="20.5546875" style="310" bestFit="1" customWidth="1"/>
    <col min="9735" max="9735" width="17.109375" style="310" customWidth="1"/>
    <col min="9736" max="9736" width="21.88671875" style="310" bestFit="1" customWidth="1"/>
    <col min="9737" max="9737" width="17.109375" style="310" bestFit="1" customWidth="1"/>
    <col min="9738" max="9738" width="18.109375" style="310" bestFit="1" customWidth="1"/>
    <col min="9739" max="9739" width="26.44140625" style="310" customWidth="1"/>
    <col min="9740" max="9984" width="9.109375" style="310"/>
    <col min="9985" max="9985" width="8.6640625" style="310" bestFit="1" customWidth="1"/>
    <col min="9986" max="9986" width="13.33203125" style="310" customWidth="1"/>
    <col min="9987" max="9987" width="16.109375" style="310" bestFit="1" customWidth="1"/>
    <col min="9988" max="9988" width="23.5546875" style="310" customWidth="1"/>
    <col min="9989" max="9989" width="17.33203125" style="310" customWidth="1"/>
    <col min="9990" max="9990" width="20.5546875" style="310" bestFit="1" customWidth="1"/>
    <col min="9991" max="9991" width="17.109375" style="310" customWidth="1"/>
    <col min="9992" max="9992" width="21.88671875" style="310" bestFit="1" customWidth="1"/>
    <col min="9993" max="9993" width="17.109375" style="310" bestFit="1" customWidth="1"/>
    <col min="9994" max="9994" width="18.109375" style="310" bestFit="1" customWidth="1"/>
    <col min="9995" max="9995" width="26.44140625" style="310" customWidth="1"/>
    <col min="9996" max="10240" width="9.109375" style="310"/>
    <col min="10241" max="10241" width="8.6640625" style="310" bestFit="1" customWidth="1"/>
    <col min="10242" max="10242" width="13.33203125" style="310" customWidth="1"/>
    <col min="10243" max="10243" width="16.109375" style="310" bestFit="1" customWidth="1"/>
    <col min="10244" max="10244" width="23.5546875" style="310" customWidth="1"/>
    <col min="10245" max="10245" width="17.33203125" style="310" customWidth="1"/>
    <col min="10246" max="10246" width="20.5546875" style="310" bestFit="1" customWidth="1"/>
    <col min="10247" max="10247" width="17.109375" style="310" customWidth="1"/>
    <col min="10248" max="10248" width="21.88671875" style="310" bestFit="1" customWidth="1"/>
    <col min="10249" max="10249" width="17.109375" style="310" bestFit="1" customWidth="1"/>
    <col min="10250" max="10250" width="18.109375" style="310" bestFit="1" customWidth="1"/>
    <col min="10251" max="10251" width="26.44140625" style="310" customWidth="1"/>
    <col min="10252" max="10496" width="9.109375" style="310"/>
    <col min="10497" max="10497" width="8.6640625" style="310" bestFit="1" customWidth="1"/>
    <col min="10498" max="10498" width="13.33203125" style="310" customWidth="1"/>
    <col min="10499" max="10499" width="16.109375" style="310" bestFit="1" customWidth="1"/>
    <col min="10500" max="10500" width="23.5546875" style="310" customWidth="1"/>
    <col min="10501" max="10501" width="17.33203125" style="310" customWidth="1"/>
    <col min="10502" max="10502" width="20.5546875" style="310" bestFit="1" customWidth="1"/>
    <col min="10503" max="10503" width="17.109375" style="310" customWidth="1"/>
    <col min="10504" max="10504" width="21.88671875" style="310" bestFit="1" customWidth="1"/>
    <col min="10505" max="10505" width="17.109375" style="310" bestFit="1" customWidth="1"/>
    <col min="10506" max="10506" width="18.109375" style="310" bestFit="1" customWidth="1"/>
    <col min="10507" max="10507" width="26.44140625" style="310" customWidth="1"/>
    <col min="10508" max="10752" width="9.109375" style="310"/>
    <col min="10753" max="10753" width="8.6640625" style="310" bestFit="1" customWidth="1"/>
    <col min="10754" max="10754" width="13.33203125" style="310" customWidth="1"/>
    <col min="10755" max="10755" width="16.109375" style="310" bestFit="1" customWidth="1"/>
    <col min="10756" max="10756" width="23.5546875" style="310" customWidth="1"/>
    <col min="10757" max="10757" width="17.33203125" style="310" customWidth="1"/>
    <col min="10758" max="10758" width="20.5546875" style="310" bestFit="1" customWidth="1"/>
    <col min="10759" max="10759" width="17.109375" style="310" customWidth="1"/>
    <col min="10760" max="10760" width="21.88671875" style="310" bestFit="1" customWidth="1"/>
    <col min="10761" max="10761" width="17.109375" style="310" bestFit="1" customWidth="1"/>
    <col min="10762" max="10762" width="18.109375" style="310" bestFit="1" customWidth="1"/>
    <col min="10763" max="10763" width="26.44140625" style="310" customWidth="1"/>
    <col min="10764" max="11008" width="9.109375" style="310"/>
    <col min="11009" max="11009" width="8.6640625" style="310" bestFit="1" customWidth="1"/>
    <col min="11010" max="11010" width="13.33203125" style="310" customWidth="1"/>
    <col min="11011" max="11011" width="16.109375" style="310" bestFit="1" customWidth="1"/>
    <col min="11012" max="11012" width="23.5546875" style="310" customWidth="1"/>
    <col min="11013" max="11013" width="17.33203125" style="310" customWidth="1"/>
    <col min="11014" max="11014" width="20.5546875" style="310" bestFit="1" customWidth="1"/>
    <col min="11015" max="11015" width="17.109375" style="310" customWidth="1"/>
    <col min="11016" max="11016" width="21.88671875" style="310" bestFit="1" customWidth="1"/>
    <col min="11017" max="11017" width="17.109375" style="310" bestFit="1" customWidth="1"/>
    <col min="11018" max="11018" width="18.109375" style="310" bestFit="1" customWidth="1"/>
    <col min="11019" max="11019" width="26.44140625" style="310" customWidth="1"/>
    <col min="11020" max="11264" width="9.109375" style="310"/>
    <col min="11265" max="11265" width="8.6640625" style="310" bestFit="1" customWidth="1"/>
    <col min="11266" max="11266" width="13.33203125" style="310" customWidth="1"/>
    <col min="11267" max="11267" width="16.109375" style="310" bestFit="1" customWidth="1"/>
    <col min="11268" max="11268" width="23.5546875" style="310" customWidth="1"/>
    <col min="11269" max="11269" width="17.33203125" style="310" customWidth="1"/>
    <col min="11270" max="11270" width="20.5546875" style="310" bestFit="1" customWidth="1"/>
    <col min="11271" max="11271" width="17.109375" style="310" customWidth="1"/>
    <col min="11272" max="11272" width="21.88671875" style="310" bestFit="1" customWidth="1"/>
    <col min="11273" max="11273" width="17.109375" style="310" bestFit="1" customWidth="1"/>
    <col min="11274" max="11274" width="18.109375" style="310" bestFit="1" customWidth="1"/>
    <col min="11275" max="11275" width="26.44140625" style="310" customWidth="1"/>
    <col min="11276" max="11520" width="9.109375" style="310"/>
    <col min="11521" max="11521" width="8.6640625" style="310" bestFit="1" customWidth="1"/>
    <col min="11522" max="11522" width="13.33203125" style="310" customWidth="1"/>
    <col min="11523" max="11523" width="16.109375" style="310" bestFit="1" customWidth="1"/>
    <col min="11524" max="11524" width="23.5546875" style="310" customWidth="1"/>
    <col min="11525" max="11525" width="17.33203125" style="310" customWidth="1"/>
    <col min="11526" max="11526" width="20.5546875" style="310" bestFit="1" customWidth="1"/>
    <col min="11527" max="11527" width="17.109375" style="310" customWidth="1"/>
    <col min="11528" max="11528" width="21.88671875" style="310" bestFit="1" customWidth="1"/>
    <col min="11529" max="11529" width="17.109375" style="310" bestFit="1" customWidth="1"/>
    <col min="11530" max="11530" width="18.109375" style="310" bestFit="1" customWidth="1"/>
    <col min="11531" max="11531" width="26.44140625" style="310" customWidth="1"/>
    <col min="11532" max="11776" width="9.109375" style="310"/>
    <col min="11777" max="11777" width="8.6640625" style="310" bestFit="1" customWidth="1"/>
    <col min="11778" max="11778" width="13.33203125" style="310" customWidth="1"/>
    <col min="11779" max="11779" width="16.109375" style="310" bestFit="1" customWidth="1"/>
    <col min="11780" max="11780" width="23.5546875" style="310" customWidth="1"/>
    <col min="11781" max="11781" width="17.33203125" style="310" customWidth="1"/>
    <col min="11782" max="11782" width="20.5546875" style="310" bestFit="1" customWidth="1"/>
    <col min="11783" max="11783" width="17.109375" style="310" customWidth="1"/>
    <col min="11784" max="11784" width="21.88671875" style="310" bestFit="1" customWidth="1"/>
    <col min="11785" max="11785" width="17.109375" style="310" bestFit="1" customWidth="1"/>
    <col min="11786" max="11786" width="18.109375" style="310" bestFit="1" customWidth="1"/>
    <col min="11787" max="11787" width="26.44140625" style="310" customWidth="1"/>
    <col min="11788" max="12032" width="9.109375" style="310"/>
    <col min="12033" max="12033" width="8.6640625" style="310" bestFit="1" customWidth="1"/>
    <col min="12034" max="12034" width="13.33203125" style="310" customWidth="1"/>
    <col min="12035" max="12035" width="16.109375" style="310" bestFit="1" customWidth="1"/>
    <col min="12036" max="12036" width="23.5546875" style="310" customWidth="1"/>
    <col min="12037" max="12037" width="17.33203125" style="310" customWidth="1"/>
    <col min="12038" max="12038" width="20.5546875" style="310" bestFit="1" customWidth="1"/>
    <col min="12039" max="12039" width="17.109375" style="310" customWidth="1"/>
    <col min="12040" max="12040" width="21.88671875" style="310" bestFit="1" customWidth="1"/>
    <col min="12041" max="12041" width="17.109375" style="310" bestFit="1" customWidth="1"/>
    <col min="12042" max="12042" width="18.109375" style="310" bestFit="1" customWidth="1"/>
    <col min="12043" max="12043" width="26.44140625" style="310" customWidth="1"/>
    <col min="12044" max="12288" width="9.109375" style="310"/>
    <col min="12289" max="12289" width="8.6640625" style="310" bestFit="1" customWidth="1"/>
    <col min="12290" max="12290" width="13.33203125" style="310" customWidth="1"/>
    <col min="12291" max="12291" width="16.109375" style="310" bestFit="1" customWidth="1"/>
    <col min="12292" max="12292" width="23.5546875" style="310" customWidth="1"/>
    <col min="12293" max="12293" width="17.33203125" style="310" customWidth="1"/>
    <col min="12294" max="12294" width="20.5546875" style="310" bestFit="1" customWidth="1"/>
    <col min="12295" max="12295" width="17.109375" style="310" customWidth="1"/>
    <col min="12296" max="12296" width="21.88671875" style="310" bestFit="1" customWidth="1"/>
    <col min="12297" max="12297" width="17.109375" style="310" bestFit="1" customWidth="1"/>
    <col min="12298" max="12298" width="18.109375" style="310" bestFit="1" customWidth="1"/>
    <col min="12299" max="12299" width="26.44140625" style="310" customWidth="1"/>
    <col min="12300" max="12544" width="9.109375" style="310"/>
    <col min="12545" max="12545" width="8.6640625" style="310" bestFit="1" customWidth="1"/>
    <col min="12546" max="12546" width="13.33203125" style="310" customWidth="1"/>
    <col min="12547" max="12547" width="16.109375" style="310" bestFit="1" customWidth="1"/>
    <col min="12548" max="12548" width="23.5546875" style="310" customWidth="1"/>
    <col min="12549" max="12549" width="17.33203125" style="310" customWidth="1"/>
    <col min="12550" max="12550" width="20.5546875" style="310" bestFit="1" customWidth="1"/>
    <col min="12551" max="12551" width="17.109375" style="310" customWidth="1"/>
    <col min="12552" max="12552" width="21.88671875" style="310" bestFit="1" customWidth="1"/>
    <col min="12553" max="12553" width="17.109375" style="310" bestFit="1" customWidth="1"/>
    <col min="12554" max="12554" width="18.109375" style="310" bestFit="1" customWidth="1"/>
    <col min="12555" max="12555" width="26.44140625" style="310" customWidth="1"/>
    <col min="12556" max="12800" width="9.109375" style="310"/>
    <col min="12801" max="12801" width="8.6640625" style="310" bestFit="1" customWidth="1"/>
    <col min="12802" max="12802" width="13.33203125" style="310" customWidth="1"/>
    <col min="12803" max="12803" width="16.109375" style="310" bestFit="1" customWidth="1"/>
    <col min="12804" max="12804" width="23.5546875" style="310" customWidth="1"/>
    <col min="12805" max="12805" width="17.33203125" style="310" customWidth="1"/>
    <col min="12806" max="12806" width="20.5546875" style="310" bestFit="1" customWidth="1"/>
    <col min="12807" max="12807" width="17.109375" style="310" customWidth="1"/>
    <col min="12808" max="12808" width="21.88671875" style="310" bestFit="1" customWidth="1"/>
    <col min="12809" max="12809" width="17.109375" style="310" bestFit="1" customWidth="1"/>
    <col min="12810" max="12810" width="18.109375" style="310" bestFit="1" customWidth="1"/>
    <col min="12811" max="12811" width="26.44140625" style="310" customWidth="1"/>
    <col min="12812" max="13056" width="9.109375" style="310"/>
    <col min="13057" max="13057" width="8.6640625" style="310" bestFit="1" customWidth="1"/>
    <col min="13058" max="13058" width="13.33203125" style="310" customWidth="1"/>
    <col min="13059" max="13059" width="16.109375" style="310" bestFit="1" customWidth="1"/>
    <col min="13060" max="13060" width="23.5546875" style="310" customWidth="1"/>
    <col min="13061" max="13061" width="17.33203125" style="310" customWidth="1"/>
    <col min="13062" max="13062" width="20.5546875" style="310" bestFit="1" customWidth="1"/>
    <col min="13063" max="13063" width="17.109375" style="310" customWidth="1"/>
    <col min="13064" max="13064" width="21.88671875" style="310" bestFit="1" customWidth="1"/>
    <col min="13065" max="13065" width="17.109375" style="310" bestFit="1" customWidth="1"/>
    <col min="13066" max="13066" width="18.109375" style="310" bestFit="1" customWidth="1"/>
    <col min="13067" max="13067" width="26.44140625" style="310" customWidth="1"/>
    <col min="13068" max="13312" width="9.109375" style="310"/>
    <col min="13313" max="13313" width="8.6640625" style="310" bestFit="1" customWidth="1"/>
    <col min="13314" max="13314" width="13.33203125" style="310" customWidth="1"/>
    <col min="13315" max="13315" width="16.109375" style="310" bestFit="1" customWidth="1"/>
    <col min="13316" max="13316" width="23.5546875" style="310" customWidth="1"/>
    <col min="13317" max="13317" width="17.33203125" style="310" customWidth="1"/>
    <col min="13318" max="13318" width="20.5546875" style="310" bestFit="1" customWidth="1"/>
    <col min="13319" max="13319" width="17.109375" style="310" customWidth="1"/>
    <col min="13320" max="13320" width="21.88671875" style="310" bestFit="1" customWidth="1"/>
    <col min="13321" max="13321" width="17.109375" style="310" bestFit="1" customWidth="1"/>
    <col min="13322" max="13322" width="18.109375" style="310" bestFit="1" customWidth="1"/>
    <col min="13323" max="13323" width="26.44140625" style="310" customWidth="1"/>
    <col min="13324" max="13568" width="9.109375" style="310"/>
    <col min="13569" max="13569" width="8.6640625" style="310" bestFit="1" customWidth="1"/>
    <col min="13570" max="13570" width="13.33203125" style="310" customWidth="1"/>
    <col min="13571" max="13571" width="16.109375" style="310" bestFit="1" customWidth="1"/>
    <col min="13572" max="13572" width="23.5546875" style="310" customWidth="1"/>
    <col min="13573" max="13573" width="17.33203125" style="310" customWidth="1"/>
    <col min="13574" max="13574" width="20.5546875" style="310" bestFit="1" customWidth="1"/>
    <col min="13575" max="13575" width="17.109375" style="310" customWidth="1"/>
    <col min="13576" max="13576" width="21.88671875" style="310" bestFit="1" customWidth="1"/>
    <col min="13577" max="13577" width="17.109375" style="310" bestFit="1" customWidth="1"/>
    <col min="13578" max="13578" width="18.109375" style="310" bestFit="1" customWidth="1"/>
    <col min="13579" max="13579" width="26.44140625" style="310" customWidth="1"/>
    <col min="13580" max="13824" width="9.109375" style="310"/>
    <col min="13825" max="13825" width="8.6640625" style="310" bestFit="1" customWidth="1"/>
    <col min="13826" max="13826" width="13.33203125" style="310" customWidth="1"/>
    <col min="13827" max="13827" width="16.109375" style="310" bestFit="1" customWidth="1"/>
    <col min="13828" max="13828" width="23.5546875" style="310" customWidth="1"/>
    <col min="13829" max="13829" width="17.33203125" style="310" customWidth="1"/>
    <col min="13830" max="13830" width="20.5546875" style="310" bestFit="1" customWidth="1"/>
    <col min="13831" max="13831" width="17.109375" style="310" customWidth="1"/>
    <col min="13832" max="13832" width="21.88671875" style="310" bestFit="1" customWidth="1"/>
    <col min="13833" max="13833" width="17.109375" style="310" bestFit="1" customWidth="1"/>
    <col min="13834" max="13834" width="18.109375" style="310" bestFit="1" customWidth="1"/>
    <col min="13835" max="13835" width="26.44140625" style="310" customWidth="1"/>
    <col min="13836" max="14080" width="9.109375" style="310"/>
    <col min="14081" max="14081" width="8.6640625" style="310" bestFit="1" customWidth="1"/>
    <col min="14082" max="14082" width="13.33203125" style="310" customWidth="1"/>
    <col min="14083" max="14083" width="16.109375" style="310" bestFit="1" customWidth="1"/>
    <col min="14084" max="14084" width="23.5546875" style="310" customWidth="1"/>
    <col min="14085" max="14085" width="17.33203125" style="310" customWidth="1"/>
    <col min="14086" max="14086" width="20.5546875" style="310" bestFit="1" customWidth="1"/>
    <col min="14087" max="14087" width="17.109375" style="310" customWidth="1"/>
    <col min="14088" max="14088" width="21.88671875" style="310" bestFit="1" customWidth="1"/>
    <col min="14089" max="14089" width="17.109375" style="310" bestFit="1" customWidth="1"/>
    <col min="14090" max="14090" width="18.109375" style="310" bestFit="1" customWidth="1"/>
    <col min="14091" max="14091" width="26.44140625" style="310" customWidth="1"/>
    <col min="14092" max="14336" width="9.109375" style="310"/>
    <col min="14337" max="14337" width="8.6640625" style="310" bestFit="1" customWidth="1"/>
    <col min="14338" max="14338" width="13.33203125" style="310" customWidth="1"/>
    <col min="14339" max="14339" width="16.109375" style="310" bestFit="1" customWidth="1"/>
    <col min="14340" max="14340" width="23.5546875" style="310" customWidth="1"/>
    <col min="14341" max="14341" width="17.33203125" style="310" customWidth="1"/>
    <col min="14342" max="14342" width="20.5546875" style="310" bestFit="1" customWidth="1"/>
    <col min="14343" max="14343" width="17.109375" style="310" customWidth="1"/>
    <col min="14344" max="14344" width="21.88671875" style="310" bestFit="1" customWidth="1"/>
    <col min="14345" max="14345" width="17.109375" style="310" bestFit="1" customWidth="1"/>
    <col min="14346" max="14346" width="18.109375" style="310" bestFit="1" customWidth="1"/>
    <col min="14347" max="14347" width="26.44140625" style="310" customWidth="1"/>
    <col min="14348" max="14592" width="9.109375" style="310"/>
    <col min="14593" max="14593" width="8.6640625" style="310" bestFit="1" customWidth="1"/>
    <col min="14594" max="14594" width="13.33203125" style="310" customWidth="1"/>
    <col min="14595" max="14595" width="16.109375" style="310" bestFit="1" customWidth="1"/>
    <col min="14596" max="14596" width="23.5546875" style="310" customWidth="1"/>
    <col min="14597" max="14597" width="17.33203125" style="310" customWidth="1"/>
    <col min="14598" max="14598" width="20.5546875" style="310" bestFit="1" customWidth="1"/>
    <col min="14599" max="14599" width="17.109375" style="310" customWidth="1"/>
    <col min="14600" max="14600" width="21.88671875" style="310" bestFit="1" customWidth="1"/>
    <col min="14601" max="14601" width="17.109375" style="310" bestFit="1" customWidth="1"/>
    <col min="14602" max="14602" width="18.109375" style="310" bestFit="1" customWidth="1"/>
    <col min="14603" max="14603" width="26.44140625" style="310" customWidth="1"/>
    <col min="14604" max="14848" width="9.109375" style="310"/>
    <col min="14849" max="14849" width="8.6640625" style="310" bestFit="1" customWidth="1"/>
    <col min="14850" max="14850" width="13.33203125" style="310" customWidth="1"/>
    <col min="14851" max="14851" width="16.109375" style="310" bestFit="1" customWidth="1"/>
    <col min="14852" max="14852" width="23.5546875" style="310" customWidth="1"/>
    <col min="14853" max="14853" width="17.33203125" style="310" customWidth="1"/>
    <col min="14854" max="14854" width="20.5546875" style="310" bestFit="1" customWidth="1"/>
    <col min="14855" max="14855" width="17.109375" style="310" customWidth="1"/>
    <col min="14856" max="14856" width="21.88671875" style="310" bestFit="1" customWidth="1"/>
    <col min="14857" max="14857" width="17.109375" style="310" bestFit="1" customWidth="1"/>
    <col min="14858" max="14858" width="18.109375" style="310" bestFit="1" customWidth="1"/>
    <col min="14859" max="14859" width="26.44140625" style="310" customWidth="1"/>
    <col min="14860" max="15104" width="9.109375" style="310"/>
    <col min="15105" max="15105" width="8.6640625" style="310" bestFit="1" customWidth="1"/>
    <col min="15106" max="15106" width="13.33203125" style="310" customWidth="1"/>
    <col min="15107" max="15107" width="16.109375" style="310" bestFit="1" customWidth="1"/>
    <col min="15108" max="15108" width="23.5546875" style="310" customWidth="1"/>
    <col min="15109" max="15109" width="17.33203125" style="310" customWidth="1"/>
    <col min="15110" max="15110" width="20.5546875" style="310" bestFit="1" customWidth="1"/>
    <col min="15111" max="15111" width="17.109375" style="310" customWidth="1"/>
    <col min="15112" max="15112" width="21.88671875" style="310" bestFit="1" customWidth="1"/>
    <col min="15113" max="15113" width="17.109375" style="310" bestFit="1" customWidth="1"/>
    <col min="15114" max="15114" width="18.109375" style="310" bestFit="1" customWidth="1"/>
    <col min="15115" max="15115" width="26.44140625" style="310" customWidth="1"/>
    <col min="15116" max="15360" width="9.109375" style="310"/>
    <col min="15361" max="15361" width="8.6640625" style="310" bestFit="1" customWidth="1"/>
    <col min="15362" max="15362" width="13.33203125" style="310" customWidth="1"/>
    <col min="15363" max="15363" width="16.109375" style="310" bestFit="1" customWidth="1"/>
    <col min="15364" max="15364" width="23.5546875" style="310" customWidth="1"/>
    <col min="15365" max="15365" width="17.33203125" style="310" customWidth="1"/>
    <col min="15366" max="15366" width="20.5546875" style="310" bestFit="1" customWidth="1"/>
    <col min="15367" max="15367" width="17.109375" style="310" customWidth="1"/>
    <col min="15368" max="15368" width="21.88671875" style="310" bestFit="1" customWidth="1"/>
    <col min="15369" max="15369" width="17.109375" style="310" bestFit="1" customWidth="1"/>
    <col min="15370" max="15370" width="18.109375" style="310" bestFit="1" customWidth="1"/>
    <col min="15371" max="15371" width="26.44140625" style="310" customWidth="1"/>
    <col min="15372" max="15616" width="9.109375" style="310"/>
    <col min="15617" max="15617" width="8.6640625" style="310" bestFit="1" customWidth="1"/>
    <col min="15618" max="15618" width="13.33203125" style="310" customWidth="1"/>
    <col min="15619" max="15619" width="16.109375" style="310" bestFit="1" customWidth="1"/>
    <col min="15620" max="15620" width="23.5546875" style="310" customWidth="1"/>
    <col min="15621" max="15621" width="17.33203125" style="310" customWidth="1"/>
    <col min="15622" max="15622" width="20.5546875" style="310" bestFit="1" customWidth="1"/>
    <col min="15623" max="15623" width="17.109375" style="310" customWidth="1"/>
    <col min="15624" max="15624" width="21.88671875" style="310" bestFit="1" customWidth="1"/>
    <col min="15625" max="15625" width="17.109375" style="310" bestFit="1" customWidth="1"/>
    <col min="15626" max="15626" width="18.109375" style="310" bestFit="1" customWidth="1"/>
    <col min="15627" max="15627" width="26.44140625" style="310" customWidth="1"/>
    <col min="15628" max="15872" width="9.109375" style="310"/>
    <col min="15873" max="15873" width="8.6640625" style="310" bestFit="1" customWidth="1"/>
    <col min="15874" max="15874" width="13.33203125" style="310" customWidth="1"/>
    <col min="15875" max="15875" width="16.109375" style="310" bestFit="1" customWidth="1"/>
    <col min="15876" max="15876" width="23.5546875" style="310" customWidth="1"/>
    <col min="15877" max="15877" width="17.33203125" style="310" customWidth="1"/>
    <col min="15878" max="15878" width="20.5546875" style="310" bestFit="1" customWidth="1"/>
    <col min="15879" max="15879" width="17.109375" style="310" customWidth="1"/>
    <col min="15880" max="15880" width="21.88671875" style="310" bestFit="1" customWidth="1"/>
    <col min="15881" max="15881" width="17.109375" style="310" bestFit="1" customWidth="1"/>
    <col min="15882" max="15882" width="18.109375" style="310" bestFit="1" customWidth="1"/>
    <col min="15883" max="15883" width="26.44140625" style="310" customWidth="1"/>
    <col min="15884" max="16128" width="9.109375" style="310"/>
    <col min="16129" max="16129" width="8.6640625" style="310" bestFit="1" customWidth="1"/>
    <col min="16130" max="16130" width="13.33203125" style="310" customWidth="1"/>
    <col min="16131" max="16131" width="16.109375" style="310" bestFit="1" customWidth="1"/>
    <col min="16132" max="16132" width="23.5546875" style="310" customWidth="1"/>
    <col min="16133" max="16133" width="17.33203125" style="310" customWidth="1"/>
    <col min="16134" max="16134" width="20.5546875" style="310" bestFit="1" customWidth="1"/>
    <col min="16135" max="16135" width="17.109375" style="310" customWidth="1"/>
    <col min="16136" max="16136" width="21.88671875" style="310" bestFit="1" customWidth="1"/>
    <col min="16137" max="16137" width="17.109375" style="310" bestFit="1" customWidth="1"/>
    <col min="16138" max="16138" width="18.109375" style="310" bestFit="1" customWidth="1"/>
    <col min="16139" max="16139" width="26.44140625" style="310" customWidth="1"/>
    <col min="16140" max="16384" width="9.109375" style="310"/>
  </cols>
  <sheetData>
    <row r="1" spans="13:13" s="346" customFormat="1" x14ac:dyDescent="0.25">
      <c r="M1" s="347"/>
    </row>
    <row r="2" spans="13:13" s="346" customFormat="1" x14ac:dyDescent="0.25">
      <c r="M2" s="347"/>
    </row>
    <row r="3" spans="13:13" s="346" customFormat="1" x14ac:dyDescent="0.25">
      <c r="M3" s="347"/>
    </row>
    <row r="4" spans="13:13" s="346" customFormat="1" x14ac:dyDescent="0.25">
      <c r="M4" s="347"/>
    </row>
    <row r="5" spans="13:13" s="346" customFormat="1" x14ac:dyDescent="0.25">
      <c r="M5" s="347"/>
    </row>
    <row r="6" spans="13:13" s="346" customFormat="1" x14ac:dyDescent="0.25">
      <c r="M6" s="347"/>
    </row>
    <row r="7" spans="13:13" s="346" customFormat="1" x14ac:dyDescent="0.25">
      <c r="M7" s="347"/>
    </row>
    <row r="8" spans="13:13" s="346" customFormat="1" x14ac:dyDescent="0.25">
      <c r="M8" s="347"/>
    </row>
    <row r="9" spans="13:13" s="346" customFormat="1" x14ac:dyDescent="0.25">
      <c r="M9" s="347"/>
    </row>
    <row r="10" spans="13:13" s="346" customFormat="1" x14ac:dyDescent="0.25">
      <c r="M10" s="347"/>
    </row>
    <row r="11" spans="13:13" s="346" customFormat="1" x14ac:dyDescent="0.25">
      <c r="M11" s="347"/>
    </row>
    <row r="12" spans="13:13" s="346" customFormat="1" x14ac:dyDescent="0.25">
      <c r="M12" s="347"/>
    </row>
    <row r="13" spans="13:13" s="346" customFormat="1" x14ac:dyDescent="0.25">
      <c r="M13" s="347"/>
    </row>
    <row r="14" spans="13:13" s="346" customFormat="1" x14ac:dyDescent="0.25">
      <c r="M14" s="347"/>
    </row>
    <row r="15" spans="13:13" s="346" customFormat="1" x14ac:dyDescent="0.25">
      <c r="M15" s="347"/>
    </row>
    <row r="16" spans="13:13" s="346" customFormat="1" x14ac:dyDescent="0.25">
      <c r="M16" s="347"/>
    </row>
    <row r="17" spans="13:13" s="346" customFormat="1" x14ac:dyDescent="0.25">
      <c r="M17" s="347"/>
    </row>
    <row r="18" spans="13:13" s="346" customFormat="1" x14ac:dyDescent="0.25">
      <c r="M18" s="347"/>
    </row>
    <row r="19" spans="13:13" s="346" customFormat="1" x14ac:dyDescent="0.25">
      <c r="M19" s="347"/>
    </row>
    <row r="20" spans="13:13" s="346" customFormat="1" x14ac:dyDescent="0.25">
      <c r="M20" s="347"/>
    </row>
    <row r="21" spans="13:13" s="346" customFormat="1" x14ac:dyDescent="0.25">
      <c r="M21" s="347"/>
    </row>
    <row r="22" spans="13:13" s="346" customFormat="1" x14ac:dyDescent="0.25">
      <c r="M22" s="347"/>
    </row>
    <row r="23" spans="13:13" s="346" customFormat="1" x14ac:dyDescent="0.25">
      <c r="M23" s="347"/>
    </row>
    <row r="24" spans="13:13" s="346" customFormat="1" x14ac:dyDescent="0.25">
      <c r="M24" s="347"/>
    </row>
    <row r="25" spans="13:13" s="346" customFormat="1" x14ac:dyDescent="0.25">
      <c r="M25" s="347"/>
    </row>
    <row r="26" spans="13:13" s="346" customFormat="1" x14ac:dyDescent="0.25">
      <c r="M26" s="347"/>
    </row>
    <row r="27" spans="13:13" s="346" customFormat="1" x14ac:dyDescent="0.25">
      <c r="M27" s="347"/>
    </row>
    <row r="28" spans="13:13" s="346" customFormat="1" x14ac:dyDescent="0.25">
      <c r="M28" s="347"/>
    </row>
    <row r="29" spans="13:13" s="346" customFormat="1" x14ac:dyDescent="0.25">
      <c r="M29" s="347"/>
    </row>
    <row r="30" spans="13:13" s="346" customFormat="1" x14ac:dyDescent="0.25">
      <c r="M30" s="347"/>
    </row>
    <row r="31" spans="13:13" s="346" customFormat="1" x14ac:dyDescent="0.25">
      <c r="M31" s="347"/>
    </row>
    <row r="32" spans="13:13" s="346" customFormat="1" x14ac:dyDescent="0.25">
      <c r="M32" s="347"/>
    </row>
    <row r="33" spans="1:19" s="346" customFormat="1" x14ac:dyDescent="0.25">
      <c r="M33" s="347"/>
    </row>
    <row r="34" spans="1:19" s="346" customFormat="1" ht="15.75" customHeight="1" x14ac:dyDescent="0.25">
      <c r="B34" s="346" t="s">
        <v>691</v>
      </c>
    </row>
    <row r="35" spans="1:19" s="346" customFormat="1" ht="24.75" customHeight="1" x14ac:dyDescent="0.3">
      <c r="A35" s="350" t="str">
        <f>"VIN = "&amp;Vin&amp;"V, VOUT = "&amp; Vout &amp;"V, IOUT = " &amp;Iout &amp; "A,  Fsw = " &amp; Fsw/1000 &amp;"kHz, Current Limit = "&amp;ROUNDUP(DC_Current_Limit_Setpoint,0)&amp;"A"</f>
        <v>VIN = 24V, VOUT = 5.1V, IOUT = 6A,  Fsw = 300kHz, Current Limit = 7A</v>
      </c>
      <c r="Q35" s="456"/>
    </row>
    <row r="36" spans="1:19" ht="24.75" customHeight="1" thickBot="1" x14ac:dyDescent="0.3">
      <c r="A36" s="312" t="s">
        <v>701</v>
      </c>
      <c r="Q36" s="457"/>
    </row>
    <row r="37" spans="1:19" ht="18" customHeight="1" x14ac:dyDescent="0.25">
      <c r="A37" s="442" t="s">
        <v>506</v>
      </c>
      <c r="B37" s="443" t="s">
        <v>505</v>
      </c>
      <c r="C37" s="443" t="s">
        <v>8</v>
      </c>
      <c r="D37" s="536" t="s">
        <v>188</v>
      </c>
      <c r="E37" s="537"/>
      <c r="F37" s="537"/>
      <c r="G37" s="538"/>
      <c r="H37" s="443" t="s">
        <v>492</v>
      </c>
      <c r="I37" s="443" t="s">
        <v>302</v>
      </c>
      <c r="J37" s="443" t="s">
        <v>493</v>
      </c>
      <c r="K37" s="431" t="s">
        <v>666</v>
      </c>
      <c r="L37" s="432" t="s">
        <v>667</v>
      </c>
      <c r="M37" s="310"/>
      <c r="P37" s="464"/>
      <c r="Q37" s="471"/>
      <c r="R37" s="464"/>
      <c r="S37" s="464"/>
    </row>
    <row r="38" spans="1:19" s="317" customFormat="1" ht="17.100000000000001" customHeight="1" x14ac:dyDescent="0.25">
      <c r="A38" s="314">
        <v>1</v>
      </c>
      <c r="B38" s="315" t="s">
        <v>600</v>
      </c>
      <c r="C38" s="329">
        <v>0.1</v>
      </c>
      <c r="D38" s="554">
        <f t="shared" ref="D38:D47" si="0">C38</f>
        <v>0.1</v>
      </c>
      <c r="E38" s="555"/>
      <c r="F38" s="555"/>
      <c r="G38" s="330"/>
      <c r="H38" s="331"/>
      <c r="I38" s="316" t="s">
        <v>494</v>
      </c>
      <c r="J38" s="435" t="s">
        <v>494</v>
      </c>
      <c r="K38" s="439" t="str">
        <f>CHOOSE(Q38, 'Variable Management'!N69,'Variable Management'!N70,'Variable Management'!N71)</f>
        <v>1.6 x 0.8</v>
      </c>
      <c r="L38" s="433">
        <f>CHOOSE(Q38, 'Variable Management'!O69,'Variable Management'!O70,'Variable Management'!O71)</f>
        <v>1.3</v>
      </c>
      <c r="P38" s="455"/>
      <c r="Q38" s="458">
        <v>2</v>
      </c>
      <c r="R38" s="455"/>
      <c r="S38" s="455"/>
    </row>
    <row r="39" spans="1:19" s="317" customFormat="1" ht="17.100000000000001" customHeight="1" x14ac:dyDescent="0.25">
      <c r="A39" s="313">
        <v>1</v>
      </c>
      <c r="B39" s="332" t="s">
        <v>498</v>
      </c>
      <c r="C39" s="333">
        <f>'Design Regulator'!D75</f>
        <v>3300</v>
      </c>
      <c r="D39" s="556">
        <f t="shared" si="0"/>
        <v>3300</v>
      </c>
      <c r="E39" s="557"/>
      <c r="F39" s="557"/>
      <c r="G39" s="334"/>
      <c r="H39" s="335"/>
      <c r="I39" s="336" t="s">
        <v>494</v>
      </c>
      <c r="J39" s="436" t="s">
        <v>494</v>
      </c>
      <c r="K39" s="440" t="str">
        <f>CHOOSE(Q39, 'Variable Management'!N69,'Variable Management'!N70,'Variable Management'!N71)</f>
        <v>1.0 x 0.5</v>
      </c>
      <c r="L39" s="441">
        <f>CHOOSE(Q39, 'Variable Management'!O69,'Variable Management'!O70,'Variable Management'!O71)</f>
        <v>0.5</v>
      </c>
      <c r="P39" s="455"/>
      <c r="Q39" s="458">
        <v>1</v>
      </c>
      <c r="R39" s="455"/>
      <c r="S39" s="455"/>
    </row>
    <row r="40" spans="1:19" s="317" customFormat="1" ht="17.100000000000001" customHeight="1" x14ac:dyDescent="0.25">
      <c r="A40" s="313">
        <v>1</v>
      </c>
      <c r="B40" s="332" t="s">
        <v>499</v>
      </c>
      <c r="C40" s="333">
        <f>'Design Regulator'!D76</f>
        <v>12</v>
      </c>
      <c r="D40" s="558">
        <f t="shared" si="0"/>
        <v>12</v>
      </c>
      <c r="E40" s="559"/>
      <c r="F40" s="559"/>
      <c r="G40" s="334"/>
      <c r="H40" s="335"/>
      <c r="I40" s="336" t="s">
        <v>494</v>
      </c>
      <c r="J40" s="436" t="s">
        <v>494</v>
      </c>
      <c r="K40" s="440" t="str">
        <f>CHOOSE(Q40, 'Variable Management'!N69,'Variable Management'!N70,'Variable Management'!N71)</f>
        <v>1.0 x 0.5</v>
      </c>
      <c r="L40" s="441">
        <f>CHOOSE(Q40, 'Variable Management'!O69,'Variable Management'!O70,'Variable Management'!O71)</f>
        <v>0.5</v>
      </c>
      <c r="P40" s="455"/>
      <c r="Q40" s="458">
        <v>1</v>
      </c>
      <c r="R40" s="455"/>
      <c r="S40" s="455"/>
    </row>
    <row r="41" spans="1:19" s="317" customFormat="1" ht="17.100000000000001" customHeight="1" x14ac:dyDescent="0.25">
      <c r="A41" s="313">
        <v>1</v>
      </c>
      <c r="B41" s="332" t="s">
        <v>500</v>
      </c>
      <c r="C41" s="333">
        <f>'Design Regulator'!D78</f>
        <v>2200</v>
      </c>
      <c r="D41" s="558">
        <f t="shared" si="0"/>
        <v>2200</v>
      </c>
      <c r="E41" s="559"/>
      <c r="F41" s="559"/>
      <c r="G41" s="334"/>
      <c r="H41" s="335"/>
      <c r="I41" s="336" t="s">
        <v>494</v>
      </c>
      <c r="J41" s="436" t="s">
        <v>494</v>
      </c>
      <c r="K41" s="440" t="str">
        <f>CHOOSE(Q41, 'Variable Management'!N69,'Variable Management'!N70,'Variable Management'!N71)</f>
        <v>1.0 x 0.5</v>
      </c>
      <c r="L41" s="441">
        <f>CHOOSE(Q41, 'Variable Management'!O69,'Variable Management'!O70,'Variable Management'!O71)</f>
        <v>0.5</v>
      </c>
      <c r="P41" s="455"/>
      <c r="Q41" s="458">
        <v>1</v>
      </c>
      <c r="R41" s="455"/>
      <c r="S41" s="455"/>
    </row>
    <row r="42" spans="1:19" s="317" customFormat="1" ht="17.100000000000001" customHeight="1" x14ac:dyDescent="0.25">
      <c r="A42" s="324">
        <v>1</v>
      </c>
      <c r="B42" s="325" t="s">
        <v>709</v>
      </c>
      <c r="C42" s="340" t="str">
        <f>'Variable Management'!B270</f>
        <v>33pF</v>
      </c>
      <c r="D42" s="529" t="str">
        <f>"Capacitor, Ceramic, "&amp;'Variable Management'!B270&amp;", 100V, X7R, 20%"</f>
        <v>Capacitor, Ceramic, 33pF, 100V, X7R, 20%</v>
      </c>
      <c r="E42" s="530"/>
      <c r="F42" s="530"/>
      <c r="G42" s="337"/>
      <c r="H42" s="327"/>
      <c r="I42" s="328" t="s">
        <v>494</v>
      </c>
      <c r="J42" s="437" t="s">
        <v>494</v>
      </c>
      <c r="K42" s="439" t="str">
        <f>CHOOSE(Q42, 'Variable Management'!N69,'Variable Management'!N70,'Variable Management'!N71)</f>
        <v>1.6 x 0.8</v>
      </c>
      <c r="L42" s="433">
        <f>CHOOSE(RDSON_sense,CHOOSE(Q42,'Variable Management'!O69,'Variable Management'!O70,'Variable Management'!O71),0)</f>
        <v>1.3</v>
      </c>
      <c r="P42" s="455"/>
      <c r="Q42" s="458">
        <v>2</v>
      </c>
      <c r="R42" s="455"/>
      <c r="S42" s="455"/>
    </row>
    <row r="43" spans="1:19" s="317" customFormat="1" ht="17.100000000000001" customHeight="1" x14ac:dyDescent="0.25">
      <c r="A43" s="313">
        <f>ROUNDUP('Design Regulator'!E42/10,0)</f>
        <v>14</v>
      </c>
      <c r="B43" s="332" t="s">
        <v>501</v>
      </c>
      <c r="C43" s="339" t="str">
        <f>'Variable Management'!B249</f>
        <v>4.7µF</v>
      </c>
      <c r="D43" s="522"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100V, X7S, 10%</v>
      </c>
      <c r="E43" s="523"/>
      <c r="F43" s="523"/>
      <c r="G43" s="334"/>
      <c r="H43" s="335"/>
      <c r="I43" s="336" t="s">
        <v>494</v>
      </c>
      <c r="J43" s="436" t="s">
        <v>494</v>
      </c>
      <c r="K43" s="440" t="str">
        <f>CHOOSE(Q43, 'Variable Management'!N69,'Variable Management'!N70,'Variable Management'!N71,'Variable Management'!N72,'Variable Management'!N73)</f>
        <v>3.2 x 2.5</v>
      </c>
      <c r="L43" s="441">
        <f>CHOOSE(Q43, 'Variable Management'!O69,'Variable Management'!O70,'Variable Management'!O71,'Variable Management'!O72,'Variable Management'!O73)*A43</f>
        <v>112</v>
      </c>
      <c r="P43" s="455"/>
      <c r="Q43" s="458">
        <v>5</v>
      </c>
      <c r="R43" s="455"/>
      <c r="S43" s="455"/>
    </row>
    <row r="44" spans="1:19" s="317" customFormat="1" ht="17.100000000000001" customHeight="1" x14ac:dyDescent="0.25">
      <c r="A44" s="313">
        <f>'Variable Management'!D242</f>
        <v>3</v>
      </c>
      <c r="B44" s="332" t="s">
        <v>502</v>
      </c>
      <c r="C44" s="339" t="str">
        <f>'Variable Management'!F243</f>
        <v>47µF</v>
      </c>
      <c r="D44" s="522"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47µF, 10V, X7R, 10%</v>
      </c>
      <c r="E44" s="523"/>
      <c r="F44" s="523"/>
      <c r="G44" s="334"/>
      <c r="H44" s="335"/>
      <c r="I44" s="336" t="s">
        <v>494</v>
      </c>
      <c r="J44" s="436" t="s">
        <v>494</v>
      </c>
      <c r="K44" s="440" t="str">
        <f>CHOOSE(Q44, 'Variable Management'!N69,'Variable Management'!N70,'Variable Management'!N71,'Variable Management'!N72,'Variable Management'!N73)</f>
        <v>3.2 x 2.5</v>
      </c>
      <c r="L44" s="441">
        <f>CHOOSE(Q44, 'Variable Management'!O69,'Variable Management'!O70,'Variable Management'!O71,'Variable Management'!O72,'Variable Management'!O73)*A44</f>
        <v>24</v>
      </c>
      <c r="P44" s="455"/>
      <c r="Q44" s="458">
        <v>5</v>
      </c>
      <c r="R44" s="455"/>
      <c r="S44" s="455"/>
    </row>
    <row r="45" spans="1:19" s="317" customFormat="1" ht="17.100000000000001" customHeight="1" x14ac:dyDescent="0.25">
      <c r="A45" s="324">
        <v>1</v>
      </c>
      <c r="B45" s="325" t="s">
        <v>503</v>
      </c>
      <c r="C45" s="449">
        <f>'Design Regulator'!E50</f>
        <v>100</v>
      </c>
      <c r="D45" s="525">
        <f t="shared" ref="D45" si="1">C45</f>
        <v>100</v>
      </c>
      <c r="E45" s="526"/>
      <c r="F45" s="526"/>
      <c r="G45" s="337"/>
      <c r="H45" s="327"/>
      <c r="I45" s="328" t="s">
        <v>494</v>
      </c>
      <c r="J45" s="437" t="s">
        <v>494</v>
      </c>
      <c r="K45" s="450" t="str">
        <f>CHOOSE(Q45, 'Variable Management'!N69,'Variable Management'!N70,'Variable Management'!N71)</f>
        <v>1.6 x 0.8</v>
      </c>
      <c r="L45" s="451">
        <f>CHOOSE(Q45, 'Variable Management'!O69,'Variable Management'!O70,'Variable Management'!O71)</f>
        <v>1.3</v>
      </c>
      <c r="P45" s="455"/>
      <c r="Q45" s="458">
        <v>2</v>
      </c>
      <c r="R45" s="455"/>
      <c r="S45" s="455"/>
    </row>
    <row r="46" spans="1:19" s="317" customFormat="1" ht="17.100000000000001" customHeight="1" x14ac:dyDescent="0.25">
      <c r="A46" s="324">
        <v>1</v>
      </c>
      <c r="B46" s="325" t="s">
        <v>599</v>
      </c>
      <c r="C46" s="338">
        <v>2.2000000000000002</v>
      </c>
      <c r="D46" s="531">
        <f t="shared" si="0"/>
        <v>2.2000000000000002</v>
      </c>
      <c r="E46" s="532"/>
      <c r="F46" s="532"/>
      <c r="G46" s="337"/>
      <c r="H46" s="327"/>
      <c r="I46" s="328" t="s">
        <v>494</v>
      </c>
      <c r="J46" s="437" t="s">
        <v>494</v>
      </c>
      <c r="K46" s="439" t="str">
        <f>CHOOSE(Q46, 'Variable Management'!N69,'Variable Management'!N70,'Variable Management'!N71)</f>
        <v>2.0 x 1.25</v>
      </c>
      <c r="L46" s="433">
        <f>CHOOSE(Q46, 'Variable Management'!O69,'Variable Management'!O70,'Variable Management'!O71)</f>
        <v>2.5</v>
      </c>
      <c r="P46" s="455"/>
      <c r="Q46" s="458">
        <v>3</v>
      </c>
      <c r="R46" s="455"/>
      <c r="S46" s="455"/>
    </row>
    <row r="47" spans="1:19" s="317" customFormat="1" ht="17.100000000000001" customHeight="1" x14ac:dyDescent="0.25">
      <c r="A47" s="324">
        <v>1</v>
      </c>
      <c r="B47" s="325" t="s">
        <v>504</v>
      </c>
      <c r="C47" s="338">
        <v>0.1</v>
      </c>
      <c r="D47" s="527">
        <f t="shared" si="0"/>
        <v>0.1</v>
      </c>
      <c r="E47" s="528"/>
      <c r="F47" s="528"/>
      <c r="G47" s="337"/>
      <c r="H47" s="327"/>
      <c r="I47" s="328" t="s">
        <v>494</v>
      </c>
      <c r="J47" s="437" t="s">
        <v>494</v>
      </c>
      <c r="K47" s="439" t="str">
        <f>CHOOSE(Q47, 'Variable Management'!N69,'Variable Management'!N70,'Variable Management'!N71)</f>
        <v>1.6 x 0.8</v>
      </c>
      <c r="L47" s="433">
        <f>CHOOSE(Q47, 'Variable Management'!O69,'Variable Management'!O70,'Variable Management'!O71)</f>
        <v>1.3</v>
      </c>
      <c r="P47" s="455"/>
      <c r="Q47" s="458">
        <v>2</v>
      </c>
      <c r="R47" s="455"/>
      <c r="S47" s="455"/>
    </row>
    <row r="48" spans="1:19" s="317" customFormat="1" ht="17.100000000000001" customHeight="1" x14ac:dyDescent="0.25">
      <c r="A48" s="313">
        <v>1</v>
      </c>
      <c r="B48" s="332" t="s">
        <v>766</v>
      </c>
      <c r="C48" s="341">
        <f>'Design Regulator'!E17</f>
        <v>9.5</v>
      </c>
      <c r="D48" s="522" t="str">
        <f>"Inductor, "&amp;Lout2*1000000&amp;"µH, "&amp;Rdcr*1000&amp;"mΩ, &gt;"&amp;ROUNDUP(Ilsat,0)&amp;"A"</f>
        <v>Inductor, 9.5µH, 20mΩ, &gt;9A</v>
      </c>
      <c r="E48" s="523"/>
      <c r="F48" s="523"/>
      <c r="G48" s="524"/>
      <c r="H48" s="336"/>
      <c r="I48" s="336" t="s">
        <v>507</v>
      </c>
      <c r="J48" s="436" t="s">
        <v>507</v>
      </c>
      <c r="K48" s="440" t="str">
        <f>CHOOSE(Q48, 'Variable Management'!N78,'Variable Management'!N79,'Variable Management'!N80, 'Variable Management'!N81, 'Variable Management'!N82, 'Variable Management'!N83, 'Variable Management'!N84, 'Variable Management'!N85)</f>
        <v>10.0 x 10.0</v>
      </c>
      <c r="L48" s="441">
        <f>CHOOSE(Q48, 'Variable Management'!O78,'Variable Management'!O79,'Variable Management'!O80, 'Variable Management'!O81, 'Variable Management'!O82, 'Variable Management'!O83, 'Variable Management'!O84, 'Variable Management'!O85)</f>
        <v>100</v>
      </c>
      <c r="P48" s="455"/>
      <c r="Q48" s="458">
        <v>7</v>
      </c>
      <c r="R48" s="455"/>
      <c r="S48" s="455"/>
    </row>
    <row r="49" spans="1:19" s="317" customFormat="1" ht="17.100000000000001" customHeight="1" x14ac:dyDescent="0.25">
      <c r="A49" s="324">
        <f>R49</f>
        <v>1</v>
      </c>
      <c r="B49" s="325" t="s">
        <v>508</v>
      </c>
      <c r="C49" s="340" t="s">
        <v>495</v>
      </c>
      <c r="D49" s="545">
        <f>'Design Regulator'!E85</f>
        <v>6</v>
      </c>
      <c r="E49" s="546"/>
      <c r="F49" s="546"/>
      <c r="G49" s="547"/>
      <c r="H49" s="328"/>
      <c r="I49" s="328" t="str">
        <f>'Design Regulator'!E84</f>
        <v>CSD19538Q3A</v>
      </c>
      <c r="J49" s="437" t="s">
        <v>496</v>
      </c>
      <c r="K49" s="439" t="str">
        <f>CHOOSE(Q49, 'Variable Management'!N48,'Variable Management'!N49,'Variable Management'!N50,'Variable Management'!N51)</f>
        <v>5.0 x 6.0</v>
      </c>
      <c r="L49" s="433">
        <f>CHOOSE(Q49, 'Variable Management'!O48,'Variable Management'!O49,'Variable Management'!O50,'Variable Management'!O51)*R49</f>
        <v>30</v>
      </c>
      <c r="P49" s="455"/>
      <c r="Q49" s="458">
        <v>1</v>
      </c>
      <c r="R49" s="458">
        <v>1</v>
      </c>
      <c r="S49" s="455"/>
    </row>
    <row r="50" spans="1:19" s="317" customFormat="1" ht="17.100000000000001" customHeight="1" x14ac:dyDescent="0.25">
      <c r="A50" s="324">
        <f>R50</f>
        <v>1</v>
      </c>
      <c r="B50" s="325" t="s">
        <v>509</v>
      </c>
      <c r="C50" s="340" t="s">
        <v>495</v>
      </c>
      <c r="D50" s="545">
        <f>'Design Regulator'!E97</f>
        <v>6</v>
      </c>
      <c r="E50" s="546"/>
      <c r="F50" s="546"/>
      <c r="G50" s="547"/>
      <c r="H50" s="328"/>
      <c r="I50" s="328" t="str">
        <f>'Design Regulator'!E96</f>
        <v>NVMFS6B14NL</v>
      </c>
      <c r="J50" s="437" t="s">
        <v>496</v>
      </c>
      <c r="K50" s="439" t="str">
        <f>CHOOSE(Q50, 'Variable Management'!N48,'Variable Management'!N49,'Variable Management'!N50,'Variable Management'!N51)</f>
        <v>5.0 x 6.0</v>
      </c>
      <c r="L50" s="433">
        <f>CHOOSE(Q50, 'Variable Management'!O48,'Variable Management'!O49,'Variable Management'!O50,'Variable Management'!O51)*R50</f>
        <v>30</v>
      </c>
      <c r="P50" s="455"/>
      <c r="Q50" s="458">
        <v>1</v>
      </c>
      <c r="R50" s="458">
        <v>1</v>
      </c>
      <c r="S50" s="455"/>
    </row>
    <row r="51" spans="1:19" s="317" customFormat="1" ht="17.100000000000001" customHeight="1" x14ac:dyDescent="0.25">
      <c r="A51" s="324"/>
      <c r="B51" s="325"/>
      <c r="C51" s="340"/>
      <c r="D51" s="424"/>
      <c r="E51" s="425"/>
      <c r="F51" s="425"/>
      <c r="G51" s="426"/>
      <c r="H51" s="328"/>
      <c r="I51" s="328"/>
      <c r="J51" s="437"/>
      <c r="K51" s="439"/>
      <c r="L51" s="433"/>
      <c r="P51" s="455"/>
      <c r="Q51" s="458"/>
      <c r="R51" s="455"/>
      <c r="S51" s="455"/>
    </row>
    <row r="52" spans="1:19" s="317" customFormat="1" ht="17.100000000000001" customHeight="1" x14ac:dyDescent="0.25">
      <c r="A52" s="318">
        <v>1</v>
      </c>
      <c r="B52" s="319" t="s">
        <v>510</v>
      </c>
      <c r="C52" s="320">
        <f>'Design Regulator'!D74</f>
        <v>13</v>
      </c>
      <c r="D52" s="533">
        <f t="shared" ref="D52:D62" si="2">C52</f>
        <v>13</v>
      </c>
      <c r="E52" s="534"/>
      <c r="F52" s="534"/>
      <c r="G52" s="535"/>
      <c r="H52" s="321"/>
      <c r="I52" s="322" t="s">
        <v>494</v>
      </c>
      <c r="J52" s="438" t="s">
        <v>494</v>
      </c>
      <c r="K52" s="440" t="str">
        <f>CHOOSE(Q52, 'Variable Management'!N69,'Variable Management'!N70,'Variable Management'!N71)</f>
        <v>1.0 x 0.5</v>
      </c>
      <c r="L52" s="441">
        <f>CHOOSE(Q52, 'Variable Management'!O69,'Variable Management'!O70,'Variable Management'!O71)</f>
        <v>0.5</v>
      </c>
      <c r="P52" s="455"/>
      <c r="Q52" s="458">
        <v>1</v>
      </c>
      <c r="R52" s="455"/>
      <c r="S52" s="455"/>
    </row>
    <row r="53" spans="1:19" s="317" customFormat="1" ht="17.100000000000001" customHeight="1" x14ac:dyDescent="0.25">
      <c r="A53" s="318">
        <v>1</v>
      </c>
      <c r="B53" s="319" t="s">
        <v>511</v>
      </c>
      <c r="C53" s="323">
        <f>'Design Regulator'!D77</f>
        <v>470</v>
      </c>
      <c r="D53" s="519">
        <f t="shared" si="2"/>
        <v>470</v>
      </c>
      <c r="E53" s="520"/>
      <c r="F53" s="520"/>
      <c r="G53" s="521"/>
      <c r="H53" s="321"/>
      <c r="I53" s="322" t="s">
        <v>494</v>
      </c>
      <c r="J53" s="438" t="s">
        <v>494</v>
      </c>
      <c r="K53" s="440" t="str">
        <f>CHOOSE(Q52, 'Variable Management'!N69,'Variable Management'!N70,'Variable Management'!N71)</f>
        <v>1.0 x 0.5</v>
      </c>
      <c r="L53" s="441">
        <f>CHOOSE(Q53, 'Variable Management'!O69,'Variable Management'!O70,'Variable Management'!O71)</f>
        <v>0.5</v>
      </c>
      <c r="P53" s="455"/>
      <c r="Q53" s="458">
        <v>1</v>
      </c>
      <c r="R53" s="455"/>
      <c r="S53" s="455"/>
    </row>
    <row r="54" spans="1:19" s="317" customFormat="1" ht="17.100000000000001" customHeight="1" x14ac:dyDescent="0.25">
      <c r="A54" s="318">
        <v>1</v>
      </c>
      <c r="B54" s="319" t="s">
        <v>601</v>
      </c>
      <c r="C54" s="323">
        <f>'Design Regulator'!E26</f>
        <v>174</v>
      </c>
      <c r="D54" s="519">
        <f t="shared" si="2"/>
        <v>174</v>
      </c>
      <c r="E54" s="520"/>
      <c r="F54" s="520"/>
      <c r="G54" s="521"/>
      <c r="H54" s="321"/>
      <c r="I54" s="322" t="s">
        <v>494</v>
      </c>
      <c r="J54" s="438" t="s">
        <v>494</v>
      </c>
      <c r="K54" s="440" t="str">
        <f>CHOOSE(Q52, 'Variable Management'!N69,'Variable Management'!N70,'Variable Management'!N71)</f>
        <v>1.0 x 0.5</v>
      </c>
      <c r="L54" s="441">
        <f>CHOOSE(Q54, 'Variable Management'!O69,'Variable Management'!O70,'Variable Management'!O71)</f>
        <v>2.5</v>
      </c>
      <c r="P54" s="455"/>
      <c r="Q54" s="458">
        <v>3</v>
      </c>
      <c r="R54" s="455"/>
      <c r="S54" s="455"/>
    </row>
    <row r="55" spans="1:19" s="317" customFormat="1" ht="17.100000000000001" customHeight="1" x14ac:dyDescent="0.25">
      <c r="A55" s="318">
        <v>1</v>
      </c>
      <c r="B55" s="319" t="s">
        <v>602</v>
      </c>
      <c r="C55" s="320">
        <f>'Design Regulator'!E13</f>
        <v>33.200000000000003</v>
      </c>
      <c r="D55" s="533">
        <f t="shared" si="2"/>
        <v>33.200000000000003</v>
      </c>
      <c r="E55" s="534"/>
      <c r="F55" s="534"/>
      <c r="G55" s="535"/>
      <c r="H55" s="321"/>
      <c r="I55" s="322" t="s">
        <v>494</v>
      </c>
      <c r="J55" s="438" t="s">
        <v>494</v>
      </c>
      <c r="K55" s="440" t="str">
        <f>CHOOSE(Q55, 'Variable Management'!N69,'Variable Management'!N70,'Variable Management'!N71)</f>
        <v>1.0 x 0.5</v>
      </c>
      <c r="L55" s="441">
        <f>CHOOSE(Q55, 'Variable Management'!O69,'Variable Management'!O70,'Variable Management'!O71)</f>
        <v>0.5</v>
      </c>
      <c r="P55" s="455"/>
      <c r="Q55" s="458">
        <v>1</v>
      </c>
      <c r="R55" s="455"/>
      <c r="S55" s="455"/>
    </row>
    <row r="56" spans="1:19" s="317" customFormat="1" ht="17.100000000000001" customHeight="1" x14ac:dyDescent="0.25">
      <c r="A56" s="318">
        <v>1</v>
      </c>
      <c r="B56" s="319" t="s">
        <v>517</v>
      </c>
      <c r="C56" s="320">
        <f>'Design Regulator'!E63</f>
        <v>18</v>
      </c>
      <c r="D56" s="533">
        <f t="shared" si="2"/>
        <v>18</v>
      </c>
      <c r="E56" s="534"/>
      <c r="F56" s="534"/>
      <c r="G56" s="535"/>
      <c r="H56" s="321"/>
      <c r="I56" s="322" t="s">
        <v>494</v>
      </c>
      <c r="J56" s="438" t="s">
        <v>494</v>
      </c>
      <c r="K56" s="440" t="str">
        <f>CHOOSE(Q56, 'Variable Management'!N69,'Variable Management'!N70,'Variable Management'!N71)</f>
        <v>1.0 x 0.5</v>
      </c>
      <c r="L56" s="441">
        <f>CHOOSE(Q56, 'Variable Management'!O69,'Variable Management'!O70,'Variable Management'!O71)</f>
        <v>0.5</v>
      </c>
      <c r="P56" s="455"/>
      <c r="Q56" s="458">
        <v>1</v>
      </c>
      <c r="R56" s="455"/>
      <c r="S56" s="455"/>
    </row>
    <row r="57" spans="1:19" s="317" customFormat="1" ht="17.100000000000001" customHeight="1" x14ac:dyDescent="0.25">
      <c r="A57" s="318">
        <v>1</v>
      </c>
      <c r="B57" s="319" t="s">
        <v>518</v>
      </c>
      <c r="C57" s="320">
        <f>'Design Regulator'!E64</f>
        <v>3.32</v>
      </c>
      <c r="D57" s="533">
        <f t="shared" si="2"/>
        <v>3.32</v>
      </c>
      <c r="E57" s="534"/>
      <c r="F57" s="534"/>
      <c r="G57" s="535"/>
      <c r="H57" s="321"/>
      <c r="I57" s="322" t="s">
        <v>494</v>
      </c>
      <c r="J57" s="438" t="s">
        <v>494</v>
      </c>
      <c r="K57" s="440" t="str">
        <f>CHOOSE(Q57, 'Variable Management'!N69,'Variable Management'!N70,'Variable Management'!N71)</f>
        <v>1.0 x 0.5</v>
      </c>
      <c r="L57" s="441">
        <f>CHOOSE(Q57, 'Variable Management'!O69,'Variable Management'!O70,'Variable Management'!O71)</f>
        <v>0.5</v>
      </c>
      <c r="P57" s="455"/>
      <c r="Q57" s="458">
        <v>1</v>
      </c>
      <c r="R57" s="455"/>
      <c r="S57" s="455"/>
    </row>
    <row r="58" spans="1:19" s="317" customFormat="1" ht="17.100000000000001" customHeight="1" x14ac:dyDescent="0.25">
      <c r="A58" s="324">
        <v>1</v>
      </c>
      <c r="B58" s="325" t="s">
        <v>516</v>
      </c>
      <c r="C58" s="326">
        <v>20</v>
      </c>
      <c r="D58" s="542">
        <f t="shared" si="2"/>
        <v>20</v>
      </c>
      <c r="E58" s="543"/>
      <c r="F58" s="543"/>
      <c r="G58" s="544"/>
      <c r="H58" s="327"/>
      <c r="I58" s="328" t="s">
        <v>494</v>
      </c>
      <c r="J58" s="437" t="s">
        <v>494</v>
      </c>
      <c r="K58" s="439" t="str">
        <f>CHOOSE(Q58, 'Variable Management'!N69,'Variable Management'!N70,'Variable Management'!N71)</f>
        <v>1.0 x 0.5</v>
      </c>
      <c r="L58" s="433">
        <f>CHOOSE(Q58, 'Variable Management'!O69,'Variable Management'!O70,'Variable Management'!O71)</f>
        <v>0.5</v>
      </c>
      <c r="P58" s="455"/>
      <c r="Q58" s="458">
        <v>1</v>
      </c>
      <c r="R58" s="455"/>
      <c r="S58" s="455"/>
    </row>
    <row r="59" spans="1:19" s="317" customFormat="1" ht="17.100000000000001" customHeight="1" x14ac:dyDescent="0.25">
      <c r="A59" s="324">
        <v>1</v>
      </c>
      <c r="B59" s="325" t="s">
        <v>515</v>
      </c>
      <c r="C59" s="473">
        <f>'Design Regulator'!E24</f>
        <v>6</v>
      </c>
      <c r="D59" s="551">
        <f t="shared" si="2"/>
        <v>6</v>
      </c>
      <c r="E59" s="552"/>
      <c r="F59" s="552"/>
      <c r="G59" s="553"/>
      <c r="H59" s="472">
        <v>1206</v>
      </c>
      <c r="I59" s="328" t="s">
        <v>494</v>
      </c>
      <c r="J59" s="437" t="s">
        <v>494</v>
      </c>
      <c r="K59" s="439" t="s">
        <v>634</v>
      </c>
      <c r="L59" s="433">
        <f>CHOOSE(RDSON_sense, 0,5.1)</f>
        <v>0</v>
      </c>
      <c r="P59" s="455"/>
      <c r="Q59" s="458"/>
      <c r="R59" s="455"/>
      <c r="S59" s="455"/>
    </row>
    <row r="60" spans="1:19" s="317" customFormat="1" ht="17.100000000000001" customHeight="1" x14ac:dyDescent="0.25">
      <c r="A60" s="318">
        <v>1</v>
      </c>
      <c r="B60" s="319" t="s">
        <v>512</v>
      </c>
      <c r="C60" s="320">
        <f>'Design Regulator'!E53</f>
        <v>75</v>
      </c>
      <c r="D60" s="533">
        <f t="shared" si="2"/>
        <v>75</v>
      </c>
      <c r="E60" s="534"/>
      <c r="F60" s="534"/>
      <c r="G60" s="535"/>
      <c r="H60" s="321"/>
      <c r="I60" s="322" t="s">
        <v>494</v>
      </c>
      <c r="J60" s="438" t="s">
        <v>494</v>
      </c>
      <c r="K60" s="440" t="str">
        <f>CHOOSE(Q60, 'Variable Management'!N69,'Variable Management'!N70,'Variable Management'!N71)</f>
        <v>1.6 x 0.8</v>
      </c>
      <c r="L60" s="441">
        <f>CHOOSE(Q60, 'Variable Management'!O69,'Variable Management'!O70,'Variable Management'!O71)</f>
        <v>1.3</v>
      </c>
      <c r="P60" s="455"/>
      <c r="Q60" s="458">
        <v>2</v>
      </c>
      <c r="R60" s="455"/>
      <c r="S60" s="455"/>
    </row>
    <row r="61" spans="1:19" s="317" customFormat="1" ht="17.100000000000001" customHeight="1" x14ac:dyDescent="0.25">
      <c r="A61" s="318">
        <v>1</v>
      </c>
      <c r="B61" s="319" t="s">
        <v>513</v>
      </c>
      <c r="C61" s="320">
        <f>'Design Regulator'!E54</f>
        <v>12.700000000000001</v>
      </c>
      <c r="D61" s="533">
        <f t="shared" si="2"/>
        <v>12.700000000000001</v>
      </c>
      <c r="E61" s="534"/>
      <c r="F61" s="534"/>
      <c r="G61" s="535"/>
      <c r="H61" s="321"/>
      <c r="I61" s="322" t="s">
        <v>494</v>
      </c>
      <c r="J61" s="438" t="s">
        <v>494</v>
      </c>
      <c r="K61" s="440" t="str">
        <f>CHOOSE(Q61, 'Variable Management'!N69,'Variable Management'!N70,'Variable Management'!N71)</f>
        <v>1.0 x 0.5</v>
      </c>
      <c r="L61" s="441">
        <f>CHOOSE(Q61, 'Variable Management'!O69,'Variable Management'!O70,'Variable Management'!O71)</f>
        <v>0.5</v>
      </c>
      <c r="P61" s="455"/>
      <c r="Q61" s="458">
        <v>1</v>
      </c>
      <c r="R61" s="455"/>
      <c r="S61" s="455"/>
    </row>
    <row r="62" spans="1:19" s="317" customFormat="1" ht="17.100000000000001" customHeight="1" x14ac:dyDescent="0.25">
      <c r="A62" s="324">
        <v>1</v>
      </c>
      <c r="B62" s="325" t="s">
        <v>514</v>
      </c>
      <c r="C62" s="340">
        <v>2.2000000000000002</v>
      </c>
      <c r="D62" s="548">
        <f t="shared" si="2"/>
        <v>2.2000000000000002</v>
      </c>
      <c r="E62" s="549"/>
      <c r="F62" s="549"/>
      <c r="G62" s="550"/>
      <c r="H62" s="327"/>
      <c r="I62" s="328" t="s">
        <v>494</v>
      </c>
      <c r="J62" s="437" t="s">
        <v>494</v>
      </c>
      <c r="K62" s="439" t="str">
        <f>CHOOSE(Q62, 'Variable Management'!N69,'Variable Management'!N70,'Variable Management'!N71)</f>
        <v>1.0 x 0.5</v>
      </c>
      <c r="L62" s="433">
        <f>CHOOSE(Q62, 'Variable Management'!O69,'Variable Management'!O70,'Variable Management'!O71)</f>
        <v>0.5</v>
      </c>
      <c r="P62" s="455"/>
      <c r="Q62" s="458">
        <v>1</v>
      </c>
      <c r="R62" s="455"/>
      <c r="S62" s="455"/>
    </row>
    <row r="63" spans="1:19" s="317" customFormat="1" ht="17.100000000000001" customHeight="1" x14ac:dyDescent="0.25">
      <c r="A63" s="343">
        <v>1</v>
      </c>
      <c r="B63" s="344" t="s">
        <v>519</v>
      </c>
      <c r="C63" s="342" t="str">
        <f>CHOOSE(VARIANT, "LM5145", "LM5145-Q1", "LM25145", "LM5146", "LM5146-Q1")</f>
        <v>LM5146</v>
      </c>
      <c r="D63" s="539" t="str">
        <f>CHOOSE(VARIANT, "IC, LM5145, PWM Controller, 6V-75V Input", "IC, LM5145-Q1, PWM Controller, 6V-75V Input", "IC, LM25145, PWM Controller, 6V-42V Input", "IC, LM5146 PWM Controller, 5.5V-100V Input", "IC, LM5146-Q1, PWM Controller, 5.5V-100V Input")</f>
        <v>IC, LM5146 PWM Controller, 5.5V-100V Input</v>
      </c>
      <c r="E63" s="540"/>
      <c r="F63" s="540"/>
      <c r="G63" s="541"/>
      <c r="H63" s="345" t="s">
        <v>618</v>
      </c>
      <c r="I63" s="345" t="str">
        <f>CHOOSE(VARIANT, "LM5145RGYR", "LM5145QRGYRQ1", "LM25145RGYR", "LM5146RGYR", "LM5146QRGYRQ1",)</f>
        <v>LM5146RGYR</v>
      </c>
      <c r="J63" s="423" t="s">
        <v>496</v>
      </c>
      <c r="K63" s="439" t="s">
        <v>705</v>
      </c>
      <c r="L63" s="434">
        <v>15.75</v>
      </c>
      <c r="P63" s="455"/>
      <c r="Q63" s="458"/>
      <c r="R63" s="455"/>
      <c r="S63" s="455"/>
    </row>
    <row r="64" spans="1:19" x14ac:dyDescent="0.25">
      <c r="P64" s="464"/>
      <c r="Q64" s="465"/>
      <c r="R64" s="464"/>
      <c r="S64" s="464"/>
    </row>
    <row r="65" spans="1:15" ht="18" x14ac:dyDescent="0.3">
      <c r="I65" s="518" t="s">
        <v>668</v>
      </c>
      <c r="J65" s="518"/>
      <c r="K65" s="518"/>
      <c r="L65" s="444">
        <f>SUM(L38:L63)*1.25</f>
        <v>410.93750000000006</v>
      </c>
      <c r="M65" s="445" t="s">
        <v>669</v>
      </c>
      <c r="N65" s="446">
        <f>L65/25.4/25.4</f>
        <v>0.6369543989087979</v>
      </c>
      <c r="O65" s="445" t="s">
        <v>670</v>
      </c>
    </row>
    <row r="66" spans="1:15" x14ac:dyDescent="0.25">
      <c r="A66" s="351" t="s">
        <v>537</v>
      </c>
    </row>
    <row r="67" spans="1:15" x14ac:dyDescent="0.25">
      <c r="A67" s="310" t="s">
        <v>536</v>
      </c>
    </row>
    <row r="68" spans="1:15" x14ac:dyDescent="0.25">
      <c r="A68" s="310" t="s">
        <v>704</v>
      </c>
    </row>
    <row r="455" spans="17:17" x14ac:dyDescent="0.25">
      <c r="Q455" s="310">
        <v>2</v>
      </c>
    </row>
  </sheetData>
  <sheetProtection algorithmName="SHA-512" hashValue="krwzp8ekoN0dSGTZZP6A75/wCRHduBqse/fAtGr5sWD/Gr0HghhzdmX50qS5gSIlnyq/Jke7EuYuVjiBhkRVvw==" saltValue="EgPEQVuZ+VJgMx0WOOXibA==" spinCount="100000" sheet="1" objects="1" scenarios="1" selectLockedCells="1" selectUnlockedCells="1"/>
  <mergeCells count="27">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 ref="D42:F42"/>
    <mergeCell ref="D46:F46"/>
    <mergeCell ref="D43:F43"/>
    <mergeCell ref="D52:G52"/>
    <mergeCell ref="D53:G53"/>
    <mergeCell ref="I65:K65"/>
    <mergeCell ref="D54:G54"/>
    <mergeCell ref="D48:G48"/>
    <mergeCell ref="D44:F44"/>
    <mergeCell ref="D45:F45"/>
    <mergeCell ref="D47:F47"/>
  </mergeCells>
  <phoneticPr fontId="106"/>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198120</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198120</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198120</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198120</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198120</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198120</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198120</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198120</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198120</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198120</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198120</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198120</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198120</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198120</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198120</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198120</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198120</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198120</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198120</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198120</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198120</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198120</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198120</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1173480</xdr:colOff>
                    <xdr:row>48</xdr:row>
                    <xdr:rowOff>7620</xdr:rowOff>
                  </from>
                  <to>
                    <xdr:col>6</xdr:col>
                    <xdr:colOff>640080</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1173480</xdr:colOff>
                    <xdr:row>49</xdr:row>
                    <xdr:rowOff>0</xdr:rowOff>
                  </from>
                  <to>
                    <xdr:col>6</xdr:col>
                    <xdr:colOff>640080</xdr:colOff>
                    <xdr:row>49</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zoomScale="85" zoomScaleNormal="85" zoomScaleSheetLayoutView="80" workbookViewId="0">
      <selection activeCell="AD89" sqref="AD89"/>
    </sheetView>
  </sheetViews>
  <sheetFormatPr defaultColWidth="9.109375" defaultRowHeight="13.2" x14ac:dyDescent="0.25"/>
  <cols>
    <col min="1" max="13" width="9.109375" style="492"/>
    <col min="14" max="14" width="11.88671875" style="492" customWidth="1"/>
    <col min="15" max="16" width="9.109375" style="492"/>
    <col min="17" max="17" width="15.6640625" style="492" customWidth="1"/>
    <col min="18" max="16384" width="9.109375" style="492"/>
  </cols>
  <sheetData>
    <row r="1" spans="1:23" s="491" customFormat="1" ht="47.25" customHeight="1" x14ac:dyDescent="0.3">
      <c r="A1" s="560" t="s">
        <v>740</v>
      </c>
      <c r="B1" s="561"/>
      <c r="C1" s="561"/>
      <c r="D1" s="561"/>
      <c r="E1" s="561"/>
      <c r="F1" s="561"/>
      <c r="G1" s="561"/>
      <c r="H1" s="561"/>
      <c r="I1" s="561"/>
      <c r="J1" s="561"/>
      <c r="K1" s="561"/>
      <c r="L1" s="561"/>
      <c r="M1" s="561"/>
      <c r="N1" s="561"/>
      <c r="O1" s="561"/>
      <c r="P1" s="561"/>
      <c r="Q1" s="561"/>
    </row>
    <row r="2" spans="1:23" ht="20.399999999999999" x14ac:dyDescent="0.35">
      <c r="M2" s="493"/>
      <c r="W2" s="493"/>
    </row>
    <row r="3" spans="1:23" ht="20.399999999999999" x14ac:dyDescent="0.35">
      <c r="B3" s="493" t="s">
        <v>737</v>
      </c>
    </row>
    <row r="5" spans="1:23" ht="20.399999999999999" x14ac:dyDescent="0.25">
      <c r="O5" s="494"/>
    </row>
    <row r="6" spans="1:23" ht="20.399999999999999" x14ac:dyDescent="0.25">
      <c r="O6" s="494"/>
    </row>
    <row r="31" spans="15:15" ht="20.399999999999999" x14ac:dyDescent="0.25">
      <c r="O31" s="495"/>
    </row>
    <row r="32" spans="15:15" ht="20.399999999999999" x14ac:dyDescent="0.25">
      <c r="O32" s="494"/>
    </row>
    <row r="46" spans="2:2" ht="20.399999999999999" x14ac:dyDescent="0.35">
      <c r="B46" s="493" t="s">
        <v>749</v>
      </c>
    </row>
    <row r="50" spans="15:25" ht="20.399999999999999" x14ac:dyDescent="0.25">
      <c r="O50" s="494" t="s">
        <v>750</v>
      </c>
    </row>
    <row r="51" spans="15:25" ht="20.399999999999999" x14ac:dyDescent="0.25">
      <c r="O51" s="494" t="s">
        <v>751</v>
      </c>
      <c r="Y51" s="492" t="s">
        <v>738</v>
      </c>
    </row>
    <row r="76" spans="15:15" ht="20.399999999999999" x14ac:dyDescent="0.25">
      <c r="O76" s="495" t="s">
        <v>752</v>
      </c>
    </row>
    <row r="77" spans="15:15" ht="20.399999999999999" x14ac:dyDescent="0.25">
      <c r="O77" s="494"/>
    </row>
    <row r="102" spans="15:15" ht="20.399999999999999" x14ac:dyDescent="0.25">
      <c r="O102" s="495" t="s">
        <v>753</v>
      </c>
    </row>
    <row r="129" spans="15:15" ht="20.399999999999999" x14ac:dyDescent="0.25">
      <c r="O129" s="494" t="s">
        <v>754</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honeticPr fontId="106"/>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95" activePane="bottomLeft" state="frozenSplit"/>
      <selection pane="bottomLeft" activeCell="B211" sqref="B211"/>
    </sheetView>
  </sheetViews>
  <sheetFormatPr defaultRowHeight="13.2" x14ac:dyDescent="0.25"/>
  <cols>
    <col min="1" max="1" width="35.109375" bestFit="1" customWidth="1"/>
    <col min="2" max="2" width="19.109375" customWidth="1"/>
    <col min="7" max="7" width="18.88671875" customWidth="1"/>
    <col min="9" max="10" width="12.44140625" bestFit="1" customWidth="1"/>
    <col min="12" max="12" width="19.88671875" customWidth="1"/>
    <col min="14" max="14" width="11.44140625" customWidth="1"/>
    <col min="17" max="17" width="10.5546875" customWidth="1"/>
    <col min="20" max="20" width="10.88671875" customWidth="1"/>
    <col min="21" max="21" width="10.5546875" customWidth="1"/>
  </cols>
  <sheetData>
    <row r="1" spans="1:22" ht="40.5" customHeight="1" x14ac:dyDescent="0.5">
      <c r="A1" s="563" t="s">
        <v>285</v>
      </c>
      <c r="B1" s="563"/>
      <c r="C1" s="563"/>
      <c r="D1" s="563"/>
      <c r="E1" s="563"/>
      <c r="F1" s="563"/>
      <c r="G1" s="563"/>
      <c r="H1" s="563"/>
    </row>
    <row r="2" spans="1:22" ht="12" customHeight="1" x14ac:dyDescent="0.25">
      <c r="A2" s="56"/>
      <c r="B2" s="56" t="s">
        <v>359</v>
      </c>
      <c r="C2" s="64"/>
      <c r="D2" s="56"/>
      <c r="E2" s="56"/>
      <c r="F2" s="56"/>
      <c r="G2" s="56"/>
      <c r="H2" s="56"/>
    </row>
    <row r="3" spans="1:22" ht="11.25" customHeight="1" x14ac:dyDescent="0.25">
      <c r="A3" s="56"/>
      <c r="B3" s="56" t="s">
        <v>419</v>
      </c>
      <c r="C3" s="65"/>
      <c r="D3" s="56"/>
      <c r="E3" s="56"/>
      <c r="F3" s="56"/>
      <c r="G3" s="56"/>
      <c r="H3" s="56"/>
    </row>
    <row r="4" spans="1:22" ht="11.25" customHeight="1" x14ac:dyDescent="0.25">
      <c r="A4" s="56"/>
      <c r="B4" s="56" t="s">
        <v>360</v>
      </c>
      <c r="C4" s="66"/>
      <c r="D4" s="56"/>
      <c r="E4" s="56"/>
      <c r="F4" s="56"/>
      <c r="G4" s="56"/>
      <c r="H4" s="56"/>
    </row>
    <row r="5" spans="1:22" x14ac:dyDescent="0.25">
      <c r="A5" s="2" t="s">
        <v>113</v>
      </c>
      <c r="B5" s="2" t="s">
        <v>8</v>
      </c>
      <c r="C5" s="2" t="s">
        <v>9</v>
      </c>
      <c r="D5" s="562" t="s">
        <v>13</v>
      </c>
      <c r="E5" s="562"/>
      <c r="F5" s="562"/>
      <c r="G5" s="562"/>
      <c r="H5" s="2" t="s">
        <v>38</v>
      </c>
    </row>
    <row r="6" spans="1:22" ht="16.2" thickBot="1" x14ac:dyDescent="0.35">
      <c r="A6" s="133" t="s">
        <v>287</v>
      </c>
      <c r="B6" s="2"/>
      <c r="C6" s="2"/>
      <c r="D6" s="56"/>
      <c r="E6" s="56"/>
      <c r="F6" s="56"/>
      <c r="G6" s="56"/>
      <c r="H6" s="2"/>
    </row>
    <row r="7" spans="1:22" x14ac:dyDescent="0.25">
      <c r="A7" s="134" t="s">
        <v>4</v>
      </c>
      <c r="B7" s="18">
        <f>'Design Regulator'!E7</f>
        <v>24</v>
      </c>
      <c r="C7" s="94" t="s">
        <v>0</v>
      </c>
      <c r="D7" s="94" t="s">
        <v>14</v>
      </c>
      <c r="E7" s="94"/>
      <c r="F7" s="94"/>
      <c r="G7" s="94"/>
      <c r="H7" s="95">
        <v>1</v>
      </c>
      <c r="U7" s="427" t="s">
        <v>744</v>
      </c>
      <c r="V7" s="499">
        <v>1</v>
      </c>
    </row>
    <row r="8" spans="1:22" x14ac:dyDescent="0.25">
      <c r="A8" s="388" t="s">
        <v>570</v>
      </c>
      <c r="B8" s="39">
        <f>'Design Regulator'!E6</f>
        <v>9</v>
      </c>
      <c r="C8" s="171" t="s">
        <v>0</v>
      </c>
      <c r="D8" s="171" t="s">
        <v>573</v>
      </c>
      <c r="H8" s="88"/>
      <c r="U8" s="427" t="s">
        <v>745</v>
      </c>
      <c r="V8" s="499">
        <v>2</v>
      </c>
    </row>
    <row r="9" spans="1:22" x14ac:dyDescent="0.25">
      <c r="A9" s="388" t="s">
        <v>569</v>
      </c>
      <c r="B9" s="39">
        <f>'Design Regulator'!E8</f>
        <v>45</v>
      </c>
      <c r="C9" s="171" t="s">
        <v>0</v>
      </c>
      <c r="D9" s="171" t="s">
        <v>574</v>
      </c>
      <c r="H9" s="88"/>
      <c r="U9" s="427" t="s">
        <v>746</v>
      </c>
      <c r="V9" s="499">
        <v>3</v>
      </c>
    </row>
    <row r="10" spans="1:22" x14ac:dyDescent="0.25">
      <c r="A10" s="87" t="s">
        <v>5</v>
      </c>
      <c r="B10" s="39">
        <f>'Design Regulator'!E9</f>
        <v>5.0999999999999996</v>
      </c>
      <c r="C10" t="s">
        <v>0</v>
      </c>
      <c r="D10" t="s">
        <v>1</v>
      </c>
      <c r="H10" s="88">
        <v>1</v>
      </c>
      <c r="U10" s="427" t="s">
        <v>747</v>
      </c>
      <c r="V10" s="499">
        <v>4</v>
      </c>
    </row>
    <row r="11" spans="1:22" x14ac:dyDescent="0.25">
      <c r="A11" s="87" t="s">
        <v>6</v>
      </c>
      <c r="B11" s="39">
        <f>'Design Regulator'!E10</f>
        <v>6</v>
      </c>
      <c r="C11" t="s">
        <v>2</v>
      </c>
      <c r="D11" t="s">
        <v>15</v>
      </c>
      <c r="H11" s="88">
        <v>1</v>
      </c>
      <c r="U11" s="427" t="s">
        <v>736</v>
      </c>
      <c r="V11" s="499">
        <v>5</v>
      </c>
    </row>
    <row r="12" spans="1:22" x14ac:dyDescent="0.25">
      <c r="A12" s="89" t="s">
        <v>7</v>
      </c>
      <c r="B12" s="353">
        <f>IF(AND('Design Regulator'!E12&lt;='Design Regulator'!E11*1.5, 'Design Regulator'!E12&gt;='Design Regulator'!E11*0.8), 'Design Regulator'!E12*1000, 'Design Regulator'!E11*1000)</f>
        <v>300000</v>
      </c>
      <c r="C12" s="171" t="s">
        <v>10</v>
      </c>
      <c r="D12" t="s">
        <v>16</v>
      </c>
      <c r="H12" s="88">
        <v>1</v>
      </c>
      <c r="T12" s="383" t="s">
        <v>741</v>
      </c>
      <c r="U12" s="500" t="str">
        <f>CHOOSE(VARIANT, "LM5145", "LM5145-Q1", "LM25145", "LM5146", "LM5146-Q1")</f>
        <v>LM5146</v>
      </c>
      <c r="V12" s="383">
        <v>4</v>
      </c>
    </row>
    <row r="13" spans="1:22" x14ac:dyDescent="0.25">
      <c r="A13" s="388" t="s">
        <v>702</v>
      </c>
      <c r="B13" s="353">
        <f>'Design Regulator'!E11*1000</f>
        <v>300000</v>
      </c>
      <c r="C13" s="171" t="s">
        <v>10</v>
      </c>
      <c r="D13" s="171" t="s">
        <v>703</v>
      </c>
      <c r="H13" s="88"/>
      <c r="T13" s="383" t="s">
        <v>742</v>
      </c>
      <c r="U13" s="500">
        <f>CHOOSE(VARIANT, 75, 75, 42, 100, 100)</f>
        <v>100</v>
      </c>
      <c r="V13" t="s">
        <v>0</v>
      </c>
    </row>
    <row r="14" spans="1:22" x14ac:dyDescent="0.25">
      <c r="A14" s="89" t="s">
        <v>78</v>
      </c>
      <c r="B14" s="90">
        <v>0.8</v>
      </c>
      <c r="C14" t="s">
        <v>0</v>
      </c>
      <c r="D14" t="s">
        <v>79</v>
      </c>
      <c r="H14" s="88"/>
      <c r="T14" s="383" t="s">
        <v>748</v>
      </c>
      <c r="U14" s="500">
        <f>CHOOSE(VARIANT, 6, 6, 6, 5.5, 5.5)</f>
        <v>5.5</v>
      </c>
      <c r="V14" s="171" t="s">
        <v>0</v>
      </c>
    </row>
    <row r="15" spans="1:22" x14ac:dyDescent="0.25">
      <c r="A15" s="306" t="s">
        <v>568</v>
      </c>
      <c r="B15" s="166">
        <f>1/(B13*0.0000000001)</f>
        <v>33333.333333333336</v>
      </c>
      <c r="C15" s="309" t="s">
        <v>208</v>
      </c>
      <c r="H15" s="88"/>
      <c r="T15" s="383" t="s">
        <v>743</v>
      </c>
      <c r="U15" s="500">
        <f>CHOOSE(VARIANT, 60, 60, 42, 60, 60)</f>
        <v>60</v>
      </c>
      <c r="V15" s="171" t="s">
        <v>0</v>
      </c>
    </row>
    <row r="16" spans="1:22" x14ac:dyDescent="0.25">
      <c r="A16" s="388"/>
      <c r="B16" s="63"/>
      <c r="C16" s="309"/>
      <c r="H16" s="88"/>
    </row>
    <row r="17" spans="1:22" x14ac:dyDescent="0.25">
      <c r="A17" s="388" t="s">
        <v>686</v>
      </c>
      <c r="B17" s="453">
        <f>B38/Fsw*1000000000</f>
        <v>389.33333333333326</v>
      </c>
      <c r="C17" s="171" t="s">
        <v>147</v>
      </c>
      <c r="H17" s="88"/>
    </row>
    <row r="18" spans="1:22" x14ac:dyDescent="0.25">
      <c r="A18" s="306" t="s">
        <v>685</v>
      </c>
      <c r="B18" s="454">
        <f>B37/Fsw*1000000000</f>
        <v>1386.6666666666667</v>
      </c>
      <c r="C18" s="171" t="s">
        <v>147</v>
      </c>
      <c r="H18" s="88"/>
    </row>
    <row r="19" spans="1:22" ht="13.8" thickBot="1" x14ac:dyDescent="0.3">
      <c r="A19" s="91"/>
      <c r="B19" s="157"/>
      <c r="C19" s="92"/>
      <c r="D19" s="92"/>
      <c r="E19" s="92"/>
      <c r="F19" s="92"/>
      <c r="G19" s="92"/>
      <c r="H19" s="93"/>
      <c r="U19" s="427" t="s">
        <v>760</v>
      </c>
      <c r="V19" s="173">
        <v>1</v>
      </c>
    </row>
    <row r="20" spans="1:22" x14ac:dyDescent="0.25">
      <c r="U20" s="427" t="s">
        <v>755</v>
      </c>
      <c r="V20" s="173">
        <v>2</v>
      </c>
    </row>
    <row r="21" spans="1:22" x14ac:dyDescent="0.25">
      <c r="U21" s="501" t="s">
        <v>756</v>
      </c>
      <c r="V21" s="383">
        <v>1</v>
      </c>
    </row>
    <row r="22" spans="1:22" ht="16.2" thickBot="1" x14ac:dyDescent="0.35">
      <c r="A22" s="133" t="s">
        <v>112</v>
      </c>
    </row>
    <row r="23" spans="1:22" x14ac:dyDescent="0.25">
      <c r="A23" s="135" t="s">
        <v>19</v>
      </c>
      <c r="B23" s="389">
        <f>Vout/Vin</f>
        <v>0.21249999999999999</v>
      </c>
      <c r="C23" s="94" t="s">
        <v>23</v>
      </c>
      <c r="D23" s="94" t="s">
        <v>17</v>
      </c>
      <c r="E23" s="94"/>
      <c r="F23" s="94"/>
      <c r="G23" s="94"/>
      <c r="H23" s="95">
        <v>1</v>
      </c>
    </row>
    <row r="24" spans="1:22" x14ac:dyDescent="0.25">
      <c r="A24" s="96" t="s">
        <v>20</v>
      </c>
      <c r="B24" s="391">
        <f>1-23:23</f>
        <v>0.78749999999999998</v>
      </c>
      <c r="C24" t="s">
        <v>23</v>
      </c>
      <c r="D24" t="s">
        <v>18</v>
      </c>
      <c r="H24" s="88">
        <v>1</v>
      </c>
    </row>
    <row r="25" spans="1:22" x14ac:dyDescent="0.25">
      <c r="A25" s="392" t="s">
        <v>679</v>
      </c>
      <c r="B25" s="391">
        <f>Vout/Vinmin</f>
        <v>0.56666666666666665</v>
      </c>
      <c r="H25" s="88"/>
    </row>
    <row r="26" spans="1:22" x14ac:dyDescent="0.25">
      <c r="A26" s="392" t="s">
        <v>680</v>
      </c>
      <c r="B26" s="391">
        <f>1-B25</f>
        <v>0.43333333333333335</v>
      </c>
      <c r="H26" s="88"/>
    </row>
    <row r="27" spans="1:22" x14ac:dyDescent="0.25">
      <c r="A27" s="392" t="s">
        <v>572</v>
      </c>
      <c r="B27" s="391">
        <f>Vout/Vinmax</f>
        <v>0.11333333333333333</v>
      </c>
      <c r="H27" s="88"/>
    </row>
    <row r="28" spans="1:22" x14ac:dyDescent="0.25">
      <c r="A28" s="392" t="s">
        <v>571</v>
      </c>
      <c r="B28" s="391">
        <f>1-B27</f>
        <v>0.88666666666666671</v>
      </c>
      <c r="H28" s="88"/>
    </row>
    <row r="29" spans="1:22" x14ac:dyDescent="0.25">
      <c r="A29" s="392"/>
      <c r="B29" s="395"/>
      <c r="H29" s="88"/>
    </row>
    <row r="30" spans="1:22" x14ac:dyDescent="0.25">
      <c r="A30" s="96" t="s">
        <v>31</v>
      </c>
      <c r="B30" s="359">
        <f>(Vin-Vout)*_Don1/(Fsw*Iout*0.333)</f>
        <v>6.7004504504504497E-6</v>
      </c>
      <c r="C30" t="s">
        <v>24</v>
      </c>
      <c r="D30" t="s">
        <v>420</v>
      </c>
      <c r="H30" s="88">
        <v>1</v>
      </c>
    </row>
    <row r="31" spans="1:22" x14ac:dyDescent="0.25">
      <c r="A31" s="87" t="s">
        <v>32</v>
      </c>
      <c r="B31" s="114">
        <f>'Design Regulator'!E17/1000000</f>
        <v>9.5000000000000005E-6</v>
      </c>
      <c r="C31" t="s">
        <v>24</v>
      </c>
      <c r="D31" s="171" t="s">
        <v>539</v>
      </c>
      <c r="H31" s="88">
        <v>2</v>
      </c>
    </row>
    <row r="32" spans="1:22" x14ac:dyDescent="0.25">
      <c r="A32" s="87" t="s">
        <v>12</v>
      </c>
      <c r="B32" s="39">
        <f>'Design Regulator'!E18/1000</f>
        <v>0.02</v>
      </c>
      <c r="C32" s="309" t="s">
        <v>208</v>
      </c>
      <c r="D32" s="171" t="s">
        <v>418</v>
      </c>
      <c r="H32" s="88">
        <v>1</v>
      </c>
    </row>
    <row r="33" spans="1:18" x14ac:dyDescent="0.25">
      <c r="A33" s="387"/>
      <c r="C33" s="309"/>
      <c r="D33" s="171"/>
      <c r="H33" s="88"/>
    </row>
    <row r="34" spans="1:18" x14ac:dyDescent="0.25">
      <c r="A34" s="306" t="s">
        <v>21</v>
      </c>
      <c r="B34" s="452">
        <f>(Vout+(Rdcr+RdsonBot)*Iout)/(Vin+(RdsonBot-RdsonTop)*Iout)</f>
        <v>0.21899999999999997</v>
      </c>
      <c r="D34" s="2" t="s">
        <v>421</v>
      </c>
      <c r="H34" s="88">
        <v>2</v>
      </c>
    </row>
    <row r="35" spans="1:18" x14ac:dyDescent="0.25">
      <c r="A35" s="306" t="s">
        <v>22</v>
      </c>
      <c r="B35" s="452">
        <f>1-_Don2</f>
        <v>0.78100000000000003</v>
      </c>
      <c r="D35" s="2" t="s">
        <v>422</v>
      </c>
      <c r="H35" s="88">
        <v>2</v>
      </c>
    </row>
    <row r="36" spans="1:18" x14ac:dyDescent="0.25">
      <c r="A36" s="388" t="s">
        <v>681</v>
      </c>
      <c r="B36" s="452">
        <f>(Vout+(Rdcr+RdsonBot)*Iout)/(Vinmin+(RdsonBot-RdsonTop)*Iout)</f>
        <v>0.58399999999999996</v>
      </c>
      <c r="H36" s="88"/>
    </row>
    <row r="37" spans="1:18" x14ac:dyDescent="0.25">
      <c r="A37" s="388" t="s">
        <v>682</v>
      </c>
      <c r="B37" s="452">
        <f>1-B36</f>
        <v>0.41600000000000004</v>
      </c>
      <c r="H37" s="88"/>
    </row>
    <row r="38" spans="1:18" x14ac:dyDescent="0.25">
      <c r="A38" s="388" t="s">
        <v>683</v>
      </c>
      <c r="B38" s="452">
        <f>(Vout+(Rdcr+RdsonBot)*Iout)/(Vinmax+(RdsonBot-RdsonTop)*Iout)</f>
        <v>0.11679999999999999</v>
      </c>
      <c r="H38" s="88"/>
      <c r="L38" s="466" t="s">
        <v>730</v>
      </c>
      <c r="M38" s="467">
        <v>100</v>
      </c>
      <c r="N38" s="468">
        <v>1</v>
      </c>
    </row>
    <row r="39" spans="1:18" x14ac:dyDescent="0.25">
      <c r="A39" s="388" t="s">
        <v>684</v>
      </c>
      <c r="B39" s="452">
        <f>1-B38</f>
        <v>0.88319999999999999</v>
      </c>
      <c r="H39" s="88"/>
      <c r="L39" s="466" t="s">
        <v>620</v>
      </c>
      <c r="M39" s="467">
        <v>47</v>
      </c>
      <c r="N39" s="468">
        <v>2</v>
      </c>
    </row>
    <row r="40" spans="1:18" x14ac:dyDescent="0.25">
      <c r="A40" s="392"/>
      <c r="B40" s="1"/>
      <c r="H40" s="88"/>
      <c r="L40" s="466" t="s">
        <v>622</v>
      </c>
      <c r="M40" s="467">
        <v>22</v>
      </c>
      <c r="N40" s="468">
        <v>3</v>
      </c>
    </row>
    <row r="41" spans="1:18" x14ac:dyDescent="0.25">
      <c r="A41" s="87" t="s">
        <v>26</v>
      </c>
      <c r="B41" s="98">
        <f>'Design Regulator'!E31/1000</f>
        <v>0.02</v>
      </c>
      <c r="C41" t="s">
        <v>0</v>
      </c>
      <c r="D41" t="s">
        <v>27</v>
      </c>
      <c r="H41" s="88">
        <v>1</v>
      </c>
      <c r="L41" s="466" t="s">
        <v>624</v>
      </c>
      <c r="M41" s="467">
        <v>22</v>
      </c>
      <c r="N41" s="468">
        <v>4</v>
      </c>
    </row>
    <row r="42" spans="1:18" x14ac:dyDescent="0.25">
      <c r="A42" s="99" t="s">
        <v>33</v>
      </c>
      <c r="B42" s="390">
        <f>(Vin-Vout)*_Don2/(Fsw*Lout2)</f>
        <v>1.4523157894736838</v>
      </c>
      <c r="C42" t="s">
        <v>2</v>
      </c>
      <c r="D42" s="171" t="s">
        <v>540</v>
      </c>
      <c r="H42" s="88">
        <v>1</v>
      </c>
      <c r="L42" s="427" t="s">
        <v>649</v>
      </c>
      <c r="M42" s="467">
        <v>10</v>
      </c>
      <c r="N42" s="468">
        <v>5</v>
      </c>
    </row>
    <row r="43" spans="1:18" x14ac:dyDescent="0.25">
      <c r="A43" s="99" t="s">
        <v>410</v>
      </c>
      <c r="B43" s="390">
        <f>Rdcr*(1+0.0039*(F43-25))</f>
        <v>2.5850000000000001E-2</v>
      </c>
      <c r="C43" t="s">
        <v>25</v>
      </c>
      <c r="E43" t="s">
        <v>411</v>
      </c>
      <c r="F43">
        <v>100</v>
      </c>
      <c r="H43" s="88"/>
      <c r="L43" s="427" t="s">
        <v>650</v>
      </c>
      <c r="M43" s="467">
        <v>4.7</v>
      </c>
      <c r="N43" s="468">
        <v>6</v>
      </c>
    </row>
    <row r="44" spans="1:18" ht="13.8" thickBot="1" x14ac:dyDescent="0.3">
      <c r="A44" s="100" t="s">
        <v>355</v>
      </c>
      <c r="B44" s="101">
        <f>Lout2/Rdcr</f>
        <v>4.75E-4</v>
      </c>
      <c r="C44" s="92" t="s">
        <v>265</v>
      </c>
      <c r="D44" s="92" t="s">
        <v>356</v>
      </c>
      <c r="E44" s="92"/>
      <c r="F44" s="92"/>
      <c r="G44" s="92"/>
      <c r="H44" s="93"/>
      <c r="L44" s="469" t="s">
        <v>706</v>
      </c>
      <c r="M44" s="470" t="str">
        <f>CHOOSE(N44,"100", "47","22","22","10", "4.7")</f>
        <v>47</v>
      </c>
      <c r="N44" s="383">
        <f>IF(Vout&lt;5, 1, IF(Vout&lt;=8, 2, IF(Vout&lt;=12, 3, IF(Vout&lt;=20, 4, IF(Vout&lt;=42, 5, 6)))))</f>
        <v>2</v>
      </c>
      <c r="Q44" s="430" t="s">
        <v>707</v>
      </c>
      <c r="R44" s="173">
        <v>1</v>
      </c>
    </row>
    <row r="45" spans="1:18" x14ac:dyDescent="0.25">
      <c r="A45" s="2"/>
      <c r="B45" s="1"/>
      <c r="Q45" s="430" t="s">
        <v>708</v>
      </c>
      <c r="R45" s="173">
        <v>2</v>
      </c>
    </row>
    <row r="46" spans="1:18" ht="16.2" thickBot="1" x14ac:dyDescent="0.35">
      <c r="A46" s="133" t="s">
        <v>275</v>
      </c>
      <c r="B46" s="1"/>
    </row>
    <row r="47" spans="1:18" x14ac:dyDescent="0.25">
      <c r="A47" s="136"/>
      <c r="B47" s="137"/>
      <c r="C47" s="94"/>
      <c r="D47" s="94"/>
      <c r="E47" s="94"/>
      <c r="F47" s="94"/>
      <c r="G47" s="94"/>
      <c r="H47" s="95"/>
    </row>
    <row r="48" spans="1:18" x14ac:dyDescent="0.25">
      <c r="A48" s="99"/>
      <c r="B48" s="165"/>
      <c r="H48" s="88"/>
      <c r="L48" s="430" t="s">
        <v>674</v>
      </c>
      <c r="M48" s="173">
        <v>1</v>
      </c>
      <c r="N48" s="430" t="s">
        <v>671</v>
      </c>
      <c r="O48" s="63">
        <v>30</v>
      </c>
    </row>
    <row r="49" spans="1:19" x14ac:dyDescent="0.25">
      <c r="A49" s="99" t="s">
        <v>603</v>
      </c>
      <c r="B49" s="165">
        <f>'Design Regulator'!E25</f>
        <v>6.5</v>
      </c>
      <c r="H49" s="88"/>
      <c r="L49" s="430" t="s">
        <v>675</v>
      </c>
      <c r="M49" s="173">
        <v>2</v>
      </c>
      <c r="N49" s="430" t="s">
        <v>672</v>
      </c>
      <c r="O49" s="63">
        <v>10.9</v>
      </c>
    </row>
    <row r="50" spans="1:19" x14ac:dyDescent="0.25">
      <c r="A50" s="87" t="s">
        <v>273</v>
      </c>
      <c r="B50" s="385">
        <f>'Design Regulator'!E25-Iripple1/2</f>
        <v>5.7738421052631583</v>
      </c>
      <c r="C50" t="s">
        <v>2</v>
      </c>
      <c r="D50" s="171" t="s">
        <v>575</v>
      </c>
      <c r="H50" s="88"/>
      <c r="L50" s="430" t="s">
        <v>676</v>
      </c>
      <c r="M50" s="173">
        <v>3</v>
      </c>
      <c r="N50" s="430" t="s">
        <v>678</v>
      </c>
      <c r="O50" s="63">
        <v>66</v>
      </c>
    </row>
    <row r="51" spans="1:19" x14ac:dyDescent="0.25">
      <c r="A51" s="388" t="s">
        <v>598</v>
      </c>
      <c r="B51" s="394">
        <f>ROUND('Design Regulator'!E25+Iripple1/2,0)*1.2</f>
        <v>8.4</v>
      </c>
      <c r="C51" s="171" t="s">
        <v>2</v>
      </c>
      <c r="D51" s="171"/>
      <c r="H51" s="88"/>
      <c r="L51" s="430" t="s">
        <v>677</v>
      </c>
      <c r="M51" s="173">
        <v>4</v>
      </c>
      <c r="N51" s="430" t="s">
        <v>673</v>
      </c>
      <c r="O51" s="63">
        <v>150</v>
      </c>
    </row>
    <row r="52" spans="1:19" x14ac:dyDescent="0.25">
      <c r="A52" s="388"/>
      <c r="B52" s="400"/>
      <c r="C52" s="171"/>
      <c r="D52" s="171"/>
      <c r="H52" s="88"/>
      <c r="K52" s="428" t="s">
        <v>653</v>
      </c>
      <c r="L52" s="382" t="str">
        <f>CHOOSE(M52, L48, L49, L50, L51)</f>
        <v>SON 5 x 6</v>
      </c>
      <c r="M52" s="383">
        <v>1</v>
      </c>
    </row>
    <row r="53" spans="1:19" x14ac:dyDescent="0.25">
      <c r="A53" s="306" t="s">
        <v>584</v>
      </c>
      <c r="B53" s="102">
        <v>2.0000000000000001E-4</v>
      </c>
      <c r="C53" t="s">
        <v>2</v>
      </c>
      <c r="D53" s="171" t="s">
        <v>576</v>
      </c>
      <c r="H53" s="88"/>
    </row>
    <row r="54" spans="1:19" ht="15.6" x14ac:dyDescent="0.35">
      <c r="A54" s="388" t="s">
        <v>585</v>
      </c>
      <c r="B54" s="102">
        <v>1E-4</v>
      </c>
      <c r="C54" t="s">
        <v>2</v>
      </c>
      <c r="D54" s="171" t="s">
        <v>577</v>
      </c>
      <c r="H54" s="88"/>
      <c r="L54" s="171" t="s">
        <v>595</v>
      </c>
      <c r="M54" s="173">
        <v>1</v>
      </c>
    </row>
    <row r="55" spans="1:19" x14ac:dyDescent="0.25">
      <c r="A55" s="306" t="s">
        <v>586</v>
      </c>
      <c r="B55" s="386">
        <f>ILimit*RdsonBot/Ilim1</f>
        <v>173.21526315789473</v>
      </c>
      <c r="C55" s="309" t="s">
        <v>208</v>
      </c>
      <c r="D55" s="171" t="s">
        <v>580</v>
      </c>
      <c r="H55" s="88"/>
      <c r="L55" s="171" t="s">
        <v>596</v>
      </c>
      <c r="M55" s="173">
        <v>2</v>
      </c>
    </row>
    <row r="56" spans="1:19" x14ac:dyDescent="0.25">
      <c r="A56" s="306" t="s">
        <v>587</v>
      </c>
      <c r="B56" s="104">
        <f>'Standard Value Calculator'!S6</f>
        <v>174</v>
      </c>
      <c r="C56" s="309" t="s">
        <v>208</v>
      </c>
      <c r="D56" s="171" t="s">
        <v>579</v>
      </c>
      <c r="H56" s="88"/>
      <c r="K56" s="428" t="s">
        <v>652</v>
      </c>
      <c r="L56" s="382" t="str">
        <f>CHOOSE(RDSON_sense, L54,L55)</f>
        <v>RDS(on) sensing</v>
      </c>
      <c r="M56" s="383">
        <v>1</v>
      </c>
      <c r="N56" s="171" t="s">
        <v>567</v>
      </c>
    </row>
    <row r="57" spans="1:19" x14ac:dyDescent="0.25">
      <c r="H57" s="88"/>
      <c r="L57" s="383"/>
      <c r="M57" s="171"/>
    </row>
    <row r="58" spans="1:19" x14ac:dyDescent="0.25">
      <c r="A58" s="388" t="s">
        <v>578</v>
      </c>
      <c r="B58" s="393">
        <f>'Design Regulator'!E24/1000</f>
        <v>6.0000000000000001E-3</v>
      </c>
      <c r="C58" s="309" t="s">
        <v>208</v>
      </c>
      <c r="H58" s="88"/>
      <c r="J58" s="382"/>
      <c r="L58" s="383"/>
      <c r="M58" s="171"/>
    </row>
    <row r="59" spans="1:19" x14ac:dyDescent="0.25">
      <c r="A59" s="388" t="s">
        <v>583</v>
      </c>
      <c r="B59" s="104">
        <f>ILimit*Rshunt/Ilim2</f>
        <v>346.43052631578945</v>
      </c>
      <c r="C59" s="309" t="s">
        <v>208</v>
      </c>
      <c r="H59" s="88"/>
      <c r="K59" s="427" t="s">
        <v>730</v>
      </c>
      <c r="L59" s="2" t="s">
        <v>619</v>
      </c>
      <c r="M59" s="173">
        <v>1</v>
      </c>
      <c r="Q59" s="427"/>
      <c r="R59" s="2"/>
      <c r="S59" s="173"/>
    </row>
    <row r="60" spans="1:19" x14ac:dyDescent="0.25">
      <c r="A60" s="306" t="s">
        <v>588</v>
      </c>
      <c r="B60" s="105">
        <f>'Standard Value Calculator'!S22</f>
        <v>348</v>
      </c>
      <c r="C60" s="309" t="s">
        <v>208</v>
      </c>
      <c r="D60" s="171" t="s">
        <v>579</v>
      </c>
      <c r="H60" s="88"/>
      <c r="K60" s="427" t="s">
        <v>620</v>
      </c>
      <c r="L60" s="2" t="s">
        <v>621</v>
      </c>
      <c r="M60" s="173">
        <v>2</v>
      </c>
      <c r="Q60" s="427" t="s">
        <v>661</v>
      </c>
      <c r="R60" s="2" t="s">
        <v>621</v>
      </c>
      <c r="S60" s="173">
        <v>1</v>
      </c>
    </row>
    <row r="61" spans="1:19" x14ac:dyDescent="0.25">
      <c r="A61" s="388"/>
      <c r="B61" s="105"/>
      <c r="C61" s="309"/>
      <c r="D61" s="171"/>
      <c r="H61" s="88"/>
      <c r="K61" s="427" t="s">
        <v>622</v>
      </c>
      <c r="L61" s="2" t="s">
        <v>623</v>
      </c>
      <c r="M61" s="173">
        <v>3</v>
      </c>
      <c r="Q61" s="427" t="s">
        <v>662</v>
      </c>
      <c r="R61" s="2" t="s">
        <v>623</v>
      </c>
      <c r="S61" s="173">
        <v>2</v>
      </c>
    </row>
    <row r="62" spans="1:19" x14ac:dyDescent="0.25">
      <c r="A62" s="306" t="s">
        <v>582</v>
      </c>
      <c r="B62" s="393">
        <f>ROUND(((1-Don_Vinmax)*Iout)^2*Rshunt,2)</f>
        <v>0.17</v>
      </c>
      <c r="C62" s="171" t="s">
        <v>208</v>
      </c>
      <c r="H62" s="88"/>
      <c r="K62" s="427" t="s">
        <v>624</v>
      </c>
      <c r="L62" s="2" t="s">
        <v>625</v>
      </c>
      <c r="M62" s="173">
        <v>4</v>
      </c>
      <c r="Q62" s="427" t="s">
        <v>663</v>
      </c>
      <c r="R62" s="2" t="s">
        <v>625</v>
      </c>
      <c r="S62" s="173">
        <v>3</v>
      </c>
    </row>
    <row r="63" spans="1:19" x14ac:dyDescent="0.25">
      <c r="A63" s="388"/>
      <c r="B63" s="393"/>
      <c r="C63" s="171"/>
      <c r="H63" s="88"/>
      <c r="K63" s="427"/>
      <c r="L63" s="2"/>
      <c r="M63" s="173"/>
      <c r="Q63" s="427"/>
      <c r="R63" s="2"/>
      <c r="S63" s="173"/>
    </row>
    <row r="64" spans="1:19" x14ac:dyDescent="0.25">
      <c r="A64" s="87" t="s">
        <v>692</v>
      </c>
      <c r="B64" s="463">
        <f>0.000000006/Rilim_Rdson_ideal - 0.000000000002</f>
        <v>3.2638979790889952E-11</v>
      </c>
      <c r="C64" s="171" t="s">
        <v>34</v>
      </c>
      <c r="D64" t="s">
        <v>696</v>
      </c>
      <c r="H64" s="88"/>
      <c r="K64" s="427" t="s">
        <v>649</v>
      </c>
      <c r="L64" s="2" t="s">
        <v>626</v>
      </c>
      <c r="M64" s="173">
        <v>5</v>
      </c>
      <c r="Q64" s="427" t="s">
        <v>664</v>
      </c>
      <c r="R64" s="2" t="s">
        <v>626</v>
      </c>
      <c r="S64" s="173">
        <v>4</v>
      </c>
    </row>
    <row r="65" spans="1:19" x14ac:dyDescent="0.25">
      <c r="A65" s="87" t="s">
        <v>693</v>
      </c>
      <c r="B65" s="104">
        <f>'Standard Value Calculator'!S23</f>
        <v>33</v>
      </c>
      <c r="C65" s="171" t="s">
        <v>53</v>
      </c>
      <c r="H65" s="88"/>
      <c r="K65" s="427" t="s">
        <v>650</v>
      </c>
      <c r="L65" s="2" t="s">
        <v>651</v>
      </c>
      <c r="M65" s="173">
        <v>6</v>
      </c>
      <c r="Q65" s="427" t="s">
        <v>665</v>
      </c>
      <c r="R65" s="2" t="s">
        <v>651</v>
      </c>
      <c r="S65" s="173">
        <v>5</v>
      </c>
    </row>
    <row r="66" spans="1:19" ht="13.8" thickBot="1" x14ac:dyDescent="0.3">
      <c r="A66" s="91" t="s">
        <v>288</v>
      </c>
      <c r="B66" s="107" t="e">
        <f>Ics*Rset/Rdcr-Iripple1/2</f>
        <v>#NAME?</v>
      </c>
      <c r="C66" s="92" t="s">
        <v>2</v>
      </c>
      <c r="D66" s="175" t="s">
        <v>476</v>
      </c>
      <c r="E66" s="92"/>
      <c r="F66" s="92"/>
      <c r="G66" s="92"/>
      <c r="H66" s="93"/>
      <c r="K66" s="428" t="s">
        <v>627</v>
      </c>
      <c r="L66" s="382" t="str">
        <f>CHOOSE(M66,"6.3V","10V","16V","25V","50V","100V")</f>
        <v>10V</v>
      </c>
      <c r="M66" s="383">
        <f>IF(Vout&lt;5, 1, IF(Vout&lt;=8, 2, IF(Vout&lt;=12, 3, IF(Vout&lt;=20, 4,  IF(Vout&lt;=42, 5, 6)))))</f>
        <v>2</v>
      </c>
      <c r="Q66" s="428" t="s">
        <v>660</v>
      </c>
      <c r="R66" s="382" t="str">
        <f>CHOOSE(S66,"10V","16V","25V","50V","100V")</f>
        <v>100V</v>
      </c>
      <c r="S66" s="383">
        <f>IF(Vinmax&lt;=8,1,IF(Vinmax&lt;=12,2,IF(Vinmax&lt;=20,3,IF(Vinmax&lt;=42,4,5))))</f>
        <v>5</v>
      </c>
    </row>
    <row r="68" spans="1:19" ht="16.2" thickBot="1" x14ac:dyDescent="0.35">
      <c r="A68" s="133" t="s">
        <v>276</v>
      </c>
    </row>
    <row r="69" spans="1:19" x14ac:dyDescent="0.25">
      <c r="A69" s="134" t="s">
        <v>283</v>
      </c>
      <c r="B69" s="448">
        <f>Iripple1/SQRT(3)/2</f>
        <v>0.41924745600048763</v>
      </c>
      <c r="C69" s="174" t="s">
        <v>2</v>
      </c>
      <c r="D69" s="174" t="s">
        <v>477</v>
      </c>
      <c r="E69" s="94"/>
      <c r="F69" s="94"/>
      <c r="G69" s="94"/>
      <c r="H69" s="95"/>
      <c r="L69" s="429" t="s">
        <v>628</v>
      </c>
      <c r="M69" s="173">
        <v>1</v>
      </c>
      <c r="N69" s="171" t="s">
        <v>629</v>
      </c>
      <c r="O69" s="63">
        <v>0.5</v>
      </c>
    </row>
    <row r="70" spans="1:19" x14ac:dyDescent="0.25">
      <c r="A70" s="96" t="s">
        <v>29</v>
      </c>
      <c r="B70" s="97">
        <f>(Iripple1/(Vripple1*Fsw*8))</f>
        <v>3.0256578947368412E-5</v>
      </c>
      <c r="C70" t="s">
        <v>34</v>
      </c>
      <c r="D70" t="s">
        <v>28</v>
      </c>
      <c r="H70" s="88">
        <v>1</v>
      </c>
      <c r="L70" s="429" t="s">
        <v>497</v>
      </c>
      <c r="M70" s="173">
        <v>2</v>
      </c>
      <c r="N70" s="171" t="s">
        <v>630</v>
      </c>
      <c r="O70" s="63">
        <v>1.3</v>
      </c>
    </row>
    <row r="71" spans="1:19" x14ac:dyDescent="0.25">
      <c r="A71" s="87" t="s">
        <v>36</v>
      </c>
      <c r="B71" s="39">
        <f>'Design Regulator'!E33/1000000</f>
        <v>1.35E-4</v>
      </c>
      <c r="C71" t="s">
        <v>34</v>
      </c>
      <c r="D71" t="s">
        <v>35</v>
      </c>
      <c r="H71" s="88">
        <v>1</v>
      </c>
      <c r="L71" s="429" t="s">
        <v>631</v>
      </c>
      <c r="M71" s="173">
        <v>3</v>
      </c>
      <c r="N71" s="171" t="s">
        <v>632</v>
      </c>
      <c r="O71" s="63">
        <v>2.5</v>
      </c>
    </row>
    <row r="72" spans="1:19" x14ac:dyDescent="0.25">
      <c r="A72" s="96" t="s">
        <v>114</v>
      </c>
      <c r="B72" s="391">
        <f>SQRT((Vripple1/Iripple1)^2-(1/(Fsw*Cout*8))^2)</f>
        <v>1.3420785163968042E-2</v>
      </c>
      <c r="C72" s="309" t="s">
        <v>208</v>
      </c>
      <c r="D72" s="171" t="s">
        <v>478</v>
      </c>
      <c r="H72" s="88">
        <v>1</v>
      </c>
      <c r="L72" s="429" t="s">
        <v>633</v>
      </c>
      <c r="M72" s="173">
        <v>4</v>
      </c>
      <c r="N72" s="171" t="s">
        <v>634</v>
      </c>
      <c r="O72" s="63">
        <v>5.0999999999999996</v>
      </c>
    </row>
    <row r="73" spans="1:19" x14ac:dyDescent="0.25">
      <c r="A73" s="87" t="s">
        <v>272</v>
      </c>
      <c r="B73" s="90">
        <f>'Design Regulator'!E35/1000</f>
        <v>1E-3</v>
      </c>
      <c r="C73" s="309" t="s">
        <v>208</v>
      </c>
      <c r="D73" s="171" t="s">
        <v>479</v>
      </c>
      <c r="H73" s="88">
        <v>1</v>
      </c>
      <c r="L73" s="429" t="s">
        <v>635</v>
      </c>
      <c r="M73" s="173">
        <v>5</v>
      </c>
      <c r="N73" s="171" t="s">
        <v>636</v>
      </c>
      <c r="O73" s="63">
        <v>8</v>
      </c>
    </row>
    <row r="74" spans="1:19" ht="13.8" thickBot="1" x14ac:dyDescent="0.3">
      <c r="A74" s="108" t="s">
        <v>362</v>
      </c>
      <c r="B74" s="447">
        <f>Iripple1*SQRT(CoutEsr^2+(1/(8*Fsw*Cout))^2)</f>
        <v>4.711861012649231E-3</v>
      </c>
      <c r="C74" s="157" t="s">
        <v>75</v>
      </c>
      <c r="D74" s="92"/>
      <c r="E74" s="92"/>
      <c r="F74" s="92"/>
      <c r="G74" s="92"/>
      <c r="H74" s="93"/>
      <c r="K74" s="428" t="s">
        <v>637</v>
      </c>
      <c r="L74" s="382" t="str">
        <f>CHOOSE(M74,"0402","0603","0805","1206","1210")</f>
        <v>1210</v>
      </c>
      <c r="M74" s="383">
        <v>5</v>
      </c>
      <c r="N74" s="382" t="str">
        <f>CHOOSE(M74,N69,N70, N71,N72,N73)</f>
        <v>3.2 x 2.5</v>
      </c>
    </row>
    <row r="76" spans="1:19" ht="13.8" thickBot="1" x14ac:dyDescent="0.3"/>
    <row r="77" spans="1:19" ht="15.6" x14ac:dyDescent="0.3">
      <c r="A77" s="144" t="s">
        <v>277</v>
      </c>
      <c r="B77" s="145"/>
      <c r="C77" s="145"/>
      <c r="D77" s="145"/>
      <c r="E77" s="145"/>
      <c r="F77" s="145"/>
      <c r="G77" s="145"/>
      <c r="H77" s="146"/>
    </row>
    <row r="78" spans="1:19" x14ac:dyDescent="0.25">
      <c r="A78" s="147" t="s">
        <v>415</v>
      </c>
      <c r="B78" s="112">
        <f>'Design Regulator'!E40/1000</f>
        <v>0.05</v>
      </c>
      <c r="C78" t="s">
        <v>75</v>
      </c>
      <c r="H78" s="148"/>
      <c r="L78" s="171" t="s">
        <v>638</v>
      </c>
      <c r="M78" s="173">
        <v>1</v>
      </c>
      <c r="N78" s="430" t="s">
        <v>639</v>
      </c>
      <c r="O78" s="63">
        <v>9</v>
      </c>
    </row>
    <row r="79" spans="1:19" x14ac:dyDescent="0.25">
      <c r="A79" s="149" t="s">
        <v>282</v>
      </c>
      <c r="B79" s="168">
        <f>Iout*SQRT(_Don2*Doff2)</f>
        <v>2.4814116949833211</v>
      </c>
      <c r="C79" s="142" t="s">
        <v>2</v>
      </c>
      <c r="H79" s="148"/>
      <c r="L79" s="171" t="s">
        <v>640</v>
      </c>
      <c r="M79" s="173">
        <v>2</v>
      </c>
      <c r="N79" s="430" t="s">
        <v>641</v>
      </c>
      <c r="O79" s="63">
        <v>16</v>
      </c>
    </row>
    <row r="80" spans="1:19" x14ac:dyDescent="0.25">
      <c r="A80" s="149" t="s">
        <v>414</v>
      </c>
      <c r="B80" s="154">
        <f>Iout*_Don2*(1-_Don2)/(Vinripple1*Fsw)</f>
        <v>6.8415599999999989E-5</v>
      </c>
      <c r="C80" s="142" t="s">
        <v>34</v>
      </c>
      <c r="H80" s="148"/>
      <c r="L80" s="171" t="s">
        <v>642</v>
      </c>
      <c r="M80" s="173">
        <v>3</v>
      </c>
      <c r="N80" s="430" t="s">
        <v>643</v>
      </c>
      <c r="O80" s="63">
        <v>25</v>
      </c>
    </row>
    <row r="81" spans="1:15" x14ac:dyDescent="0.25">
      <c r="A81" s="149" t="s">
        <v>127</v>
      </c>
      <c r="B81" s="143">
        <f>'Design Regulator'!E42/1000000</f>
        <v>1.35E-4</v>
      </c>
      <c r="C81" s="142" t="s">
        <v>34</v>
      </c>
      <c r="D81" t="s">
        <v>286</v>
      </c>
      <c r="H81" s="148"/>
      <c r="L81" s="171" t="s">
        <v>644</v>
      </c>
      <c r="M81" s="173">
        <v>4</v>
      </c>
      <c r="N81" s="430" t="s">
        <v>645</v>
      </c>
      <c r="O81" s="63">
        <v>36</v>
      </c>
    </row>
    <row r="82" spans="1:15" x14ac:dyDescent="0.25">
      <c r="A82" s="149" t="s">
        <v>416</v>
      </c>
      <c r="B82" s="155">
        <f>-(Iout*_Don2*(1-_Don2)/(Cin*Fsw)-Vinripple1)/(Iout+Iripple1/2)</f>
        <v>3.6664154001180703E-3</v>
      </c>
      <c r="C82" s="309" t="s">
        <v>208</v>
      </c>
      <c r="H82" s="148"/>
      <c r="L82" s="171" t="s">
        <v>646</v>
      </c>
      <c r="M82" s="173">
        <v>5</v>
      </c>
      <c r="N82" s="430" t="s">
        <v>647</v>
      </c>
      <c r="O82" s="63">
        <v>49</v>
      </c>
    </row>
    <row r="83" spans="1:15" x14ac:dyDescent="0.25">
      <c r="A83" s="149" t="s">
        <v>159</v>
      </c>
      <c r="B83" s="143">
        <f>'Design Regulator'!E44/1000</f>
        <v>1E-3</v>
      </c>
      <c r="C83" s="309" t="s">
        <v>208</v>
      </c>
      <c r="D83" s="171" t="s">
        <v>480</v>
      </c>
      <c r="H83" s="148"/>
      <c r="L83" s="171" t="s">
        <v>654</v>
      </c>
      <c r="M83" s="173">
        <v>6</v>
      </c>
      <c r="N83" s="430" t="s">
        <v>655</v>
      </c>
      <c r="O83" s="63">
        <v>64</v>
      </c>
    </row>
    <row r="84" spans="1:15" x14ac:dyDescent="0.25">
      <c r="A84" s="149" t="s">
        <v>417</v>
      </c>
      <c r="B84" s="169">
        <f>Iout*_Don2*(1-_Don2)/(Cin*Fsw)+(Iout +Iripple1/2)*RCinEsr</f>
        <v>3.2065269005847948E-2</v>
      </c>
      <c r="C84" s="142" t="s">
        <v>75</v>
      </c>
      <c r="H84" s="148"/>
      <c r="L84" s="171" t="s">
        <v>656</v>
      </c>
      <c r="M84" s="173">
        <v>7</v>
      </c>
      <c r="N84" s="430" t="s">
        <v>657</v>
      </c>
      <c r="O84" s="63">
        <v>100</v>
      </c>
    </row>
    <row r="85" spans="1:15" ht="13.8" thickBot="1" x14ac:dyDescent="0.3">
      <c r="A85" s="150"/>
      <c r="B85" s="156">
        <f>Iout*_Don1*(1-_Don1)/(Cin*Fsw)</f>
        <v>2.4791666666666663E-2</v>
      </c>
      <c r="C85" s="151"/>
      <c r="D85" s="152"/>
      <c r="E85" s="152"/>
      <c r="F85" s="152"/>
      <c r="G85" s="152"/>
      <c r="H85" s="153"/>
      <c r="L85" s="171" t="s">
        <v>658</v>
      </c>
      <c r="M85" s="173">
        <v>8</v>
      </c>
      <c r="N85" s="430" t="s">
        <v>659</v>
      </c>
      <c r="O85" s="63">
        <v>144</v>
      </c>
    </row>
    <row r="86" spans="1:15" x14ac:dyDescent="0.25">
      <c r="K86" s="428" t="s">
        <v>648</v>
      </c>
      <c r="L86" s="382" t="str">
        <f>CHOOSE(M86,L78,L79, L80, L81, L82, L83, L84, L85)</f>
        <v>12mm x 12mm</v>
      </c>
      <c r="M86" s="383">
        <v>8</v>
      </c>
      <c r="N86" s="382" t="str">
        <f>CHOOSE(M86,N78,N79, N80,N81,N82, N83, N84, N85)</f>
        <v>12.0 x 12.0</v>
      </c>
      <c r="O86" s="382"/>
    </row>
    <row r="87" spans="1:15" ht="16.2" thickBot="1" x14ac:dyDescent="0.35">
      <c r="A87" s="133" t="s">
        <v>289</v>
      </c>
    </row>
    <row r="88" spans="1:15" x14ac:dyDescent="0.25">
      <c r="A88" s="134" t="s">
        <v>291</v>
      </c>
      <c r="B88" s="18">
        <f>'Design Regulator'!E49/1000</f>
        <v>8.0000000000000002E-3</v>
      </c>
      <c r="C88" s="94" t="s">
        <v>265</v>
      </c>
      <c r="D88" s="94" t="s">
        <v>292</v>
      </c>
      <c r="E88" s="94"/>
      <c r="F88" s="94"/>
      <c r="G88" s="94"/>
      <c r="H88" s="95"/>
    </row>
    <row r="89" spans="1:15" x14ac:dyDescent="0.25">
      <c r="A89" s="87" t="s">
        <v>293</v>
      </c>
      <c r="B89" s="103">
        <f>Cout*Vout/Tss</f>
        <v>8.60625E-2</v>
      </c>
      <c r="C89" t="s">
        <v>2</v>
      </c>
      <c r="D89" s="171" t="s">
        <v>439</v>
      </c>
      <c r="H89" s="88"/>
    </row>
    <row r="90" spans="1:15" x14ac:dyDescent="0.25">
      <c r="A90" s="87" t="s">
        <v>294</v>
      </c>
      <c r="B90" s="110">
        <f>0.00001*Tss/0.8</f>
        <v>9.9999999999999995E-8</v>
      </c>
      <c r="C90" t="s">
        <v>34</v>
      </c>
      <c r="H90" s="88"/>
    </row>
    <row r="91" spans="1:15" ht="13.8" thickBot="1" x14ac:dyDescent="0.3">
      <c r="A91" s="91" t="s">
        <v>310</v>
      </c>
      <c r="B91" s="109">
        <f>'Standard Value Calculator'!B4</f>
        <v>9.9999999999999995E-8</v>
      </c>
      <c r="C91" s="92" t="s">
        <v>34</v>
      </c>
      <c r="D91" s="92"/>
      <c r="E91" s="92"/>
      <c r="F91" s="92"/>
      <c r="G91" s="92"/>
      <c r="H91" s="93"/>
    </row>
    <row r="93" spans="1:15" ht="16.2" thickBot="1" x14ac:dyDescent="0.35">
      <c r="A93" s="133" t="s">
        <v>328</v>
      </c>
    </row>
    <row r="94" spans="1:15" x14ac:dyDescent="0.25">
      <c r="A94" s="305"/>
      <c r="B94" s="138"/>
      <c r="C94" s="174"/>
      <c r="D94" s="94"/>
      <c r="E94" s="94"/>
      <c r="F94" s="94"/>
      <c r="G94" s="94"/>
      <c r="H94" s="95"/>
    </row>
    <row r="95" spans="1:15" ht="15.6" x14ac:dyDescent="0.35">
      <c r="A95" s="306" t="s">
        <v>482</v>
      </c>
      <c r="B95" s="54">
        <f>'Design Regulator'!E51</f>
        <v>8.33</v>
      </c>
      <c r="C95" s="171" t="s">
        <v>0</v>
      </c>
      <c r="H95" s="88"/>
    </row>
    <row r="96" spans="1:15" ht="15.6" x14ac:dyDescent="0.35">
      <c r="A96" s="306" t="s">
        <v>483</v>
      </c>
      <c r="B96" s="54">
        <f>'Design Regulator'!E52</f>
        <v>7.58</v>
      </c>
      <c r="C96" s="171" t="s">
        <v>0</v>
      </c>
      <c r="H96" s="88"/>
    </row>
    <row r="97" spans="1:8" ht="15.6" x14ac:dyDescent="0.35">
      <c r="A97" s="306" t="s">
        <v>512</v>
      </c>
      <c r="B97" s="63">
        <f>(VINuvlo_off-VINuvlo_on*Vuvlo_off/Vuvlo_on)/(Iuvlo1*Vuvlo_off/Vuvlo_on-Iuvlo2)</f>
        <v>75</v>
      </c>
      <c r="C97" s="55" t="s">
        <v>489</v>
      </c>
      <c r="D97">
        <f>'Standard Value Calculator'!S16</f>
        <v>75</v>
      </c>
      <c r="E97" s="55" t="s">
        <v>489</v>
      </c>
      <c r="F97" s="54">
        <f>IF(Ruvlo1&lt;0,"N/A",D97)</f>
        <v>75</v>
      </c>
      <c r="G97" s="54" t="str">
        <f>IF(Ruvlo1&lt;0,"N/A",D97&amp;"kΩ")</f>
        <v>75kΩ</v>
      </c>
      <c r="H97" s="88"/>
    </row>
    <row r="98" spans="1:8" ht="15.75" customHeight="1" x14ac:dyDescent="0.35">
      <c r="A98" s="306" t="s">
        <v>513</v>
      </c>
      <c r="B98" s="307">
        <f>D97*Vuvlo_on/(VINuvlo_on-Vuvlo_on+Ruvlo1*Iuvlo1)</f>
        <v>12.622720897615709</v>
      </c>
      <c r="C98" s="55" t="s">
        <v>489</v>
      </c>
      <c r="D98">
        <f>'Standard Value Calculator'!S17</f>
        <v>12.700000000000001</v>
      </c>
      <c r="E98" s="55" t="s">
        <v>489</v>
      </c>
      <c r="F98" s="54">
        <f>IF(F97="N/A","N/A",D98)</f>
        <v>12.700000000000001</v>
      </c>
      <c r="G98" s="54" t="str">
        <f>IF(G97="N/A","N/A",D98&amp;"kΩ")</f>
        <v>12.7kΩ</v>
      </c>
      <c r="H98" s="88"/>
    </row>
    <row r="99" spans="1:8" ht="15.75" customHeight="1" x14ac:dyDescent="0.3">
      <c r="A99" s="306"/>
      <c r="B99" s="307"/>
      <c r="C99" s="55"/>
      <c r="E99" s="55"/>
      <c r="H99" s="88"/>
    </row>
    <row r="100" spans="1:8" ht="15.75" customHeight="1" x14ac:dyDescent="0.35">
      <c r="A100" s="306" t="s">
        <v>490</v>
      </c>
      <c r="B100" s="307">
        <f>(D97+D98)/D98*Vuvlo_on-Iuvlo1*D97</f>
        <v>8.2866141732283456</v>
      </c>
      <c r="C100" s="55"/>
      <c r="E100" s="55"/>
      <c r="H100" s="88"/>
    </row>
    <row r="101" spans="1:8" ht="15.75" customHeight="1" x14ac:dyDescent="0.35">
      <c r="A101" s="306" t="s">
        <v>491</v>
      </c>
      <c r="B101" s="307">
        <f>(D97+D98)/D98*Vuvlo_off-Iuvlo2*D97</f>
        <v>7.5366141732283456</v>
      </c>
      <c r="C101" s="55"/>
      <c r="E101" s="55"/>
      <c r="H101" s="88"/>
    </row>
    <row r="102" spans="1:8" ht="15.75" customHeight="1" x14ac:dyDescent="0.3">
      <c r="A102" s="306"/>
      <c r="B102" s="307"/>
      <c r="C102" s="55"/>
      <c r="E102" s="55"/>
      <c r="H102" s="88"/>
    </row>
    <row r="103" spans="1:8" ht="15.75" customHeight="1" x14ac:dyDescent="0.25">
      <c r="A103" s="306"/>
      <c r="B103" s="54"/>
      <c r="H103" s="88"/>
    </row>
    <row r="104" spans="1:8" ht="15.75" customHeight="1" x14ac:dyDescent="0.25">
      <c r="A104" s="306" t="s">
        <v>484</v>
      </c>
      <c r="B104" s="54">
        <v>1.2</v>
      </c>
      <c r="H104" s="88"/>
    </row>
    <row r="105" spans="1:8" ht="15.75" customHeight="1" x14ac:dyDescent="0.25">
      <c r="A105" s="306" t="s">
        <v>485</v>
      </c>
      <c r="B105" s="54">
        <v>1.2</v>
      </c>
      <c r="H105" s="88"/>
    </row>
    <row r="106" spans="1:8" ht="15.75" customHeight="1" x14ac:dyDescent="0.25">
      <c r="A106" s="306" t="s">
        <v>485</v>
      </c>
      <c r="B106" s="54">
        <f>B104-B105</f>
        <v>0</v>
      </c>
      <c r="H106" s="88"/>
    </row>
    <row r="107" spans="1:8" ht="15.75" customHeight="1" x14ac:dyDescent="0.25">
      <c r="A107" s="306" t="s">
        <v>488</v>
      </c>
      <c r="B107" s="54">
        <v>0</v>
      </c>
      <c r="H107" s="88"/>
    </row>
    <row r="108" spans="1:8" ht="15.75" customHeight="1" x14ac:dyDescent="0.25">
      <c r="A108" s="306" t="s">
        <v>486</v>
      </c>
      <c r="B108" s="54">
        <v>0.01</v>
      </c>
      <c r="H108" s="88"/>
    </row>
    <row r="109" spans="1:8" ht="15.75" customHeight="1" x14ac:dyDescent="0.25">
      <c r="A109" s="306" t="s">
        <v>487</v>
      </c>
      <c r="B109" s="54">
        <f>B108-B107</f>
        <v>0.01</v>
      </c>
      <c r="H109" s="88"/>
    </row>
    <row r="110" spans="1:8" ht="15.75" customHeight="1" x14ac:dyDescent="0.25">
      <c r="A110" s="306"/>
      <c r="B110" s="54"/>
      <c r="H110" s="88"/>
    </row>
    <row r="111" spans="1:8" ht="15.75" customHeight="1" x14ac:dyDescent="0.35">
      <c r="A111" s="87" t="s">
        <v>330</v>
      </c>
      <c r="B111" s="54"/>
      <c r="C111" s="309" t="s">
        <v>208</v>
      </c>
      <c r="H111" s="88"/>
    </row>
    <row r="112" spans="1:8" ht="15.75" customHeight="1" x14ac:dyDescent="0.35">
      <c r="A112" s="87" t="s">
        <v>331</v>
      </c>
      <c r="B112" s="54"/>
      <c r="C112" s="309" t="s">
        <v>208</v>
      </c>
      <c r="H112" s="88"/>
    </row>
    <row r="113" spans="1:8" ht="15.75" customHeight="1" x14ac:dyDescent="0.25">
      <c r="A113" s="87" t="s">
        <v>305</v>
      </c>
      <c r="B113" s="54"/>
      <c r="C113" s="309" t="s">
        <v>208</v>
      </c>
      <c r="H113" s="88"/>
    </row>
    <row r="114" spans="1:8" ht="15.75" customHeight="1" x14ac:dyDescent="0.25">
      <c r="A114" s="87" t="s">
        <v>428</v>
      </c>
      <c r="B114" s="54" t="e">
        <f>80700/(Totp+273)*398</f>
        <v>#NAME?</v>
      </c>
      <c r="C114" s="309" t="s">
        <v>208</v>
      </c>
      <c r="H114" s="88"/>
    </row>
    <row r="115" spans="1:8" ht="15.75" customHeight="1" x14ac:dyDescent="0.25">
      <c r="A115" s="87"/>
      <c r="B115" s="54"/>
      <c r="H115" s="88"/>
    </row>
    <row r="116" spans="1:8" x14ac:dyDescent="0.25">
      <c r="A116" s="87"/>
      <c r="B116" s="54"/>
      <c r="H116" s="88"/>
    </row>
    <row r="117" spans="1:8" x14ac:dyDescent="0.25">
      <c r="A117" s="87" t="s">
        <v>332</v>
      </c>
      <c r="B117" s="54">
        <v>100</v>
      </c>
      <c r="C117" s="171" t="s">
        <v>53</v>
      </c>
      <c r="H117" s="88"/>
    </row>
    <row r="118" spans="1:8" x14ac:dyDescent="0.25">
      <c r="A118" s="87"/>
      <c r="B118" s="54"/>
      <c r="H118" s="88"/>
    </row>
    <row r="119" spans="1:8" ht="13.8" thickBot="1" x14ac:dyDescent="0.3">
      <c r="A119" s="91"/>
      <c r="B119" s="111"/>
      <c r="C119" s="92"/>
      <c r="D119" s="92"/>
      <c r="E119" s="92"/>
      <c r="F119" s="92"/>
      <c r="G119" s="92"/>
      <c r="H119" s="93"/>
    </row>
    <row r="120" spans="1:8" x14ac:dyDescent="0.25">
      <c r="B120" s="54"/>
    </row>
    <row r="121" spans="1:8" ht="16.2" thickBot="1" x14ac:dyDescent="0.35">
      <c r="A121" s="133" t="s">
        <v>329</v>
      </c>
    </row>
    <row r="122" spans="1:8" x14ac:dyDescent="0.25">
      <c r="A122" s="134" t="s">
        <v>81</v>
      </c>
      <c r="B122" s="355">
        <v>10000</v>
      </c>
      <c r="C122" s="94" t="s">
        <v>49</v>
      </c>
      <c r="D122" s="174" t="s">
        <v>431</v>
      </c>
      <c r="E122" s="94"/>
      <c r="F122" s="94"/>
      <c r="G122" s="94"/>
      <c r="H122" s="95"/>
    </row>
    <row r="123" spans="1:8" x14ac:dyDescent="0.25">
      <c r="A123" s="87" t="s">
        <v>82</v>
      </c>
      <c r="B123" s="90">
        <v>5000000</v>
      </c>
      <c r="C123" t="s">
        <v>10</v>
      </c>
      <c r="D123" s="171" t="s">
        <v>432</v>
      </c>
      <c r="H123" s="88"/>
    </row>
    <row r="124" spans="1:8" x14ac:dyDescent="0.25">
      <c r="A124" s="306" t="s">
        <v>541</v>
      </c>
      <c r="B124" s="140">
        <f>'Design Regulator'!E61*1000</f>
        <v>48000</v>
      </c>
      <c r="C124" s="171" t="s">
        <v>10</v>
      </c>
      <c r="H124" s="88"/>
    </row>
    <row r="125" spans="1:8" x14ac:dyDescent="0.25">
      <c r="A125" s="87" t="s">
        <v>51</v>
      </c>
      <c r="B125" s="141">
        <f>Fcross/Fo/15</f>
        <v>0.71213691395678658</v>
      </c>
      <c r="C125" t="s">
        <v>49</v>
      </c>
      <c r="D125" s="171" t="s">
        <v>438</v>
      </c>
      <c r="H125" s="88">
        <v>1</v>
      </c>
    </row>
    <row r="126" spans="1:8" x14ac:dyDescent="0.25">
      <c r="A126" s="87" t="s">
        <v>52</v>
      </c>
      <c r="B126" s="112">
        <f>'Design Regulator'!E63*1000</f>
        <v>18000</v>
      </c>
      <c r="C126" s="309" t="s">
        <v>208</v>
      </c>
      <c r="D126" t="s">
        <v>260</v>
      </c>
      <c r="H126" s="88">
        <v>1</v>
      </c>
    </row>
    <row r="127" spans="1:8" x14ac:dyDescent="0.25">
      <c r="A127" s="99" t="s">
        <v>77</v>
      </c>
      <c r="B127" s="357">
        <f>IF(Vout=Vref,100000000,Vref/((Vout-Vref)/_Rfb1))</f>
        <v>3348.8372093023258</v>
      </c>
      <c r="C127" s="309" t="s">
        <v>208</v>
      </c>
      <c r="D127" s="171" t="s">
        <v>698</v>
      </c>
      <c r="H127" s="88"/>
    </row>
    <row r="128" spans="1:8" x14ac:dyDescent="0.25">
      <c r="A128" s="87" t="s">
        <v>271</v>
      </c>
      <c r="B128" s="103">
        <f>IF(Vout=Vref,"N/A",'Standard Value Calculator'!S11)</f>
        <v>3320</v>
      </c>
      <c r="C128" s="309" t="s">
        <v>208</v>
      </c>
      <c r="D128" s="171" t="s">
        <v>697</v>
      </c>
      <c r="H128" s="88"/>
    </row>
    <row r="129" spans="1:8" x14ac:dyDescent="0.25">
      <c r="A129" s="387" t="s">
        <v>689</v>
      </c>
      <c r="B129" s="461">
        <f>0.8/Rfb2_u*(Rfb2_u+_Rfb1)</f>
        <v>5.1373493975903619</v>
      </c>
      <c r="C129" t="s">
        <v>0</v>
      </c>
      <c r="D129" s="171" t="s">
        <v>690</v>
      </c>
      <c r="H129" s="88"/>
    </row>
    <row r="130" spans="1:8" x14ac:dyDescent="0.25">
      <c r="A130" s="387"/>
      <c r="C130" s="309"/>
      <c r="D130" s="171"/>
      <c r="H130" s="88"/>
    </row>
    <row r="131" spans="1:8" x14ac:dyDescent="0.25">
      <c r="A131" s="96" t="s">
        <v>74</v>
      </c>
      <c r="B131" s="391">
        <f>Vin/15</f>
        <v>1.6</v>
      </c>
      <c r="C131" t="s">
        <v>75</v>
      </c>
      <c r="D131" s="171" t="s">
        <v>555</v>
      </c>
      <c r="H131" s="88"/>
    </row>
    <row r="132" spans="1:8" x14ac:dyDescent="0.25">
      <c r="A132" s="96" t="s">
        <v>58</v>
      </c>
      <c r="B132" s="358">
        <f>Kmidband*_Rfb1</f>
        <v>12818.464451222158</v>
      </c>
      <c r="C132" s="309" t="s">
        <v>208</v>
      </c>
      <c r="D132" s="171" t="s">
        <v>430</v>
      </c>
      <c r="H132" s="88">
        <v>1</v>
      </c>
    </row>
    <row r="133" spans="1:8" x14ac:dyDescent="0.25">
      <c r="A133" s="96" t="s">
        <v>54</v>
      </c>
      <c r="B133" s="359">
        <f>1/(Rcea1*('Design Regulator'!E67*1000)*2*Pi)</f>
        <v>3.0283095916029614E-9</v>
      </c>
      <c r="C133" t="s">
        <v>34</v>
      </c>
      <c r="D133" t="s">
        <v>261</v>
      </c>
      <c r="H133" s="88">
        <v>1</v>
      </c>
    </row>
    <row r="134" spans="1:8" x14ac:dyDescent="0.25">
      <c r="A134" s="96" t="s">
        <v>55</v>
      </c>
      <c r="B134" s="359">
        <f>1/((Rcea1*2*Pi*'Design Regulator'!E70*1000)-1/Cc1ea)</f>
        <v>1.2467184783183192E-11</v>
      </c>
      <c r="C134" t="s">
        <v>34</v>
      </c>
      <c r="H134" s="88">
        <v>1</v>
      </c>
    </row>
    <row r="135" spans="1:8" x14ac:dyDescent="0.25">
      <c r="A135" s="96" t="s">
        <v>56</v>
      </c>
      <c r="B135" s="357">
        <f>(1/(1000*2*Pi*'Design Regulator'!E69))*_Rfb1/(1/('Design Regulator'!E68*1000*2*Pi)-(1/(1000*2*Pi*'Design Regulator'!E69)))</f>
        <v>461.53846153846149</v>
      </c>
      <c r="C135" s="309" t="s">
        <v>208</v>
      </c>
      <c r="H135" s="88">
        <v>1</v>
      </c>
    </row>
    <row r="136" spans="1:8" x14ac:dyDescent="0.25">
      <c r="A136" s="96" t="s">
        <v>57</v>
      </c>
      <c r="B136" s="359">
        <f>(1/(1000*2*Pi*'Design Regulator'!E69))/Rcea2</f>
        <v>1.7241785521323609E-9</v>
      </c>
      <c r="C136" t="s">
        <v>34</v>
      </c>
      <c r="H136" s="88">
        <v>1</v>
      </c>
    </row>
    <row r="137" spans="1:8" x14ac:dyDescent="0.25">
      <c r="A137" s="96"/>
      <c r="B137" s="1"/>
      <c r="H137" s="88"/>
    </row>
    <row r="138" spans="1:8" x14ac:dyDescent="0.25">
      <c r="A138" s="99" t="s">
        <v>382</v>
      </c>
      <c r="H138" s="88"/>
    </row>
    <row r="139" spans="1:8" x14ac:dyDescent="0.25">
      <c r="A139" s="87" t="s">
        <v>59</v>
      </c>
      <c r="B139" s="166">
        <f>'Design Regulator'!D74*1000</f>
        <v>13000</v>
      </c>
      <c r="C139" s="309" t="s">
        <v>208</v>
      </c>
      <c r="H139" s="88">
        <v>2</v>
      </c>
    </row>
    <row r="140" spans="1:8" x14ac:dyDescent="0.25">
      <c r="A140" s="87" t="s">
        <v>60</v>
      </c>
      <c r="B140" s="106">
        <f>'Design Regulator'!D75*0.000000000001</f>
        <v>3.2999999999999998E-9</v>
      </c>
      <c r="C140" t="s">
        <v>34</v>
      </c>
      <c r="H140" s="88">
        <v>2</v>
      </c>
    </row>
    <row r="141" spans="1:8" x14ac:dyDescent="0.25">
      <c r="A141" s="87" t="s">
        <v>61</v>
      </c>
      <c r="B141" s="106">
        <f>'Design Regulator'!D76*0.000000000001</f>
        <v>1.2000000000000001E-11</v>
      </c>
      <c r="C141" t="s">
        <v>34</v>
      </c>
      <c r="H141" s="88">
        <v>2</v>
      </c>
    </row>
    <row r="142" spans="1:8" x14ac:dyDescent="0.25">
      <c r="A142" s="87" t="s">
        <v>62</v>
      </c>
      <c r="B142" s="166">
        <f>'Design Regulator'!D77</f>
        <v>470</v>
      </c>
      <c r="C142" s="309" t="s">
        <v>208</v>
      </c>
      <c r="H142" s="88">
        <v>2</v>
      </c>
    </row>
    <row r="143" spans="1:8" x14ac:dyDescent="0.25">
      <c r="A143" s="87" t="s">
        <v>63</v>
      </c>
      <c r="B143" s="106">
        <f>'Design Regulator'!D78*0.000000000001</f>
        <v>2.1999999999999998E-9</v>
      </c>
      <c r="C143" t="s">
        <v>34</v>
      </c>
      <c r="H143" s="88">
        <v>2</v>
      </c>
    </row>
    <row r="144" spans="1:8" x14ac:dyDescent="0.25">
      <c r="A144" s="87"/>
      <c r="H144" s="88"/>
    </row>
    <row r="145" spans="1:8" x14ac:dyDescent="0.25">
      <c r="A145" s="99" t="s">
        <v>343</v>
      </c>
      <c r="D145">
        <f>Cout</f>
        <v>1.35E-4</v>
      </c>
      <c r="E145">
        <f>CoutEsr</f>
        <v>1E-3</v>
      </c>
      <c r="H145" s="88"/>
    </row>
    <row r="146" spans="1:8" x14ac:dyDescent="0.25">
      <c r="A146" s="96" t="s">
        <v>39</v>
      </c>
      <c r="B146" s="420">
        <f>SQRT((Rfets+Rdcr+Ro)/(Cout*Lout2*(CoutEsr+Ro)))/(2*Pi)</f>
        <v>4493.5179419644301</v>
      </c>
      <c r="C146" t="s">
        <v>10</v>
      </c>
      <c r="D146" t="s">
        <v>40</v>
      </c>
      <c r="H146" s="88"/>
    </row>
    <row r="147" spans="1:8" x14ac:dyDescent="0.25">
      <c r="A147" s="96" t="s">
        <v>42</v>
      </c>
      <c r="B147" s="421">
        <f>(Rfets+Rdcr+Ro)/(Lout2+Cout*(Rdcr+Rfets)*(CoutEsr+Ro)+Cout*CoutEsr*Ro)/(Fo*2*Pi)</f>
        <v>2.5866544659632584</v>
      </c>
      <c r="C147" t="s">
        <v>49</v>
      </c>
      <c r="D147" t="s">
        <v>43</v>
      </c>
      <c r="H147" s="88"/>
    </row>
    <row r="148" spans="1:8" x14ac:dyDescent="0.25">
      <c r="A148" s="96" t="s">
        <v>41</v>
      </c>
      <c r="B148" s="420">
        <f>1/(2*Pi*Cout*CoutEsr)</f>
        <v>1178925.5057315286</v>
      </c>
      <c r="C148" t="s">
        <v>10</v>
      </c>
      <c r="D148" s="171" t="s">
        <v>433</v>
      </c>
      <c r="H148" s="88"/>
    </row>
    <row r="149" spans="1:8" x14ac:dyDescent="0.25">
      <c r="A149" s="96" t="s">
        <v>64</v>
      </c>
      <c r="B149" s="420">
        <f>1/(2*Pi*Rcea1_u*Cc1ea_u)</f>
        <v>3709.9054376166987</v>
      </c>
      <c r="C149" t="s">
        <v>10</v>
      </c>
      <c r="D149" s="171" t="s">
        <v>543</v>
      </c>
      <c r="H149" s="88"/>
    </row>
    <row r="150" spans="1:8" x14ac:dyDescent="0.25">
      <c r="A150" s="96" t="s">
        <v>65</v>
      </c>
      <c r="B150" s="420">
        <f>1/(2*Pi*Cc3ea_u*(_Rfb1+Rcea2_u))</f>
        <v>3916.7924219559086</v>
      </c>
      <c r="C150" t="s">
        <v>10</v>
      </c>
      <c r="D150" s="171" t="s">
        <v>543</v>
      </c>
      <c r="H150" s="88"/>
    </row>
    <row r="151" spans="1:8" x14ac:dyDescent="0.25">
      <c r="A151" s="96" t="s">
        <v>66</v>
      </c>
      <c r="B151" s="420">
        <f>1/(2*Pi*Rcea2_u*Cc3ea_u)</f>
        <v>153921.60858196943</v>
      </c>
      <c r="C151" t="s">
        <v>10</v>
      </c>
      <c r="D151" t="s">
        <v>263</v>
      </c>
      <c r="H151" s="88"/>
    </row>
    <row r="152" spans="1:8" x14ac:dyDescent="0.25">
      <c r="A152" s="96" t="s">
        <v>67</v>
      </c>
      <c r="B152" s="420">
        <f>1/(2*Pi*Rcea1_u*(Cc1ea_u*Cc2ea_u/(Cc1ea_u+Cc2ea_u)))</f>
        <v>1023933.9007822089</v>
      </c>
      <c r="C152" t="s">
        <v>10</v>
      </c>
      <c r="D152" t="s">
        <v>262</v>
      </c>
      <c r="H152" s="88"/>
    </row>
    <row r="153" spans="1:8" x14ac:dyDescent="0.25">
      <c r="A153" s="96" t="s">
        <v>80</v>
      </c>
      <c r="B153" s="421">
        <f>Vout/(Iout+Vref/_Rfb2)</f>
        <v>0.8499661587547902</v>
      </c>
      <c r="D153" s="171" t="s">
        <v>542</v>
      </c>
      <c r="H153" s="88"/>
    </row>
    <row r="154" spans="1:8" x14ac:dyDescent="0.25">
      <c r="A154" s="96" t="s">
        <v>70</v>
      </c>
      <c r="B154" s="421">
        <v>3.1415926500000002</v>
      </c>
      <c r="D154" t="s">
        <v>264</v>
      </c>
      <c r="H154" s="88"/>
    </row>
    <row r="155" spans="1:8" x14ac:dyDescent="0.25">
      <c r="A155" s="96" t="s">
        <v>327</v>
      </c>
      <c r="B155" s="1"/>
      <c r="H155" s="88"/>
    </row>
    <row r="156" spans="1:8" x14ac:dyDescent="0.25">
      <c r="A156" s="96" t="s">
        <v>336</v>
      </c>
      <c r="B156" s="1">
        <v>0</v>
      </c>
      <c r="C156" s="309" t="s">
        <v>208</v>
      </c>
      <c r="D156" s="171" t="s">
        <v>538</v>
      </c>
      <c r="G156">
        <f>_Don2*RdsonTop+Doff2*RdsonBot+B161*Vin^2*Fsw/2/(((Iripple1/SQRT(3))^2))</f>
        <v>0.62044481464319035</v>
      </c>
      <c r="H156" s="88"/>
    </row>
    <row r="157" spans="1:8" x14ac:dyDescent="0.25">
      <c r="A157" s="87"/>
      <c r="H157" s="88"/>
    </row>
    <row r="158" spans="1:8" x14ac:dyDescent="0.25">
      <c r="A158" s="96" t="s">
        <v>339</v>
      </c>
      <c r="B158" s="2">
        <f>0.00000002*Fsw*0.6*4/Iripple1</f>
        <v>9.9151989562948489E-3</v>
      </c>
      <c r="D158" s="2"/>
      <c r="H158" s="88"/>
    </row>
    <row r="159" spans="1:8" x14ac:dyDescent="0.25">
      <c r="A159" s="96" t="s">
        <v>338</v>
      </c>
      <c r="B159" s="2">
        <f>_Don2*RdsonTop+Doff2*RdsonBot</f>
        <v>6.0000000000000001E-3</v>
      </c>
      <c r="D159" s="2"/>
      <c r="H159" s="88"/>
    </row>
    <row r="160" spans="1:8" x14ac:dyDescent="0.25">
      <c r="A160" s="96" t="s">
        <v>337</v>
      </c>
      <c r="B160" s="2">
        <f>B161*Vin^2*Fsw/2/(((Iripple1/SQRT(3))^2))</f>
        <v>0.61444481464319034</v>
      </c>
      <c r="D160" s="2"/>
      <c r="H160" s="88"/>
    </row>
    <row r="161" spans="1:8" ht="13.8" thickBot="1" x14ac:dyDescent="0.3">
      <c r="A161" s="108" t="s">
        <v>340</v>
      </c>
      <c r="B161" s="113">
        <v>5.0000000000000001E-9</v>
      </c>
      <c r="C161" s="92"/>
      <c r="D161" s="113"/>
      <c r="E161" s="92"/>
      <c r="F161" s="92"/>
      <c r="G161" s="92"/>
      <c r="H161" s="93"/>
    </row>
    <row r="162" spans="1:8" x14ac:dyDescent="0.25">
      <c r="A162" s="1"/>
      <c r="B162" s="60"/>
      <c r="D162" s="60"/>
    </row>
    <row r="163" spans="1:8" x14ac:dyDescent="0.25">
      <c r="A163" s="1"/>
      <c r="B163" s="60"/>
      <c r="D163" s="60"/>
    </row>
    <row r="164" spans="1:8" ht="16.2" thickBot="1" x14ac:dyDescent="0.35">
      <c r="A164" s="139" t="s">
        <v>361</v>
      </c>
    </row>
    <row r="165" spans="1:8" x14ac:dyDescent="0.25">
      <c r="A165" s="134"/>
      <c r="B165" s="94"/>
      <c r="C165" s="94"/>
      <c r="D165" s="94"/>
      <c r="E165" s="94"/>
      <c r="F165" s="94"/>
      <c r="G165" s="94"/>
      <c r="H165" s="95"/>
    </row>
    <row r="166" spans="1:8" x14ac:dyDescent="0.25">
      <c r="A166" s="99" t="s">
        <v>125</v>
      </c>
      <c r="H166" s="88"/>
    </row>
    <row r="167" spans="1:8" x14ac:dyDescent="0.25">
      <c r="A167" s="87" t="s">
        <v>156</v>
      </c>
      <c r="B167" s="39">
        <v>25</v>
      </c>
      <c r="D167" t="s">
        <v>175</v>
      </c>
      <c r="H167" s="88"/>
    </row>
    <row r="168" spans="1:8" ht="15.6" x14ac:dyDescent="0.3">
      <c r="A168" s="477" t="s">
        <v>128</v>
      </c>
      <c r="H168" s="88"/>
    </row>
    <row r="169" spans="1:8" x14ac:dyDescent="0.25">
      <c r="A169" s="87" t="s">
        <v>155</v>
      </c>
      <c r="B169" s="90">
        <f>4000/1000000</f>
        <v>4.0000000000000001E-3</v>
      </c>
      <c r="C169" s="171" t="s">
        <v>556</v>
      </c>
      <c r="D169" t="s">
        <v>176</v>
      </c>
      <c r="H169" s="88"/>
    </row>
    <row r="170" spans="1:8" x14ac:dyDescent="0.25">
      <c r="A170" s="87" t="s">
        <v>250</v>
      </c>
      <c r="B170" s="90">
        <v>20</v>
      </c>
      <c r="C170" s="171" t="s">
        <v>380</v>
      </c>
      <c r="D170" t="s">
        <v>251</v>
      </c>
      <c r="H170" s="88"/>
    </row>
    <row r="171" spans="1:8" x14ac:dyDescent="0.25">
      <c r="A171" s="87" t="s">
        <v>159</v>
      </c>
      <c r="B171" s="39">
        <f>RCinEsr</f>
        <v>1E-3</v>
      </c>
      <c r="C171" s="309" t="s">
        <v>208</v>
      </c>
      <c r="D171" t="s">
        <v>178</v>
      </c>
      <c r="H171" s="88"/>
    </row>
    <row r="172" spans="1:8" x14ac:dyDescent="0.25">
      <c r="A172" s="96" t="s">
        <v>268</v>
      </c>
      <c r="H172" s="88"/>
    </row>
    <row r="173" spans="1:8" x14ac:dyDescent="0.25">
      <c r="A173" s="306" t="s">
        <v>610</v>
      </c>
      <c r="B173" s="90">
        <v>7.5</v>
      </c>
      <c r="H173" s="88"/>
    </row>
    <row r="174" spans="1:8" x14ac:dyDescent="0.25">
      <c r="A174" s="99" t="s">
        <v>202</v>
      </c>
      <c r="H174" s="88"/>
    </row>
    <row r="175" spans="1:8" x14ac:dyDescent="0.25">
      <c r="A175" s="87" t="s">
        <v>132</v>
      </c>
      <c r="B175" s="90">
        <v>1</v>
      </c>
      <c r="C175" s="309" t="s">
        <v>208</v>
      </c>
      <c r="D175" t="s">
        <v>204</v>
      </c>
      <c r="H175" s="88"/>
    </row>
    <row r="176" spans="1:8" x14ac:dyDescent="0.25">
      <c r="A176" s="87" t="s">
        <v>239</v>
      </c>
      <c r="B176" s="90">
        <v>0.9</v>
      </c>
      <c r="C176" s="309" t="s">
        <v>208</v>
      </c>
      <c r="D176" t="s">
        <v>205</v>
      </c>
      <c r="H176" s="88"/>
    </row>
    <row r="177" spans="1:8" x14ac:dyDescent="0.25">
      <c r="A177" s="99" t="s">
        <v>203</v>
      </c>
      <c r="H177" s="88"/>
    </row>
    <row r="178" spans="1:8" x14ac:dyDescent="0.25">
      <c r="A178" s="87" t="s">
        <v>131</v>
      </c>
      <c r="B178" s="158">
        <v>1</v>
      </c>
      <c r="C178" s="309" t="s">
        <v>208</v>
      </c>
      <c r="D178" t="s">
        <v>204</v>
      </c>
      <c r="H178" s="88"/>
    </row>
    <row r="179" spans="1:8" x14ac:dyDescent="0.25">
      <c r="A179" s="87" t="s">
        <v>238</v>
      </c>
      <c r="B179" s="90">
        <v>0.9</v>
      </c>
      <c r="C179" s="309" t="s">
        <v>208</v>
      </c>
      <c r="D179" t="s">
        <v>205</v>
      </c>
      <c r="H179" s="88"/>
    </row>
    <row r="180" spans="1:8" x14ac:dyDescent="0.25">
      <c r="A180" s="99" t="s">
        <v>133</v>
      </c>
      <c r="D180" t="s">
        <v>199</v>
      </c>
      <c r="H180" s="88"/>
    </row>
    <row r="181" spans="1:8" x14ac:dyDescent="0.25">
      <c r="A181" s="87" t="s">
        <v>133</v>
      </c>
      <c r="B181" s="102">
        <v>2.9999999999999997E-8</v>
      </c>
      <c r="C181" t="s">
        <v>265</v>
      </c>
      <c r="D181" t="s">
        <v>179</v>
      </c>
      <c r="H181" s="88"/>
    </row>
    <row r="182" spans="1:8" x14ac:dyDescent="0.25">
      <c r="A182" s="99" t="s">
        <v>119</v>
      </c>
      <c r="H182" s="88"/>
    </row>
    <row r="183" spans="1:8" x14ac:dyDescent="0.25">
      <c r="A183" s="87" t="s">
        <v>249</v>
      </c>
      <c r="B183" s="90">
        <v>2E-3</v>
      </c>
      <c r="C183" t="s">
        <v>2</v>
      </c>
      <c r="D183" t="s">
        <v>259</v>
      </c>
      <c r="H183" s="88"/>
    </row>
    <row r="184" spans="1:8" ht="15.6" x14ac:dyDescent="0.3">
      <c r="A184" s="477" t="s">
        <v>129</v>
      </c>
      <c r="H184" s="88"/>
    </row>
    <row r="185" spans="1:8" x14ac:dyDescent="0.25">
      <c r="A185" s="87" t="s">
        <v>142</v>
      </c>
      <c r="B185" s="39">
        <f>'Design Regulator'!E85/1000</f>
        <v>6.0000000000000001E-3</v>
      </c>
      <c r="C185" s="309" t="s">
        <v>208</v>
      </c>
      <c r="D185" t="s">
        <v>194</v>
      </c>
      <c r="H185" s="88"/>
    </row>
    <row r="186" spans="1:8" x14ac:dyDescent="0.25">
      <c r="A186" s="87" t="s">
        <v>152</v>
      </c>
      <c r="B186" s="90">
        <f>4000/1000000</f>
        <v>4.0000000000000001E-3</v>
      </c>
      <c r="C186" s="171" t="s">
        <v>556</v>
      </c>
      <c r="D186" t="s">
        <v>193</v>
      </c>
      <c r="H186" s="88"/>
    </row>
    <row r="187" spans="1:8" x14ac:dyDescent="0.25">
      <c r="A187" s="87" t="s">
        <v>141</v>
      </c>
      <c r="B187" s="114">
        <f>'Design Regulator'!E86/1000000000</f>
        <v>2.7E-8</v>
      </c>
      <c r="C187" t="s">
        <v>269</v>
      </c>
      <c r="D187" t="s">
        <v>180</v>
      </c>
      <c r="H187" s="88"/>
    </row>
    <row r="188" spans="1:8" x14ac:dyDescent="0.25">
      <c r="A188" s="87" t="s">
        <v>218</v>
      </c>
      <c r="B188" s="114">
        <f>'Design Regulator'!E87/1000000000</f>
        <v>8.9999999999999995E-9</v>
      </c>
      <c r="C188" t="s">
        <v>269</v>
      </c>
      <c r="D188" t="s">
        <v>219</v>
      </c>
      <c r="H188" s="88"/>
    </row>
    <row r="189" spans="1:8" x14ac:dyDescent="0.25">
      <c r="A189" s="87" t="s">
        <v>236</v>
      </c>
      <c r="B189" s="114">
        <f>'Design Regulator'!E88/1000000000</f>
        <v>8.0000000000000005E-9</v>
      </c>
      <c r="C189" t="s">
        <v>269</v>
      </c>
      <c r="D189" t="s">
        <v>713</v>
      </c>
      <c r="H189" s="88"/>
    </row>
    <row r="190" spans="1:8" x14ac:dyDescent="0.25">
      <c r="A190" s="388" t="s">
        <v>720</v>
      </c>
      <c r="B190" s="114">
        <f>'Design Regulator'!E89/1000000000000</f>
        <v>3.3800000000000002E-10</v>
      </c>
      <c r="C190" t="s">
        <v>34</v>
      </c>
      <c r="D190" t="s">
        <v>721</v>
      </c>
      <c r="H190" s="88"/>
    </row>
    <row r="191" spans="1:8" x14ac:dyDescent="0.25">
      <c r="A191" s="87" t="s">
        <v>168</v>
      </c>
      <c r="B191" s="39">
        <f>'Design Regulator'!E90</f>
        <v>2</v>
      </c>
      <c r="C191" s="309" t="s">
        <v>208</v>
      </c>
      <c r="D191" t="s">
        <v>722</v>
      </c>
      <c r="H191" s="88"/>
    </row>
    <row r="192" spans="1:8" x14ac:dyDescent="0.25">
      <c r="A192" s="87" t="s">
        <v>140</v>
      </c>
      <c r="B192" s="39">
        <f>'Design Regulator'!E91</f>
        <v>100</v>
      </c>
      <c r="C192" t="s">
        <v>137</v>
      </c>
      <c r="D192" t="s">
        <v>182</v>
      </c>
      <c r="H192" s="88"/>
    </row>
    <row r="193" spans="1:10" x14ac:dyDescent="0.25">
      <c r="A193" s="87" t="s">
        <v>170</v>
      </c>
      <c r="B193" s="39">
        <f>'Design Regulator'!E92</f>
        <v>3.8</v>
      </c>
      <c r="C193" t="s">
        <v>0</v>
      </c>
      <c r="D193" t="s">
        <v>183</v>
      </c>
      <c r="H193" s="88"/>
    </row>
    <row r="194" spans="1:10" x14ac:dyDescent="0.25">
      <c r="A194" s="87" t="s">
        <v>235</v>
      </c>
      <c r="B194" s="103">
        <f>VthTop+Iout/GmTop</f>
        <v>3.86</v>
      </c>
      <c r="C194" t="s">
        <v>0</v>
      </c>
      <c r="D194" t="s">
        <v>266</v>
      </c>
      <c r="H194" s="88"/>
    </row>
    <row r="195" spans="1:10" x14ac:dyDescent="0.25">
      <c r="A195" s="87" t="s">
        <v>377</v>
      </c>
      <c r="B195" s="39">
        <f>'Design Regulator'!E93</f>
        <v>0.8</v>
      </c>
      <c r="C195" t="s">
        <v>0</v>
      </c>
      <c r="D195" t="s">
        <v>379</v>
      </c>
      <c r="H195" s="88"/>
    </row>
    <row r="196" spans="1:10" x14ac:dyDescent="0.25">
      <c r="A196" s="87" t="s">
        <v>161</v>
      </c>
      <c r="B196" s="39">
        <f>'Design Regulator'!E94</f>
        <v>50</v>
      </c>
      <c r="C196" s="171" t="s">
        <v>380</v>
      </c>
      <c r="D196" t="s">
        <v>184</v>
      </c>
      <c r="H196" s="88"/>
    </row>
    <row r="197" spans="1:10" ht="15.6" x14ac:dyDescent="0.3">
      <c r="A197" s="477" t="s">
        <v>130</v>
      </c>
      <c r="H197" s="88"/>
    </row>
    <row r="198" spans="1:10" x14ac:dyDescent="0.25">
      <c r="A198" s="87" t="s">
        <v>139</v>
      </c>
      <c r="B198" s="39">
        <f>'Design Regulator'!E97/1000</f>
        <v>6.0000000000000001E-3</v>
      </c>
      <c r="C198" s="309" t="s">
        <v>208</v>
      </c>
      <c r="D198" t="s">
        <v>192</v>
      </c>
      <c r="H198" s="88"/>
    </row>
    <row r="199" spans="1:10" x14ac:dyDescent="0.25">
      <c r="A199" s="87" t="s">
        <v>153</v>
      </c>
      <c r="B199" s="39">
        <f>4000/1000000</f>
        <v>4.0000000000000001E-3</v>
      </c>
      <c r="C199" s="171" t="s">
        <v>556</v>
      </c>
      <c r="D199" t="s">
        <v>185</v>
      </c>
      <c r="H199" s="88"/>
    </row>
    <row r="200" spans="1:10" x14ac:dyDescent="0.25">
      <c r="A200" s="87" t="s">
        <v>138</v>
      </c>
      <c r="B200" s="114">
        <f>'Design Regulator'!E98/1000000000</f>
        <v>2.7E-8</v>
      </c>
      <c r="C200" t="s">
        <v>269</v>
      </c>
      <c r="D200" s="171" t="s">
        <v>716</v>
      </c>
      <c r="H200" s="88"/>
      <c r="J200">
        <f>RGateTop</f>
        <v>2</v>
      </c>
    </row>
    <row r="201" spans="1:10" x14ac:dyDescent="0.25">
      <c r="A201" s="388" t="s">
        <v>714</v>
      </c>
      <c r="B201" s="114">
        <f>'Design Regulator'!E99/1000000000</f>
        <v>2E-8</v>
      </c>
      <c r="C201" t="s">
        <v>269</v>
      </c>
      <c r="D201" s="171" t="s">
        <v>715</v>
      </c>
      <c r="H201" s="88"/>
    </row>
    <row r="202" spans="1:10" x14ac:dyDescent="0.25">
      <c r="A202" s="388" t="s">
        <v>719</v>
      </c>
      <c r="B202" s="114">
        <f>'Design Regulator'!E100/1000000000000</f>
        <v>3.3800000000000002E-10</v>
      </c>
      <c r="C202" t="s">
        <v>34</v>
      </c>
      <c r="D202" s="171" t="s">
        <v>718</v>
      </c>
      <c r="H202" s="88"/>
    </row>
    <row r="203" spans="1:10" x14ac:dyDescent="0.25">
      <c r="A203" s="87" t="s">
        <v>169</v>
      </c>
      <c r="B203" s="39">
        <v>1</v>
      </c>
      <c r="C203" s="309" t="s">
        <v>208</v>
      </c>
      <c r="D203" t="s">
        <v>181</v>
      </c>
      <c r="H203" s="88"/>
    </row>
    <row r="204" spans="1:10" x14ac:dyDescent="0.25">
      <c r="A204" s="87" t="s">
        <v>144</v>
      </c>
      <c r="B204" s="39">
        <f>'Design Regulator'!E101</f>
        <v>0.8</v>
      </c>
      <c r="C204" t="s">
        <v>0</v>
      </c>
      <c r="D204" t="s">
        <v>186</v>
      </c>
      <c r="H204" s="88"/>
    </row>
    <row r="205" spans="1:10" x14ac:dyDescent="0.25">
      <c r="A205" s="87" t="s">
        <v>145</v>
      </c>
      <c r="B205" s="114">
        <f>'Design Regulator'!E102/1000000000</f>
        <v>4.9999999999999998E-8</v>
      </c>
      <c r="C205" t="s">
        <v>269</v>
      </c>
      <c r="D205" t="s">
        <v>196</v>
      </c>
      <c r="H205" s="88"/>
    </row>
    <row r="206" spans="1:10" x14ac:dyDescent="0.25">
      <c r="A206" s="87" t="s">
        <v>146</v>
      </c>
      <c r="B206" s="114">
        <v>4.0000000000000001E-8</v>
      </c>
      <c r="C206" t="s">
        <v>265</v>
      </c>
      <c r="D206" t="s">
        <v>187</v>
      </c>
      <c r="H206" s="88"/>
    </row>
    <row r="207" spans="1:10" x14ac:dyDescent="0.25">
      <c r="A207" s="87" t="s">
        <v>160</v>
      </c>
      <c r="B207" s="39">
        <f>'Design Regulator'!E103</f>
        <v>40</v>
      </c>
      <c r="C207" s="171" t="s">
        <v>380</v>
      </c>
      <c r="D207" t="s">
        <v>184</v>
      </c>
      <c r="H207" s="88"/>
    </row>
    <row r="208" spans="1:10" ht="15.6" x14ac:dyDescent="0.3">
      <c r="A208" s="477" t="s">
        <v>427</v>
      </c>
      <c r="B208" s="39"/>
      <c r="H208" s="88"/>
    </row>
    <row r="209" spans="1:8" x14ac:dyDescent="0.25">
      <c r="A209" s="87" t="s">
        <v>364</v>
      </c>
      <c r="B209" s="39">
        <f>'Design Regulator'!E105</f>
        <v>0</v>
      </c>
      <c r="C209" t="s">
        <v>0</v>
      </c>
      <c r="D209" t="s">
        <v>367</v>
      </c>
      <c r="H209" s="88"/>
    </row>
    <row r="210" spans="1:8" x14ac:dyDescent="0.25">
      <c r="A210" s="87" t="s">
        <v>365</v>
      </c>
      <c r="B210" s="39">
        <v>0</v>
      </c>
      <c r="C210" t="s">
        <v>269</v>
      </c>
      <c r="D210" t="s">
        <v>368</v>
      </c>
      <c r="H210" s="88"/>
    </row>
    <row r="211" spans="1:8" x14ac:dyDescent="0.25">
      <c r="A211" s="87" t="s">
        <v>366</v>
      </c>
      <c r="B211" s="39">
        <v>0</v>
      </c>
      <c r="C211" t="s">
        <v>2</v>
      </c>
      <c r="D211" t="s">
        <v>369</v>
      </c>
      <c r="H211" s="88"/>
    </row>
    <row r="212" spans="1:8" x14ac:dyDescent="0.25">
      <c r="A212" s="99" t="s">
        <v>209</v>
      </c>
      <c r="H212" s="88"/>
    </row>
    <row r="213" spans="1:8" x14ac:dyDescent="0.25">
      <c r="A213" s="87" t="s">
        <v>267</v>
      </c>
      <c r="B213" s="39">
        <v>30</v>
      </c>
      <c r="H213" s="88"/>
    </row>
    <row r="214" spans="1:8" x14ac:dyDescent="0.25">
      <c r="A214" s="99" t="s">
        <v>149</v>
      </c>
      <c r="H214" s="88"/>
    </row>
    <row r="215" spans="1:8" x14ac:dyDescent="0.25">
      <c r="A215" s="87" t="s">
        <v>129</v>
      </c>
      <c r="H215" s="88"/>
    </row>
    <row r="216" spans="1:8" x14ac:dyDescent="0.25">
      <c r="A216" s="87" t="s">
        <v>166</v>
      </c>
      <c r="B216" s="106">
        <f>(QgdTop+QgsTop/2)*(RdsonDRT+RGateTop)/(Vdd-VspTop)</f>
        <v>1.0714285714285715E-8</v>
      </c>
      <c r="C216" t="s">
        <v>265</v>
      </c>
      <c r="H216" s="88"/>
    </row>
    <row r="217" spans="1:8" x14ac:dyDescent="0.25">
      <c r="A217" s="87" t="s">
        <v>167</v>
      </c>
      <c r="B217" s="106">
        <f>(QgdTop+QgsTop/2)*(RdsonDRT+RGateTop)/(VspTop)</f>
        <v>1.0103626943005184E-8</v>
      </c>
      <c r="C217" t="s">
        <v>265</v>
      </c>
      <c r="H217" s="88"/>
    </row>
    <row r="218" spans="1:8" x14ac:dyDescent="0.25">
      <c r="A218" s="87"/>
      <c r="H218" s="88"/>
    </row>
    <row r="219" spans="1:8" x14ac:dyDescent="0.25">
      <c r="A219" s="87"/>
      <c r="H219" s="88"/>
    </row>
    <row r="220" spans="1:8" x14ac:dyDescent="0.25">
      <c r="A220" s="99" t="s">
        <v>391</v>
      </c>
      <c r="B220" s="2" t="s">
        <v>8</v>
      </c>
      <c r="C220" s="2" t="s">
        <v>148</v>
      </c>
      <c r="H220" s="88"/>
    </row>
    <row r="221" spans="1:8" x14ac:dyDescent="0.25">
      <c r="A221" s="89" t="s">
        <v>207</v>
      </c>
      <c r="B221" s="410">
        <f>'Power Calculations'!AN9</f>
        <v>0.16949999999999998</v>
      </c>
      <c r="C221" s="3" t="s">
        <v>208</v>
      </c>
      <c r="H221" s="88"/>
    </row>
    <row r="222" spans="1:8" x14ac:dyDescent="0.25">
      <c r="A222" s="89" t="s">
        <v>211</v>
      </c>
      <c r="B222" s="411">
        <f>B221*ThetaJaCtrl</f>
        <v>5.0849999999999991</v>
      </c>
      <c r="C222" s="171" t="s">
        <v>441</v>
      </c>
      <c r="H222" s="88"/>
    </row>
    <row r="223" spans="1:8" x14ac:dyDescent="0.25">
      <c r="A223" s="89" t="s">
        <v>387</v>
      </c>
      <c r="B223" s="413">
        <f>(QgBot+QgTop)*Fsw+Iq</f>
        <v>1.8200000000000001E-2</v>
      </c>
      <c r="C223" t="s">
        <v>2</v>
      </c>
      <c r="H223" s="88"/>
    </row>
    <row r="224" spans="1:8" x14ac:dyDescent="0.25">
      <c r="A224" s="89" t="s">
        <v>388</v>
      </c>
      <c r="B224" s="412">
        <f>QrrBot*Fsw</f>
        <v>1.4999999999999999E-2</v>
      </c>
      <c r="C224" t="s">
        <v>2</v>
      </c>
      <c r="H224" s="88"/>
    </row>
    <row r="225" spans="1:8" x14ac:dyDescent="0.25">
      <c r="A225" s="89" t="s">
        <v>389</v>
      </c>
      <c r="B225" s="412">
        <f>C225/Vin</f>
        <v>2.3527499999999999E-4</v>
      </c>
      <c r="C225">
        <f>Deadtime*Fsw*(Ipp/2)*(VsdTop+VsdBot)</f>
        <v>5.6465999999999999E-3</v>
      </c>
      <c r="H225" s="88"/>
    </row>
    <row r="226" spans="1:8" x14ac:dyDescent="0.25">
      <c r="A226" s="89" t="s">
        <v>392</v>
      </c>
      <c r="B226" s="412">
        <f>SUM(B223:B225)</f>
        <v>3.3435275E-2</v>
      </c>
      <c r="C226" t="s">
        <v>2</v>
      </c>
      <c r="H226" s="88"/>
    </row>
    <row r="227" spans="1:8" x14ac:dyDescent="0.25">
      <c r="A227" s="87"/>
      <c r="H227" s="88"/>
    </row>
    <row r="228" spans="1:8" x14ac:dyDescent="0.25">
      <c r="A228" s="87"/>
      <c r="H228" s="88"/>
    </row>
    <row r="229" spans="1:8" x14ac:dyDescent="0.25">
      <c r="A229" s="87"/>
      <c r="H229" s="88"/>
    </row>
    <row r="230" spans="1:8" x14ac:dyDescent="0.25">
      <c r="A230" s="87"/>
      <c r="H230" s="88"/>
    </row>
    <row r="231" spans="1:8" x14ac:dyDescent="0.25">
      <c r="A231" s="87"/>
      <c r="H231" s="88"/>
    </row>
    <row r="232" spans="1:8" x14ac:dyDescent="0.25">
      <c r="A232" s="99" t="s">
        <v>150</v>
      </c>
      <c r="H232" s="88"/>
    </row>
    <row r="233" spans="1:8" x14ac:dyDescent="0.25">
      <c r="A233" s="87" t="s">
        <v>206</v>
      </c>
      <c r="H233" s="88"/>
    </row>
    <row r="234" spans="1:8" ht="13.8" thickBot="1" x14ac:dyDescent="0.3">
      <c r="A234" s="91" t="s">
        <v>207</v>
      </c>
      <c r="B234" s="92"/>
      <c r="C234" s="92"/>
      <c r="D234" s="92"/>
      <c r="E234" s="92"/>
      <c r="F234" s="92"/>
      <c r="G234" s="92"/>
      <c r="H234" s="93"/>
    </row>
    <row r="235" spans="1:8" x14ac:dyDescent="0.25">
      <c r="A235" s="1"/>
      <c r="B235" s="1"/>
    </row>
    <row r="236" spans="1:8" ht="21.75" customHeight="1" thickBot="1" x14ac:dyDescent="0.35">
      <c r="A236" s="133" t="s">
        <v>381</v>
      </c>
    </row>
    <row r="237" spans="1:8" x14ac:dyDescent="0.25">
      <c r="A237" s="134" t="str">
        <f>"RC1 = "&amp;'Design Regulator'!D74&amp;"kΩ"</f>
        <v>RC1 = 13kΩ</v>
      </c>
      <c r="B237" s="94" t="str">
        <f>'Design Regulator'!D74&amp;"kΩ"</f>
        <v>13kΩ</v>
      </c>
      <c r="C237" s="94"/>
      <c r="D237" s="94"/>
      <c r="E237" s="94"/>
      <c r="F237" s="94"/>
      <c r="G237" s="94"/>
      <c r="H237" s="95"/>
    </row>
    <row r="238" spans="1:8" x14ac:dyDescent="0.25">
      <c r="A238" s="87" t="str">
        <f>"LOUT = "&amp;'Design Regulator'!E17&amp;"uH"</f>
        <v>LOUT = 9.5uH</v>
      </c>
      <c r="B238" t="str">
        <f>'Design Regulator'!E17&amp;"µH"</f>
        <v>9.5µH</v>
      </c>
      <c r="H238" s="88"/>
    </row>
    <row r="239" spans="1:8" x14ac:dyDescent="0.25">
      <c r="A239" s="87" t="str">
        <f>"Rdcr = "&amp;'Design Regulator'!E18&amp;"mΩ"</f>
        <v>Rdcr = 20mΩ</v>
      </c>
      <c r="B239" t="str">
        <f>'Design Regulator'!E18&amp;"mΩ"</f>
        <v>20mΩ</v>
      </c>
      <c r="H239" s="88"/>
    </row>
    <row r="240" spans="1:8" x14ac:dyDescent="0.25">
      <c r="A240" s="387"/>
      <c r="H240" s="88"/>
    </row>
    <row r="241" spans="1:8" x14ac:dyDescent="0.25">
      <c r="A241" s="87" t="str">
        <f>"VOUT = "&amp;'Design Regulator'!E9&amp;"V"</f>
        <v>VOUT = 5.1V</v>
      </c>
      <c r="B241" t="str">
        <f>'Design Regulator'!E9&amp;"V"</f>
        <v>5.1V</v>
      </c>
      <c r="H241" s="88"/>
    </row>
    <row r="242" spans="1:8" x14ac:dyDescent="0.25">
      <c r="A242" s="87"/>
      <c r="C242" s="173" t="str">
        <f>M44</f>
        <v>47</v>
      </c>
      <c r="D242" s="173">
        <f>ROUNDUP('Design Regulator'!$E$33/C242,0)</f>
        <v>3</v>
      </c>
      <c r="H242" s="88"/>
    </row>
    <row r="243" spans="1:8" x14ac:dyDescent="0.25">
      <c r="A243" s="87" t="str">
        <f>"COUT = "&amp;'Design Regulator'!$E$33&amp;"uF"</f>
        <v>COUT = 135uF</v>
      </c>
      <c r="B243" t="str">
        <f>'Design Regulator'!$E$33&amp;"µF"</f>
        <v>135µF</v>
      </c>
      <c r="C243" s="173" t="str">
        <f>C242</f>
        <v>47</v>
      </c>
      <c r="D243" s="173" t="str">
        <f>IF(D242=1, "",B245)</f>
        <v xml:space="preserve">3 x </v>
      </c>
      <c r="E243" t="str">
        <f>D243&amp;C243&amp;"µF"</f>
        <v>3 x 47µF</v>
      </c>
      <c r="F243" t="str">
        <f>C243&amp;"µF"</f>
        <v>47µF</v>
      </c>
      <c r="G243" t="str">
        <f>L66</f>
        <v>10V</v>
      </c>
      <c r="H243" s="88"/>
    </row>
    <row r="244" spans="1:8" x14ac:dyDescent="0.25">
      <c r="A244" s="306" t="s">
        <v>527</v>
      </c>
      <c r="B244" t="str">
        <f>C242&amp;"µF"</f>
        <v>47µF</v>
      </c>
      <c r="H244" s="88"/>
    </row>
    <row r="245" spans="1:8" x14ac:dyDescent="0.25">
      <c r="A245" s="306" t="s">
        <v>528</v>
      </c>
      <c r="B245" s="173" t="str">
        <f>D242&amp;" x "</f>
        <v xml:space="preserve">3 x </v>
      </c>
      <c r="H245" s="88"/>
    </row>
    <row r="246" spans="1:8" x14ac:dyDescent="0.25">
      <c r="A246" s="388"/>
      <c r="H246" s="88"/>
    </row>
    <row r="247" spans="1:8" x14ac:dyDescent="0.25">
      <c r="A247" s="387"/>
      <c r="H247" s="88"/>
    </row>
    <row r="248" spans="1:8" x14ac:dyDescent="0.25">
      <c r="A248" s="87" t="s">
        <v>409</v>
      </c>
      <c r="B248" t="str">
        <f>Cin*1000000&amp;"µF"</f>
        <v>135µF</v>
      </c>
      <c r="H248" s="88"/>
    </row>
    <row r="249" spans="1:8" x14ac:dyDescent="0.25">
      <c r="A249" s="306" t="s">
        <v>526</v>
      </c>
      <c r="B249" t="str">
        <f>"4.7µF"</f>
        <v>4.7µF</v>
      </c>
      <c r="H249" s="88"/>
    </row>
    <row r="250" spans="1:8" x14ac:dyDescent="0.25">
      <c r="A250" s="306" t="s">
        <v>525</v>
      </c>
      <c r="B250" s="173" t="str">
        <f>ROUNDUP(Cin*1000000/4.7,0)&amp;" x "</f>
        <v xml:space="preserve">29 x </v>
      </c>
      <c r="E250" t="str">
        <f>B250&amp;B249</f>
        <v>29 x 4.7µF</v>
      </c>
      <c r="H250" s="88"/>
    </row>
    <row r="251" spans="1:8" x14ac:dyDescent="0.25">
      <c r="A251" s="388"/>
      <c r="B251" s="173"/>
      <c r="H251" s="88"/>
    </row>
    <row r="252" spans="1:8" x14ac:dyDescent="0.25">
      <c r="A252" s="306"/>
      <c r="B252" s="173"/>
      <c r="H252" s="88"/>
    </row>
    <row r="253" spans="1:8" x14ac:dyDescent="0.25">
      <c r="A253" s="87" t="str">
        <f>"RC1 = "&amp;Rcea1_u/1000&amp;"kΩ"</f>
        <v>RC1 = 13kΩ</v>
      </c>
      <c r="B253" t="str">
        <f>ROUND(Rcea1_u/1000,2)&amp;"kΩ"</f>
        <v>13kΩ</v>
      </c>
      <c r="H253" s="88"/>
    </row>
    <row r="254" spans="1:8" x14ac:dyDescent="0.25">
      <c r="A254" s="87" t="str">
        <f>"CC1 = "&amp;Cc1ea_u*10^9&amp;"nF"</f>
        <v>CC1 = 3.3nF</v>
      </c>
      <c r="B254" t="str">
        <f>ROUND(Cc1ea_u*10^9,1)&amp;"nF"</f>
        <v>3.3nF</v>
      </c>
      <c r="H254" s="88"/>
    </row>
    <row r="255" spans="1:8" x14ac:dyDescent="0.25">
      <c r="A255" s="87" t="str">
        <f>"CC2 = "&amp;Cc2ea_u*10^12&amp;"pF"</f>
        <v>CC2 = 12pF</v>
      </c>
      <c r="B255" t="str">
        <f>ROUND(Cc2ea_u*10^12,0)&amp;"pF"</f>
        <v>12pF</v>
      </c>
      <c r="H255" s="88"/>
    </row>
    <row r="256" spans="1:8" x14ac:dyDescent="0.25">
      <c r="A256" s="87" t="str">
        <f>"RC2 = "&amp;Rcea2_u&amp;"Ω"</f>
        <v>RC2 = 470Ω</v>
      </c>
      <c r="B256" t="str">
        <f>ROUND(Rcea2_u,2)&amp;"Ω"</f>
        <v>470Ω</v>
      </c>
      <c r="H256" s="88"/>
    </row>
    <row r="257" spans="1:8" x14ac:dyDescent="0.25">
      <c r="A257" s="87" t="str">
        <f>"CC3 = "&amp;Cc3ea_u*10^12&amp;"pF"</f>
        <v>CC3 = 2200pF</v>
      </c>
      <c r="B257" t="str">
        <f>ROUND(Cc3ea_u*10^12,0)&amp;"pF"</f>
        <v>2200pF</v>
      </c>
      <c r="H257" s="88"/>
    </row>
    <row r="258" spans="1:8" x14ac:dyDescent="0.25">
      <c r="A258" s="87" t="str">
        <f>"RFB1 = "&amp;'Design Regulator'!E63&amp;"kΩ"</f>
        <v>RFB1 = 18kΩ</v>
      </c>
      <c r="B258" t="str">
        <f>'Design Regulator'!E63&amp;"kΩ"</f>
        <v>18kΩ</v>
      </c>
      <c r="H258" s="88"/>
    </row>
    <row r="259" spans="1:8" x14ac:dyDescent="0.25">
      <c r="A259" s="87" t="str">
        <f>"RFB2 = "&amp;IF(Vout=Vref,"OPEN",'Design Regulator'!E64&amp;"kΩ")</f>
        <v>RFB2 = 3.32kΩ</v>
      </c>
      <c r="B259" t="str">
        <f>IF(Vout=Vref,"OPEN",Rfb2_u/1000&amp;"kΩ")</f>
        <v>3.32kΩ</v>
      </c>
      <c r="H259" s="88"/>
    </row>
    <row r="260" spans="1:8" x14ac:dyDescent="0.25">
      <c r="A260" s="87" t="str">
        <f>"Crossover Frequency = "&amp;ROUND('Bode Plots Calculations'!BK5,0)&amp;" kHz"</f>
        <v>Crossover Frequency = 56 kHz</v>
      </c>
      <c r="B260" t="str">
        <f>ROUND('Bode Plots Calculations'!BK5,0)&amp;" kHz"</f>
        <v>56 kHz</v>
      </c>
      <c r="C260" s="172">
        <f>'Bode Plots Calculations'!BK5</f>
        <v>56</v>
      </c>
      <c r="H260" s="88"/>
    </row>
    <row r="261" spans="1:8" x14ac:dyDescent="0.25">
      <c r="A261" s="87" t="str">
        <f>"Phase Margin = "&amp;ROUND('Bode Plots Calculations'!BK6,0)&amp;"°"</f>
        <v>Phase Margin = 57°</v>
      </c>
      <c r="B261" s="173" t="str">
        <f>ROUND('Bode Plots Calculations'!BK6,0)&amp;"°"</f>
        <v>57°</v>
      </c>
      <c r="D261" s="309"/>
      <c r="H261" s="88"/>
    </row>
    <row r="262" spans="1:8" x14ac:dyDescent="0.25">
      <c r="A262" s="387"/>
      <c r="B262" s="173"/>
      <c r="D262" s="309"/>
      <c r="H262" s="88"/>
    </row>
    <row r="263" spans="1:8" x14ac:dyDescent="0.25">
      <c r="A263" s="87"/>
      <c r="H263" s="88"/>
    </row>
    <row r="264" spans="1:8" x14ac:dyDescent="0.25">
      <c r="A264" s="87" t="str">
        <f>"Rilim(Rdson) = "&amp;Rilim_Rdson&amp;"Ω"</f>
        <v>Rilim(Rdson) = 174Ω</v>
      </c>
      <c r="B264" t="str">
        <f>IF(Rilim_Rdson&gt;999,Rilim_Rdson/1000&amp;"kΩ", Rilim_Rdson&amp;"Ω")</f>
        <v>174Ω</v>
      </c>
      <c r="C264">
        <f>IF(Rilim_Rdson&gt;999,Rilim_Rdson/1000, Rilim_Rdson)</f>
        <v>174</v>
      </c>
      <c r="H264" s="88"/>
    </row>
    <row r="265" spans="1:8" x14ac:dyDescent="0.25">
      <c r="A265" s="87" t="str">
        <f>"Rilim(shunt) = "&amp;Rilim_shunt&amp;"Ω"</f>
        <v>Rilim(shunt) = 348Ω</v>
      </c>
      <c r="B265" t="str">
        <f>IF('Standard Value Calculator'!S22&gt;999, 'Standard Value Calculator'!S22/1000&amp;"kΩ", 'Standard Value Calculator'!S22&amp;"Ω")</f>
        <v>348Ω</v>
      </c>
      <c r="C265">
        <f>IF('Standard Value Calculator'!S22&gt;999, 'Standard Value Calculator'!S22/1000, 'Standard Value Calculator'!S22)</f>
        <v>348</v>
      </c>
      <c r="H265" s="88"/>
    </row>
    <row r="266" spans="1:8" x14ac:dyDescent="0.25">
      <c r="A266" s="87" t="s">
        <v>692</v>
      </c>
      <c r="B266" t="str">
        <f>Cilim_ideal&amp;"pF"</f>
        <v>33pF</v>
      </c>
      <c r="C266" s="462">
        <f>Cilim_ideal</f>
        <v>33</v>
      </c>
      <c r="H266" s="88"/>
    </row>
    <row r="267" spans="1:8" x14ac:dyDescent="0.25">
      <c r="A267" s="387"/>
      <c r="H267" s="88"/>
    </row>
    <row r="268" spans="1:8" x14ac:dyDescent="0.25">
      <c r="A268" s="388" t="s">
        <v>594</v>
      </c>
      <c r="B268" t="str">
        <f>IF(RDSON_sense=1, 'Variable Management'!B264,'Variable Management'!B265)</f>
        <v>174Ω</v>
      </c>
      <c r="C268">
        <f>IF(RDSON_sense=1, 'Variable Management'!C264,'Variable Management'!C265)</f>
        <v>174</v>
      </c>
      <c r="H268" s="88"/>
    </row>
    <row r="269" spans="1:8" x14ac:dyDescent="0.25">
      <c r="A269" s="388" t="str">
        <f>IF(RDSON_sense=1, "", "Rs")</f>
        <v/>
      </c>
      <c r="B269" t="str">
        <f>IF(RDSON_sense=1, "", Rshunt*1000&amp;"mΩ")</f>
        <v/>
      </c>
      <c r="D269" t="s">
        <v>694</v>
      </c>
      <c r="H269" s="88"/>
    </row>
    <row r="270" spans="1:8" x14ac:dyDescent="0.25">
      <c r="A270" s="388" t="str">
        <f>IF(RDSON_sense=1, "Cilim", "")</f>
        <v>Cilim</v>
      </c>
      <c r="B270" t="str">
        <f>IF(RDSON_sense=1, IF(Cilim_ideal&lt;3.3, "N/A", Cilim_ideal&amp;"pF"), "")</f>
        <v>33pF</v>
      </c>
      <c r="C270" s="427" t="str">
        <f>IF(RDSON_sense=1, IF(Cilim_ideal&lt;3.3, "N/A", Cilim_ideal&amp;""), "")</f>
        <v>33</v>
      </c>
      <c r="D270" t="s">
        <v>695</v>
      </c>
      <c r="H270" s="88"/>
    </row>
    <row r="271" spans="1:8" x14ac:dyDescent="0.25">
      <c r="A271" s="387"/>
      <c r="H271" s="88"/>
    </row>
    <row r="272" spans="1:8" x14ac:dyDescent="0.25">
      <c r="A272" s="387"/>
      <c r="H272" s="88"/>
    </row>
    <row r="273" spans="1:8" x14ac:dyDescent="0.25">
      <c r="A273" s="87" t="s">
        <v>428</v>
      </c>
      <c r="B273" t="str">
        <f>'Standard Value Calculator'!S24/1000&amp;"kΩ"</f>
        <v>0kΩ</v>
      </c>
      <c r="C273">
        <f>'Standard Value Calculator'!S24/1000</f>
        <v>0</v>
      </c>
      <c r="H273" s="88"/>
    </row>
    <row r="274" spans="1:8" x14ac:dyDescent="0.25">
      <c r="A274" s="306" t="s">
        <v>520</v>
      </c>
      <c r="B274" s="171" t="s">
        <v>521</v>
      </c>
      <c r="H274" s="88"/>
    </row>
    <row r="275" spans="1:8" x14ac:dyDescent="0.25">
      <c r="A275" s="87" t="s">
        <v>295</v>
      </c>
      <c r="B275" t="str">
        <f>'Standard Value Calculator'!S4/1000&amp;"kΩ"</f>
        <v>33.2kΩ</v>
      </c>
      <c r="H275" s="88"/>
    </row>
    <row r="276" spans="1:8" x14ac:dyDescent="0.25">
      <c r="A276" s="87" t="s">
        <v>294</v>
      </c>
      <c r="B276" t="str">
        <f>'Standard Value Calculator'!B4*1000000000 &amp;"nF"</f>
        <v>100nF</v>
      </c>
      <c r="H276" s="88"/>
    </row>
    <row r="277" spans="1:8" x14ac:dyDescent="0.25">
      <c r="A277" s="306" t="s">
        <v>522</v>
      </c>
      <c r="B277" s="171" t="s">
        <v>557</v>
      </c>
      <c r="H277" s="88"/>
    </row>
    <row r="278" spans="1:8" x14ac:dyDescent="0.25">
      <c r="A278" s="87" t="s">
        <v>357</v>
      </c>
      <c r="B278" t="str">
        <f>IF(B47="y","","|")</f>
        <v>|</v>
      </c>
      <c r="H278" s="88"/>
    </row>
    <row r="279" spans="1:8" x14ac:dyDescent="0.25">
      <c r="A279" s="87" t="s">
        <v>384</v>
      </c>
      <c r="B279" t="str">
        <f>'Design Regulator'!$E$10&amp;"A"</f>
        <v>6A</v>
      </c>
      <c r="H279" s="88"/>
    </row>
    <row r="280" spans="1:8" x14ac:dyDescent="0.25">
      <c r="A280" s="87" t="s">
        <v>281</v>
      </c>
      <c r="B280" t="str">
        <f>Vin&amp;"V"</f>
        <v>24V</v>
      </c>
      <c r="H280" s="88"/>
    </row>
    <row r="281" spans="1:8" x14ac:dyDescent="0.25">
      <c r="A281" s="388" t="s">
        <v>700</v>
      </c>
      <c r="B281" t="str">
        <f>Vinmin&amp;"V to "&amp;Vinmax&amp;"V"</f>
        <v>9V to 45V</v>
      </c>
      <c r="H281" s="88"/>
    </row>
    <row r="282" spans="1:8" x14ac:dyDescent="0.25">
      <c r="A282" s="388"/>
      <c r="H282" s="88"/>
    </row>
    <row r="283" spans="1:8" x14ac:dyDescent="0.25">
      <c r="A283" s="87"/>
      <c r="H283" s="88"/>
    </row>
    <row r="284" spans="1:8" x14ac:dyDescent="0.25">
      <c r="A284" s="87" t="s">
        <v>393</v>
      </c>
      <c r="B284">
        <v>12</v>
      </c>
      <c r="H284" s="88"/>
    </row>
    <row r="285" spans="1:8" x14ac:dyDescent="0.25">
      <c r="A285" s="87" t="s">
        <v>394</v>
      </c>
      <c r="B285">
        <v>18</v>
      </c>
      <c r="H285" s="88"/>
    </row>
    <row r="286" spans="1:8" x14ac:dyDescent="0.25">
      <c r="A286" s="87" t="s">
        <v>395</v>
      </c>
      <c r="B286">
        <v>14</v>
      </c>
      <c r="H286" s="88"/>
    </row>
    <row r="287" spans="1:8" x14ac:dyDescent="0.25">
      <c r="A287" s="87" t="s">
        <v>396</v>
      </c>
      <c r="B287">
        <v>6</v>
      </c>
      <c r="H287" s="88"/>
    </row>
    <row r="288" spans="1:8" x14ac:dyDescent="0.25">
      <c r="A288" s="87" t="s">
        <v>397</v>
      </c>
      <c r="B288">
        <v>7</v>
      </c>
      <c r="H288" s="88"/>
    </row>
    <row r="289" spans="1:8" x14ac:dyDescent="0.25">
      <c r="A289" s="87" t="s">
        <v>398</v>
      </c>
      <c r="B289">
        <v>11</v>
      </c>
      <c r="H289" s="88"/>
    </row>
    <row r="290" spans="1:8" x14ac:dyDescent="0.25">
      <c r="A290" s="87" t="s">
        <v>399</v>
      </c>
      <c r="B290">
        <v>1</v>
      </c>
      <c r="H290" s="88"/>
    </row>
    <row r="291" spans="1:8" x14ac:dyDescent="0.25">
      <c r="A291" s="87" t="s">
        <v>400</v>
      </c>
      <c r="B291">
        <v>5</v>
      </c>
      <c r="H291" s="88"/>
    </row>
    <row r="292" spans="1:8" x14ac:dyDescent="0.25">
      <c r="A292" s="87" t="s">
        <v>401</v>
      </c>
      <c r="B292">
        <v>13</v>
      </c>
      <c r="H292" s="88"/>
    </row>
    <row r="293" spans="1:8" x14ac:dyDescent="0.25">
      <c r="A293" s="87" t="s">
        <v>402</v>
      </c>
      <c r="B293">
        <v>4</v>
      </c>
      <c r="H293" s="88"/>
    </row>
    <row r="294" spans="1:8" x14ac:dyDescent="0.25">
      <c r="A294" s="87" t="s">
        <v>403</v>
      </c>
      <c r="B294">
        <v>3</v>
      </c>
      <c r="H294" s="88"/>
    </row>
    <row r="295" spans="1:8" x14ac:dyDescent="0.25">
      <c r="A295" s="87" t="s">
        <v>404</v>
      </c>
      <c r="B295">
        <v>24</v>
      </c>
      <c r="H295" s="88"/>
    </row>
    <row r="296" spans="1:8" x14ac:dyDescent="0.25">
      <c r="A296" s="87" t="s">
        <v>405</v>
      </c>
      <c r="B296">
        <v>23</v>
      </c>
      <c r="H296" s="88"/>
    </row>
    <row r="297" spans="1:8" x14ac:dyDescent="0.25">
      <c r="A297" s="87" t="s">
        <v>406</v>
      </c>
      <c r="B297">
        <v>15</v>
      </c>
      <c r="H297" s="88"/>
    </row>
    <row r="298" spans="1:8" x14ac:dyDescent="0.25">
      <c r="A298" s="87" t="s">
        <v>407</v>
      </c>
      <c r="B298">
        <v>16</v>
      </c>
      <c r="H298" s="88"/>
    </row>
    <row r="299" spans="1:8" x14ac:dyDescent="0.25">
      <c r="A299" s="87" t="s">
        <v>408</v>
      </c>
      <c r="B299">
        <v>17</v>
      </c>
      <c r="H299" s="88"/>
    </row>
    <row r="300" spans="1:8" x14ac:dyDescent="0.25">
      <c r="A300" t="s">
        <v>426</v>
      </c>
      <c r="B300">
        <v>2</v>
      </c>
      <c r="H300" s="88"/>
    </row>
    <row r="301" spans="1:8" x14ac:dyDescent="0.25">
      <c r="A301" s="87" t="s">
        <v>423</v>
      </c>
      <c r="B301">
        <v>8</v>
      </c>
      <c r="H301" s="88"/>
    </row>
    <row r="302" spans="1:8" x14ac:dyDescent="0.25">
      <c r="A302" s="87" t="s">
        <v>424</v>
      </c>
      <c r="B302">
        <v>9</v>
      </c>
      <c r="H302" s="88"/>
    </row>
    <row r="303" spans="1:8" ht="13.8" thickBot="1" x14ac:dyDescent="0.3">
      <c r="A303" s="91" t="s">
        <v>425</v>
      </c>
      <c r="B303" s="92">
        <v>10</v>
      </c>
      <c r="C303" s="92"/>
      <c r="D303" s="92"/>
      <c r="E303" s="92"/>
      <c r="F303" s="92"/>
      <c r="G303" s="92"/>
      <c r="H303" s="93"/>
    </row>
    <row r="307" spans="1:2" x14ac:dyDescent="0.25">
      <c r="A307" s="167"/>
    </row>
    <row r="308" spans="1:2" x14ac:dyDescent="0.25">
      <c r="A308" s="460" t="s">
        <v>687</v>
      </c>
      <c r="B308" s="54" t="str">
        <f>ROUND('Power Calculations'!AU209*1,1)&amp;"%"</f>
        <v>92.7%</v>
      </c>
    </row>
    <row r="309" spans="1:2" x14ac:dyDescent="0.25">
      <c r="A309" s="460" t="s">
        <v>688</v>
      </c>
      <c r="B309" s="54" t="str">
        <f>ROUND('Power Calculations'!AU109*1,1)&amp;"%"</f>
        <v>91.7%</v>
      </c>
    </row>
    <row r="346" spans="1:1" x14ac:dyDescent="0.25">
      <c r="A346" t="s">
        <v>315</v>
      </c>
    </row>
    <row r="347" spans="1:1" x14ac:dyDescent="0.25">
      <c r="A347" t="s">
        <v>316</v>
      </c>
    </row>
    <row r="348" spans="1:1" x14ac:dyDescent="0.25">
      <c r="A348" t="s">
        <v>317</v>
      </c>
    </row>
    <row r="349" spans="1:1" x14ac:dyDescent="0.25">
      <c r="A349" t="s">
        <v>318</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220980</xdr:colOff>
                <xdr:row>10</xdr:row>
                <xdr:rowOff>114300</xdr:rowOff>
              </from>
              <to>
                <xdr:col>16</xdr:col>
                <xdr:colOff>30480</xdr:colOff>
                <xdr:row>31</xdr:row>
                <xdr:rowOff>121920</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3.2" x14ac:dyDescent="0.25"/>
  <cols>
    <col min="1" max="1" width="17.33203125" customWidth="1"/>
    <col min="2" max="2" width="12" bestFit="1" customWidth="1"/>
    <col min="3" max="5" width="12.44140625" bestFit="1" customWidth="1"/>
    <col min="8" max="8" width="12.44140625" bestFit="1" customWidth="1"/>
    <col min="14" max="14" width="11.88671875" customWidth="1"/>
    <col min="17" max="17" width="12.109375" customWidth="1"/>
    <col min="18" max="18" width="12.44140625" bestFit="1" customWidth="1"/>
    <col min="19" max="19" width="15.44140625" customWidth="1"/>
  </cols>
  <sheetData>
    <row r="2" spans="1:20" x14ac:dyDescent="0.25">
      <c r="A2" t="s">
        <v>306</v>
      </c>
      <c r="B2" t="s">
        <v>294</v>
      </c>
      <c r="C2" t="s">
        <v>54</v>
      </c>
      <c r="D2" t="s">
        <v>55</v>
      </c>
      <c r="E2" t="s">
        <v>57</v>
      </c>
      <c r="F2" t="s">
        <v>36</v>
      </c>
      <c r="G2" t="s">
        <v>127</v>
      </c>
      <c r="H2" t="s">
        <v>692</v>
      </c>
      <c r="I2" t="s">
        <v>320</v>
      </c>
      <c r="J2" t="s">
        <v>304</v>
      </c>
      <c r="K2" t="s">
        <v>324</v>
      </c>
      <c r="L2" t="s">
        <v>303</v>
      </c>
      <c r="M2" t="s">
        <v>314</v>
      </c>
      <c r="N2" t="s">
        <v>358</v>
      </c>
    </row>
    <row r="3" spans="1:20" x14ac:dyDescent="0.25">
      <c r="A3" t="s">
        <v>309</v>
      </c>
      <c r="B3">
        <f>Css</f>
        <v>9.9999999999999995E-8</v>
      </c>
      <c r="C3">
        <f>Cc1ea</f>
        <v>3.0283095916029614E-9</v>
      </c>
      <c r="D3">
        <f>Cc2ea</f>
        <v>1.2467184783183192E-11</v>
      </c>
      <c r="E3">
        <f>Cc3ea</f>
        <v>1.7241785521323609E-9</v>
      </c>
      <c r="F3">
        <f>Cout</f>
        <v>1.35E-4</v>
      </c>
      <c r="G3">
        <f>Cin</f>
        <v>1.35E-4</v>
      </c>
      <c r="H3">
        <f>Cilim</f>
        <v>3.2638979790889952E-11</v>
      </c>
      <c r="I3">
        <f>Cdd</f>
        <v>0</v>
      </c>
      <c r="J3">
        <f>Csb</f>
        <v>0</v>
      </c>
      <c r="K3">
        <f>Csby</f>
        <v>100</v>
      </c>
      <c r="L3">
        <f>Cby</f>
        <v>0</v>
      </c>
      <c r="M3">
        <f>Cb</f>
        <v>0</v>
      </c>
      <c r="N3" t="e">
        <f>'Variable Management'!#REF!</f>
        <v>#REF!</v>
      </c>
      <c r="Q3" t="s">
        <v>311</v>
      </c>
      <c r="R3" t="s">
        <v>313</v>
      </c>
      <c r="S3" s="2" t="s">
        <v>308</v>
      </c>
    </row>
    <row r="4" spans="1:20" ht="13.8" x14ac:dyDescent="0.3">
      <c r="A4" s="7" t="s">
        <v>308</v>
      </c>
      <c r="B4" s="7">
        <f>SUM(B6:B158)/1000000000000</f>
        <v>9.9999999999999995E-8</v>
      </c>
      <c r="C4" s="7">
        <f t="shared" ref="C4:H4" si="0">SUM(C6:C158)/1000000000000</f>
        <v>3.3000000000000002E-9</v>
      </c>
      <c r="D4" s="7">
        <f t="shared" si="0"/>
        <v>1.2000000000000001E-11</v>
      </c>
      <c r="E4" s="7">
        <f t="shared" si="0"/>
        <v>1.8E-9</v>
      </c>
      <c r="F4" s="7">
        <f t="shared" si="0"/>
        <v>1.4999999999999999E-4</v>
      </c>
      <c r="G4" s="7">
        <f t="shared" si="0"/>
        <v>1.4999999999999999E-4</v>
      </c>
      <c r="H4" s="7">
        <f t="shared" si="0"/>
        <v>3.3000000000000002E-11</v>
      </c>
      <c r="I4" s="7">
        <f t="shared" ref="I4:N4" si="1">IF(I3="OPEN","OPEN",SUM(I6:I158)/1000000000000)</f>
        <v>0</v>
      </c>
      <c r="J4" s="7">
        <f t="shared" si="1"/>
        <v>0</v>
      </c>
      <c r="K4" s="7">
        <f t="shared" si="1"/>
        <v>0</v>
      </c>
      <c r="L4" s="7">
        <f t="shared" si="1"/>
        <v>0</v>
      </c>
      <c r="M4" s="7">
        <f t="shared" si="1"/>
        <v>0</v>
      </c>
      <c r="N4" s="7" t="e">
        <f t="shared" si="1"/>
        <v>#REF!</v>
      </c>
      <c r="Q4" t="s">
        <v>312</v>
      </c>
      <c r="R4">
        <f>Rfadj</f>
        <v>33333.333333333336</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33200</v>
      </c>
      <c r="T4" s="55" t="s">
        <v>535</v>
      </c>
    </row>
    <row r="5" spans="1:20" ht="13.8" x14ac:dyDescent="0.3">
      <c r="A5" t="s">
        <v>307</v>
      </c>
      <c r="Q5" s="171" t="s">
        <v>587</v>
      </c>
      <c r="R5">
        <f>Rilim_Rdson_ideal</f>
        <v>173.21526315789473</v>
      </c>
      <c r="S5" s="2">
        <f t="shared" si="2"/>
        <v>174</v>
      </c>
      <c r="T5" s="55" t="s">
        <v>535</v>
      </c>
    </row>
    <row r="6" spans="1:20" ht="13.8" x14ac:dyDescent="0.3">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71" t="s">
        <v>587</v>
      </c>
      <c r="R6">
        <f>Rilim_Rdson_ideal</f>
        <v>173.21526315789473</v>
      </c>
      <c r="S6" s="2">
        <f t="shared" si="2"/>
        <v>174</v>
      </c>
      <c r="T6" s="55" t="s">
        <v>535</v>
      </c>
    </row>
    <row r="7" spans="1:20" x14ac:dyDescent="0.25">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ht="13.8" x14ac:dyDescent="0.3">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344</v>
      </c>
      <c r="R8">
        <f>Rcea1</f>
        <v>12818.464451222158</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12700</v>
      </c>
      <c r="T8" s="55" t="s">
        <v>535</v>
      </c>
    </row>
    <row r="9" spans="1:20" ht="13.8" x14ac:dyDescent="0.3">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345</v>
      </c>
      <c r="R9">
        <f>Rcea2</f>
        <v>461.53846153846149</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464</v>
      </c>
      <c r="T9" s="55" t="s">
        <v>535</v>
      </c>
    </row>
    <row r="10" spans="1:20" ht="13.8" x14ac:dyDescent="0.3">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18000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17800</v>
      </c>
      <c r="T10" s="55" t="s">
        <v>535</v>
      </c>
    </row>
    <row r="11" spans="1:20" ht="13.8" x14ac:dyDescent="0.3">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3348.8372093023258</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3320</v>
      </c>
      <c r="T11" s="55" t="s">
        <v>535</v>
      </c>
    </row>
    <row r="12" spans="1:20" x14ac:dyDescent="0.25">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315</v>
      </c>
      <c r="R12">
        <f>_Rs1</f>
        <v>33</v>
      </c>
      <c r="S12" s="2"/>
    </row>
    <row r="13" spans="1:20" x14ac:dyDescent="0.25">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316</v>
      </c>
      <c r="R13">
        <f>_Rs2</f>
        <v>3.2638979790889952E-11</v>
      </c>
      <c r="S13" s="2"/>
    </row>
    <row r="14" spans="1:20" x14ac:dyDescent="0.25">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317</v>
      </c>
      <c r="R14">
        <f>_Rs3</f>
        <v>0.17</v>
      </c>
      <c r="S14" s="2"/>
    </row>
    <row r="15" spans="1:20" x14ac:dyDescent="0.25">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ht="13.8" x14ac:dyDescent="0.3">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71" t="s">
        <v>523</v>
      </c>
      <c r="R16">
        <f>Ruvlo1</f>
        <v>75</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75</v>
      </c>
      <c r="T16" s="55" t="s">
        <v>489</v>
      </c>
    </row>
    <row r="17" spans="1:20" ht="13.8" x14ac:dyDescent="0.3">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71" t="s">
        <v>524</v>
      </c>
      <c r="R17">
        <f>Ruvlo2</f>
        <v>12.622720897615709</v>
      </c>
      <c r="S17" s="2">
        <f t="shared" si="13"/>
        <v>12.700000000000001</v>
      </c>
      <c r="T17" s="55" t="s">
        <v>489</v>
      </c>
    </row>
    <row r="18" spans="1:20" x14ac:dyDescent="0.25">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5">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5">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ht="13.8" x14ac:dyDescent="0.3">
      <c r="A21">
        <v>8.1999999999999993</v>
      </c>
      <c r="B21">
        <f t="shared" si="11"/>
        <v>0</v>
      </c>
      <c r="C21">
        <f t="shared" si="12"/>
        <v>0</v>
      </c>
      <c r="D21">
        <f t="shared" si="3"/>
        <v>0</v>
      </c>
      <c r="E21">
        <f t="shared" si="4"/>
        <v>0</v>
      </c>
      <c r="F21">
        <f t="shared" si="5"/>
        <v>0</v>
      </c>
      <c r="G21">
        <f t="shared" si="6"/>
        <v>0</v>
      </c>
      <c r="H21">
        <f t="shared" si="7"/>
        <v>0</v>
      </c>
      <c r="I21">
        <f t="shared" si="7"/>
        <v>0</v>
      </c>
      <c r="J21">
        <f t="shared" si="7"/>
        <v>0</v>
      </c>
      <c r="K21">
        <f t="shared" si="7"/>
        <v>0</v>
      </c>
      <c r="L21">
        <f t="shared" si="8"/>
        <v>0</v>
      </c>
      <c r="M21">
        <f t="shared" si="9"/>
        <v>0</v>
      </c>
      <c r="N21" t="e">
        <f t="shared" si="10"/>
        <v>#REF!</v>
      </c>
      <c r="Q21" s="171"/>
      <c r="S21" s="2"/>
      <c r="T21" s="55"/>
    </row>
    <row r="22" spans="1:20" ht="13.8" x14ac:dyDescent="0.3">
      <c r="A22">
        <v>10</v>
      </c>
      <c r="B22">
        <f t="shared" si="11"/>
        <v>0</v>
      </c>
      <c r="C22">
        <f t="shared" si="12"/>
        <v>0</v>
      </c>
      <c r="D22">
        <f t="shared" si="3"/>
        <v>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171" t="s">
        <v>588</v>
      </c>
      <c r="R22" s="407">
        <f>Rilim_shunt_ideal</f>
        <v>346.43052631578945</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348</v>
      </c>
      <c r="T22" s="55" t="s">
        <v>535</v>
      </c>
    </row>
    <row r="23" spans="1:20" x14ac:dyDescent="0.25">
      <c r="A23">
        <v>12</v>
      </c>
      <c r="B23">
        <f t="shared" si="11"/>
        <v>0</v>
      </c>
      <c r="C23">
        <f t="shared" si="12"/>
        <v>0</v>
      </c>
      <c r="D23">
        <f t="shared" si="3"/>
        <v>12</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692</v>
      </c>
      <c r="R23" s="40">
        <f>Cilim</f>
        <v>3.2638979790889952E-11</v>
      </c>
      <c r="S23" s="2">
        <f>H4*1000000000000</f>
        <v>33</v>
      </c>
      <c r="T23" t="s">
        <v>53</v>
      </c>
    </row>
    <row r="24" spans="1:20" ht="13.8" x14ac:dyDescent="0.3">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71"/>
      <c r="S24" s="2"/>
      <c r="T24" s="55"/>
    </row>
    <row r="25" spans="1:20" x14ac:dyDescent="0.25">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x14ac:dyDescent="0.25">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ht="13.8" x14ac:dyDescent="0.3">
      <c r="A27">
        <v>27</v>
      </c>
      <c r="B27">
        <f t="shared" si="11"/>
        <v>0</v>
      </c>
      <c r="C27">
        <f t="shared" si="12"/>
        <v>0</v>
      </c>
      <c r="D27">
        <f t="shared" si="3"/>
        <v>0</v>
      </c>
      <c r="E27">
        <f t="shared" si="4"/>
        <v>0</v>
      </c>
      <c r="F27">
        <f t="shared" si="5"/>
        <v>0</v>
      </c>
      <c r="G27">
        <f t="shared" si="6"/>
        <v>0</v>
      </c>
      <c r="H27">
        <f t="shared" si="7"/>
        <v>33</v>
      </c>
      <c r="I27">
        <f t="shared" si="7"/>
        <v>0</v>
      </c>
      <c r="J27">
        <f t="shared" si="7"/>
        <v>0</v>
      </c>
      <c r="K27">
        <f t="shared" si="7"/>
        <v>0</v>
      </c>
      <c r="L27">
        <f t="shared" si="8"/>
        <v>0</v>
      </c>
      <c r="M27">
        <f t="shared" si="9"/>
        <v>0</v>
      </c>
      <c r="N27" t="e">
        <f t="shared" si="10"/>
        <v>#REF!</v>
      </c>
      <c r="Q27" s="3" t="s">
        <v>325</v>
      </c>
      <c r="R27" t="str">
        <f>S8/1000&amp;" kΩ"</f>
        <v>12.7 kΩ</v>
      </c>
      <c r="S27">
        <f>S8/1000</f>
        <v>12.7</v>
      </c>
      <c r="T27" s="55" t="s">
        <v>489</v>
      </c>
    </row>
    <row r="28" spans="1:20" x14ac:dyDescent="0.25">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321</v>
      </c>
      <c r="R28" t="str">
        <f>C4*1000000000000&amp;" pF"</f>
        <v>3300 pF</v>
      </c>
      <c r="S28">
        <f>C4*1000000000000</f>
        <v>3300</v>
      </c>
      <c r="T28" s="171" t="s">
        <v>53</v>
      </c>
    </row>
    <row r="29" spans="1:20" x14ac:dyDescent="0.25">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322</v>
      </c>
      <c r="R29" t="str">
        <f>D4*1000000000000&amp;" pF"</f>
        <v>12 pF</v>
      </c>
      <c r="S29">
        <f>D4*1000000000000</f>
        <v>12</v>
      </c>
      <c r="T29" s="171" t="s">
        <v>53</v>
      </c>
    </row>
    <row r="30" spans="1:20" ht="13.8" x14ac:dyDescent="0.3">
      <c r="A30">
        <v>47</v>
      </c>
      <c r="B30">
        <f t="shared" si="11"/>
        <v>0</v>
      </c>
      <c r="C30">
        <f t="shared" si="12"/>
        <v>0</v>
      </c>
      <c r="D30">
        <f t="shared" si="3"/>
        <v>0</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326</v>
      </c>
      <c r="R30" t="str">
        <f>S9&amp;" Ω"</f>
        <v>464 Ω</v>
      </c>
      <c r="S30">
        <f>S9</f>
        <v>464</v>
      </c>
      <c r="T30" s="55" t="s">
        <v>535</v>
      </c>
    </row>
    <row r="31" spans="1:20" x14ac:dyDescent="0.25">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323</v>
      </c>
      <c r="R31" t="str">
        <f>E4*1000000000000&amp;" pF"</f>
        <v>1800 pF</v>
      </c>
      <c r="S31">
        <f>E4*1000000000000</f>
        <v>1800</v>
      </c>
      <c r="T31" s="171" t="s">
        <v>53</v>
      </c>
    </row>
    <row r="32" spans="1:20" x14ac:dyDescent="0.25">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5">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5">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71"/>
    </row>
    <row r="35" spans="1:17" x14ac:dyDescent="0.25">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71"/>
    </row>
    <row r="36" spans="1:17" x14ac:dyDescent="0.25">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5">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5">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5">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5">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5">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5">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5">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5">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5">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5">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5">
      <c r="A47">
        <f t="shared" si="14"/>
        <v>1200</v>
      </c>
      <c r="B47">
        <f t="shared" si="11"/>
        <v>0</v>
      </c>
      <c r="C47">
        <f t="shared" si="17"/>
        <v>0</v>
      </c>
      <c r="D47">
        <f t="shared" si="3"/>
        <v>0</v>
      </c>
      <c r="E47">
        <f t="shared" si="4"/>
        <v>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5">
      <c r="A48">
        <f t="shared" si="14"/>
        <v>1500</v>
      </c>
      <c r="B48">
        <f t="shared" si="11"/>
        <v>0</v>
      </c>
      <c r="C48">
        <f t="shared" si="17"/>
        <v>0</v>
      </c>
      <c r="D48">
        <f t="shared" si="3"/>
        <v>0</v>
      </c>
      <c r="E48">
        <f t="shared" si="4"/>
        <v>1800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5">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5">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5">
      <c r="A51">
        <f t="shared" si="14"/>
        <v>2700</v>
      </c>
      <c r="B51">
        <f t="shared" si="11"/>
        <v>0</v>
      </c>
      <c r="C51">
        <f t="shared" si="17"/>
        <v>3300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5">
      <c r="A52">
        <f t="shared" si="14"/>
        <v>3300</v>
      </c>
      <c r="B52">
        <f t="shared" si="11"/>
        <v>0</v>
      </c>
      <c r="C52">
        <f t="shared" si="17"/>
        <v>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5">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5">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5">
      <c r="A55">
        <f t="shared" si="14"/>
        <v>5600</v>
      </c>
      <c r="B55">
        <f t="shared" si="11"/>
        <v>0</v>
      </c>
      <c r="C55">
        <f t="shared" si="17"/>
        <v>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5">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5">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5">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5">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5">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5">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5">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5">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5">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5">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5">
      <c r="A66">
        <f t="shared" si="14"/>
        <v>47000</v>
      </c>
      <c r="B66">
        <f t="shared" si="11"/>
        <v>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5">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5">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5">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5">
      <c r="A70">
        <f t="shared" si="14"/>
        <v>100000</v>
      </c>
      <c r="B70">
        <f t="shared" si="11"/>
        <v>100000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5">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5">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5">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5">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5">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5">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5">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5">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5">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5">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5">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5">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5">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5">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5">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5">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5">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5">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5">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5">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5">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5">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5">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5">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5">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5">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5">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x14ac:dyDescent="0.25">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5">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5">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5">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5">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5">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5">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5">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5">
      <c r="A106">
        <f t="shared" si="28"/>
        <v>100000000</v>
      </c>
      <c r="B106">
        <f t="shared" si="22"/>
        <v>0</v>
      </c>
      <c r="C106">
        <f t="shared" si="23"/>
        <v>0</v>
      </c>
      <c r="D106">
        <f t="shared" si="23"/>
        <v>0</v>
      </c>
      <c r="E106">
        <f t="shared" si="23"/>
        <v>0</v>
      </c>
      <c r="F106">
        <f t="shared" si="23"/>
        <v>0</v>
      </c>
      <c r="G106">
        <f t="shared" si="31"/>
        <v>0</v>
      </c>
      <c r="H106">
        <f t="shared" si="32"/>
        <v>0</v>
      </c>
      <c r="I106">
        <f t="shared" si="33"/>
        <v>0</v>
      </c>
      <c r="J106">
        <f t="shared" si="34"/>
        <v>0</v>
      </c>
      <c r="K106">
        <f t="shared" si="18"/>
        <v>0</v>
      </c>
      <c r="L106">
        <f t="shared" si="18"/>
        <v>0</v>
      </c>
      <c r="M106">
        <f t="shared" si="29"/>
        <v>0</v>
      </c>
      <c r="N106" t="e">
        <f t="shared" si="30"/>
        <v>#REF!</v>
      </c>
    </row>
    <row r="107" spans="1:14" x14ac:dyDescent="0.25">
      <c r="A107">
        <f t="shared" si="28"/>
        <v>120000000</v>
      </c>
      <c r="B107">
        <f t="shared" si="22"/>
        <v>0</v>
      </c>
      <c r="C107">
        <f t="shared" si="23"/>
        <v>0</v>
      </c>
      <c r="D107">
        <f t="shared" si="23"/>
        <v>0</v>
      </c>
      <c r="E107">
        <f t="shared" si="23"/>
        <v>0</v>
      </c>
      <c r="F107">
        <f t="shared" si="23"/>
        <v>150000000</v>
      </c>
      <c r="G107">
        <f t="shared" si="31"/>
        <v>150000000</v>
      </c>
      <c r="H107">
        <f t="shared" si="32"/>
        <v>0</v>
      </c>
      <c r="I107">
        <f t="shared" si="33"/>
        <v>0</v>
      </c>
      <c r="J107">
        <f t="shared" si="34"/>
        <v>0</v>
      </c>
      <c r="K107">
        <f t="shared" si="18"/>
        <v>0</v>
      </c>
      <c r="L107">
        <f t="shared" si="18"/>
        <v>0</v>
      </c>
      <c r="M107">
        <f t="shared" si="29"/>
        <v>0</v>
      </c>
      <c r="N107" t="e">
        <f t="shared" si="30"/>
        <v>#REF!</v>
      </c>
    </row>
    <row r="108" spans="1:14" x14ac:dyDescent="0.25">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5">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5">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5">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5">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5">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5">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5">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5">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5">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5">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5">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5">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5">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5">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5">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5">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5">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5">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5">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5">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5">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5">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5">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5">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5">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5">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5">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5">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5">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5">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5">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5">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5">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5">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5">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5">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5">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5">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5">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5">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5">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5">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5">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5">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5">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5">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5">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5">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5">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5">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5">
      <c r="A159" s="5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3.2" x14ac:dyDescent="0.25"/>
  <cols>
    <col min="1" max="1" width="10.44140625" customWidth="1"/>
    <col min="2" max="2" width="10" bestFit="1" customWidth="1"/>
    <col min="4" max="4" width="12.44140625" bestFit="1" customWidth="1"/>
    <col min="7" max="7" width="11.109375" customWidth="1"/>
    <col min="8" max="8" width="13.109375" bestFit="1" customWidth="1"/>
    <col min="13" max="14" width="12.44140625" bestFit="1" customWidth="1"/>
    <col min="16" max="16" width="12.44140625" bestFit="1" customWidth="1"/>
    <col min="18" max="18" width="13.109375" bestFit="1" customWidth="1"/>
    <col min="20" max="20" width="13.109375" bestFit="1" customWidth="1"/>
    <col min="22" max="22" width="13.109375" bestFit="1" customWidth="1"/>
    <col min="24" max="24" width="13.88671875" bestFit="1" customWidth="1"/>
    <col min="25" max="25" width="12.5546875" bestFit="1" customWidth="1"/>
    <col min="26" max="26" width="12.44140625" bestFit="1" customWidth="1"/>
    <col min="28" max="28" width="3.109375" style="6" customWidth="1"/>
    <col min="29" max="32" width="8.5546875" customWidth="1"/>
    <col min="33" max="33" width="13.109375" bestFit="1" customWidth="1"/>
    <col min="34" max="34" width="9.5546875" bestFit="1" customWidth="1"/>
    <col min="35" max="35" width="10" bestFit="1" customWidth="1"/>
    <col min="36" max="39" width="8.88671875" customWidth="1"/>
    <col min="43" max="43" width="12.44140625" bestFit="1" customWidth="1"/>
    <col min="45" max="46" width="12.44140625" bestFit="1" customWidth="1"/>
    <col min="47" max="47" width="13.109375" bestFit="1" customWidth="1"/>
    <col min="49" max="49" width="13.109375" bestFit="1" customWidth="1"/>
    <col min="50" max="50" width="11" bestFit="1" customWidth="1"/>
    <col min="54" max="54" width="12.44140625" customWidth="1"/>
    <col min="55" max="55" width="10.109375" customWidth="1"/>
    <col min="58" max="58" width="11" customWidth="1"/>
    <col min="59" max="59" width="13" customWidth="1"/>
    <col min="60" max="60" width="16.88671875" customWidth="1"/>
    <col min="62" max="62" width="12.33203125" customWidth="1"/>
    <col min="66" max="66" width="13.109375" bestFit="1" customWidth="1"/>
    <col min="72" max="72" width="10.5546875" customWidth="1"/>
  </cols>
  <sheetData>
    <row r="1" spans="1:81" ht="38.25" customHeight="1" x14ac:dyDescent="0.4">
      <c r="A1" s="564" t="s">
        <v>45</v>
      </c>
      <c r="B1" s="564"/>
      <c r="C1" s="564"/>
      <c r="D1" s="564"/>
      <c r="E1" s="564"/>
      <c r="F1" s="564"/>
      <c r="G1" s="564"/>
      <c r="AC1" s="8" t="s">
        <v>106</v>
      </c>
      <c r="AD1" s="5"/>
      <c r="AE1" s="5"/>
      <c r="AF1" s="5"/>
      <c r="AG1" s="5"/>
    </row>
    <row r="3" spans="1:81" x14ac:dyDescent="0.25">
      <c r="AT3">
        <f>AT9/10000000000000</f>
        <v>-8.3201756991780341E-5</v>
      </c>
      <c r="AU3">
        <f>AU9/10000000000000</f>
        <v>-4.8053862375321117E-2</v>
      </c>
    </row>
    <row r="4" spans="1:81" x14ac:dyDescent="0.25">
      <c r="AT4">
        <f>AT3*1000</f>
        <v>-8.320175699178034E-2</v>
      </c>
      <c r="AU4">
        <f>AU3*1000</f>
        <v>-48.053862375321117</v>
      </c>
      <c r="BJ4" s="5" t="s">
        <v>111</v>
      </c>
      <c r="BK4" s="5"/>
    </row>
    <row r="5" spans="1:81" x14ac:dyDescent="0.25">
      <c r="AC5" t="s">
        <v>93</v>
      </c>
      <c r="AD5" t="s">
        <v>94</v>
      </c>
      <c r="AE5" t="s">
        <v>95</v>
      </c>
      <c r="AF5" t="s">
        <v>96</v>
      </c>
      <c r="AJ5" t="s">
        <v>93</v>
      </c>
      <c r="AK5" t="s">
        <v>94</v>
      </c>
      <c r="AL5" t="s">
        <v>95</v>
      </c>
      <c r="AM5" t="s">
        <v>96</v>
      </c>
      <c r="BJ5" t="s">
        <v>84</v>
      </c>
      <c r="BK5">
        <f>SUM(BJ9:BJ626)/1000</f>
        <v>56</v>
      </c>
    </row>
    <row r="6" spans="1:81" x14ac:dyDescent="0.25">
      <c r="C6" s="565" t="s">
        <v>46</v>
      </c>
      <c r="D6" s="565"/>
      <c r="E6" s="565"/>
      <c r="F6" s="565"/>
      <c r="G6" s="565"/>
      <c r="H6" s="565"/>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333</v>
      </c>
      <c r="BG6" s="5"/>
      <c r="BH6" s="5"/>
      <c r="BJ6" t="s">
        <v>85</v>
      </c>
      <c r="BK6" s="4">
        <f>SUM(BK10:BK627)</f>
        <v>56.672750501654164</v>
      </c>
      <c r="BM6" s="5" t="s">
        <v>334</v>
      </c>
      <c r="BN6" s="5"/>
      <c r="BU6" s="2"/>
    </row>
    <row r="7" spans="1:81" x14ac:dyDescent="0.25">
      <c r="A7" s="2"/>
      <c r="B7" s="2"/>
      <c r="C7" s="2" t="s">
        <v>47</v>
      </c>
      <c r="D7" s="2"/>
      <c r="E7" s="2"/>
      <c r="F7" s="2" t="s">
        <v>48</v>
      </c>
      <c r="G7" s="2"/>
      <c r="H7" s="2"/>
      <c r="I7" s="2"/>
      <c r="J7" s="2"/>
      <c r="M7" s="562" t="s">
        <v>50</v>
      </c>
      <c r="N7" s="562"/>
      <c r="O7" s="562" t="s">
        <v>64</v>
      </c>
      <c r="P7" s="562"/>
      <c r="Q7" s="562" t="s">
        <v>65</v>
      </c>
      <c r="R7" s="562"/>
      <c r="S7" s="562" t="s">
        <v>66</v>
      </c>
      <c r="T7" s="562"/>
      <c r="U7" s="562" t="s">
        <v>67</v>
      </c>
      <c r="V7" s="562"/>
      <c r="AC7" t="s">
        <v>90</v>
      </c>
      <c r="AE7" t="s">
        <v>91</v>
      </c>
      <c r="AG7" t="s">
        <v>92</v>
      </c>
      <c r="AJ7" t="s">
        <v>90</v>
      </c>
      <c r="AL7" t="s">
        <v>91</v>
      </c>
      <c r="AN7" t="s">
        <v>92</v>
      </c>
      <c r="AQ7" t="s">
        <v>83</v>
      </c>
      <c r="AT7" t="s">
        <v>90</v>
      </c>
      <c r="AW7" t="s">
        <v>91</v>
      </c>
      <c r="BU7" s="2"/>
    </row>
    <row r="8" spans="1:81" x14ac:dyDescent="0.25">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335</v>
      </c>
      <c r="BQ8" s="2"/>
      <c r="BR8" s="2"/>
      <c r="BS8" s="2"/>
      <c r="BT8" t="s">
        <v>341</v>
      </c>
      <c r="BY8" s="2"/>
      <c r="BZ8" s="2"/>
      <c r="CA8" s="2"/>
      <c r="CB8" s="2"/>
    </row>
    <row r="9" spans="1:81" x14ac:dyDescent="0.25">
      <c r="A9">
        <v>1</v>
      </c>
      <c r="B9">
        <f>A9/1000</f>
        <v>1E-3</v>
      </c>
      <c r="C9">
        <f t="shared" ref="C9:C72" si="0">SQRT((A9/Fesr)^2+1)</f>
        <v>1.0000000000003597</v>
      </c>
      <c r="D9">
        <f t="shared" ref="D9:D72" si="1">ATAN(A9/Fesr)</f>
        <v>8.4823001549979668E-7</v>
      </c>
      <c r="F9">
        <f t="shared" ref="F9:F72" si="2">(Ro/(Ro+Rdcr))/SQRT((A9/(Q*Fo))^2+(1-(A9^2/Fo^2))^2)</f>
        <v>0.97701064478239463</v>
      </c>
      <c r="G9">
        <f t="shared" ref="G9:G72" si="3">-ATAN(A9*Fo/(Q*(Fo^2-A9^2)))</f>
        <v>-8.6034991921903254E-5</v>
      </c>
      <c r="H9">
        <f t="shared" ref="H9:H72" si="4">IF(G9&gt;0,G9-Pi,G9)</f>
        <v>-8.6034991921903254E-5</v>
      </c>
      <c r="J9">
        <f t="shared" ref="J9:J72" si="5">Vin/Vramp</f>
        <v>15</v>
      </c>
      <c r="M9">
        <f t="shared" ref="M9:M72" si="6">1/(2*Pi*_Rfb1*(Cc1ea_u+Cc2ea_u)*A9)</f>
        <v>2669.6682647905996</v>
      </c>
      <c r="N9">
        <f t="shared" ref="N9:N72" si="7">-Pi/2</f>
        <v>-1.5707963250000001</v>
      </c>
      <c r="O9">
        <f t="shared" ref="O9:O72" si="8">SQRT(1+(A9/Fz1_u)^2)</f>
        <v>1.0000000363282366</v>
      </c>
      <c r="P9">
        <f t="shared" ref="P9:P72" si="9">ATAN2(Fz1_u,A9)</f>
        <v>2.6954864284184881E-4</v>
      </c>
      <c r="Q9">
        <f t="shared" ref="Q9:Q72" si="10">SQRT(1+(A9/Fz2_u)^2)</f>
        <v>1.0000000325918406</v>
      </c>
      <c r="R9">
        <f t="shared" ref="R9:R72" si="11">ATAN2(Fz2_u,A9)</f>
        <v>2.5531094593283089E-4</v>
      </c>
      <c r="S9">
        <f t="shared" ref="S9:S72" si="12">1/SQRT(1+(A9/Fp1_u)^2)</f>
        <v>0.99999999997889555</v>
      </c>
      <c r="T9">
        <f t="shared" ref="T9:T72" si="13">-ATAN2(Fp1_u,A9)</f>
        <v>-6.4968136001085934E-6</v>
      </c>
      <c r="U9">
        <f t="shared" ref="U9:U72" si="14">1/SQRT(1+(A9/Fp2_u)^2)</f>
        <v>0.99999999999952305</v>
      </c>
      <c r="V9">
        <f t="shared" ref="V9:V72" si="15">-ATAN2(Fp2_u,A9)</f>
        <v>-9.7662554119534179E-7</v>
      </c>
      <c r="X9">
        <f>20*LOG(C9*J9*O9*Q9*F9*M9*S9*U9)</f>
        <v>91.848957667895078</v>
      </c>
      <c r="Y9">
        <f t="shared" ref="Y9:Y72" si="16">(180/Pi)*(D9+H9+N9+P9+R9+T9+V9)</f>
        <v>-89.975236799146799</v>
      </c>
      <c r="Z9">
        <f>Y9+180</f>
        <v>90.024763200853201</v>
      </c>
      <c r="AC9">
        <v>1</v>
      </c>
      <c r="AD9">
        <f t="shared" ref="AD9:AD72" si="17">Rcea1_u*Cc1ea_u*A9*2*Pi</f>
        <v>2.6954864937000003E-4</v>
      </c>
      <c r="AE9">
        <f t="shared" ref="AE9:AE72" si="18">-Rcea1_u*Cc1ea_u*Cc2ea_u*(A9*2*Pi)^2</f>
        <v>-2.0323489336277263E-14</v>
      </c>
      <c r="AF9">
        <f t="shared" ref="AF9:AF72" si="19">(Cc2ea_u+Cc1ea_u)*A9*2*Pi</f>
        <v>2.0809909713599999E-8</v>
      </c>
      <c r="AG9">
        <f>AC9*AE9/(AE9^2+AF9^2)+AD9*AF9/(AE9^2+AF9^2)</f>
        <v>12905.967758861878</v>
      </c>
      <c r="AH9">
        <f>AD9*AE9/(AE9^2+AF9^2)-AC9*AF9/(AE9^2+AF9^2)</f>
        <v>-48054028.778835095</v>
      </c>
      <c r="AI9">
        <f>SQRT(AG9^2+AH9^2)</f>
        <v>48054030.511926003</v>
      </c>
      <c r="AJ9">
        <f t="shared" ref="AJ9:AJ72" si="20">_Rfb1</f>
        <v>18000</v>
      </c>
      <c r="AK9">
        <f t="shared" ref="AK9:AK72" si="21">_Rfb1*Rcea2_u*Cc3ea_u*A9*2*Pi</f>
        <v>0.1169426448036</v>
      </c>
      <c r="AL9">
        <v>1</v>
      </c>
      <c r="AM9">
        <f t="shared" ref="AM9:AM72" si="22">(_Rfb1+Rcea2_u)*Cc3ea_u*A9*2*Pi</f>
        <v>2.5531095148019999E-4</v>
      </c>
      <c r="AN9">
        <f>AJ9*AL9/(AL9^2+AM9^2)+AK9*AM9/(AL9^2+AM9^2)</f>
        <v>17999.998856550537</v>
      </c>
      <c r="AO9">
        <f>AK9*AL9/(AL9^2+AM9^2)-AJ9*AM9/(AL9^2+AM9^2)</f>
        <v>-4.4786541899048293</v>
      </c>
      <c r="AP9" s="51">
        <f>SQRT(AN9^2+AO9^2)</f>
        <v>17999.999413726768</v>
      </c>
      <c r="AQ9">
        <f t="shared" ref="AQ9:AQ72" si="23">Eadcg/(1+(Eadcg*A9/GBP)^2)</f>
        <v>9999.9600001600011</v>
      </c>
      <c r="AR9">
        <f t="shared" ref="AR9:AR72" si="24">-(A9*Eadcg*Eadcg/GBP)/(1+(Eadcg*A9/GBP)^2)</f>
        <v>-19.99992000032</v>
      </c>
      <c r="AT9">
        <f>-AR9*AH9+AG9*AQ9</f>
        <v>-832017569.91780341</v>
      </c>
      <c r="AU9">
        <f>AQ9*AH9+AG9*AR9</f>
        <v>-480538623753.21118</v>
      </c>
      <c r="AV9">
        <f>ATAN2(AT9,AU9)</f>
        <v>-1.5725277521109355</v>
      </c>
      <c r="AW9">
        <f t="shared" ref="AW9:AW73" si="25">AG9-AH9*AO9/_Rfb2+AG9*AN9/_Rfb2+AN9-AO9*AR9+AQ9*AN9</f>
        <v>180035188.23444265</v>
      </c>
      <c r="AX9">
        <f t="shared" ref="AX9:AX73" si="26">AH9+AH9*AN9/_Rfb2+AG9*AO9/_Rfb2+AO9+AO9*AQ9+AN9*AR9</f>
        <v>-306749223.69585842</v>
      </c>
      <c r="AY9">
        <f>ATAN2(AW9,AX9)</f>
        <v>-1.0400550033135492</v>
      </c>
      <c r="BA9">
        <f t="shared" ref="BA9:BA72" si="27">SQRT(AT9^2+AU9^2)/SQRT(AW9^2+AX9^2)</f>
        <v>1351.0467478134403</v>
      </c>
      <c r="BB9" s="51">
        <f>20*LOG(BA9)</f>
        <v>62.613407527682241</v>
      </c>
      <c r="BC9">
        <f>AV9-AY9</f>
        <v>-0.53247274879738637</v>
      </c>
      <c r="BD9">
        <f t="shared" ref="BD9:BD72" si="28">BC9*180/Pi-180</f>
        <v>-210.50844124668089</v>
      </c>
      <c r="BF9">
        <f t="shared" ref="BF9:BF72" si="29">20*LOG(BA9*J9*F9*C9)</f>
        <v>85.933218618692791</v>
      </c>
      <c r="BG9">
        <f t="shared" ref="BG9:BG72" si="30">(180/Pi)*(D9+H9+BC9)</f>
        <v>-30.513322088614093</v>
      </c>
      <c r="BH9">
        <f>IF(BG9&gt;180,BG9-180,BG9+180)</f>
        <v>149.4866779113859</v>
      </c>
      <c r="BI9">
        <f>IF(BH9&gt;180,BH9-360,BH9)</f>
        <v>149.4866779113859</v>
      </c>
      <c r="BJ9">
        <f t="shared" ref="BJ9:BJ72" si="31">SUM((BF10&lt;0)*(BF9&gt;0))*A9</f>
        <v>0</v>
      </c>
      <c r="BK9">
        <f>IF(BJ9&gt;0,BI9,0)</f>
        <v>0</v>
      </c>
      <c r="BM9">
        <f>20*LOG(J9*F9*C9)</f>
        <v>23.319811091010546</v>
      </c>
      <c r="BN9">
        <f t="shared" ref="BN9:BN72" si="32">(H9+D9)*180/Pi</f>
        <v>-4.8808419331999075E-3</v>
      </c>
      <c r="BQ9" s="56">
        <f>20*LOG(BA9*7)</f>
        <v>79.51536832796738</v>
      </c>
      <c r="BR9" s="56"/>
      <c r="BS9" s="56"/>
      <c r="BT9" s="56" t="s">
        <v>44</v>
      </c>
      <c r="BU9" s="56" t="s">
        <v>68</v>
      </c>
      <c r="BV9" s="56" t="s">
        <v>69</v>
      </c>
      <c r="BW9" s="56"/>
      <c r="BY9" s="56"/>
      <c r="BZ9" s="56"/>
      <c r="CA9" s="56"/>
      <c r="CC9" s="56"/>
    </row>
    <row r="10" spans="1:81" x14ac:dyDescent="0.25">
      <c r="A10">
        <v>2</v>
      </c>
      <c r="B10">
        <f t="shared" ref="B10:B73" si="33">A10/1000</f>
        <v>2E-3</v>
      </c>
      <c r="C10">
        <f t="shared" si="0"/>
        <v>1.0000000000014388</v>
      </c>
      <c r="D10">
        <f t="shared" si="1"/>
        <v>1.6964600309983728E-6</v>
      </c>
      <c r="F10">
        <f t="shared" si="2"/>
        <v>0.97701077909485012</v>
      </c>
      <c r="G10">
        <f t="shared" si="3"/>
        <v>-1.7207000813559376E-4</v>
      </c>
      <c r="H10">
        <f t="shared" si="4"/>
        <v>-1.7207000813559376E-4</v>
      </c>
      <c r="J10">
        <f t="shared" si="5"/>
        <v>15</v>
      </c>
      <c r="M10">
        <f t="shared" si="6"/>
        <v>1334.8341323952998</v>
      </c>
      <c r="N10">
        <f t="shared" si="7"/>
        <v>-1.5707963250000001</v>
      </c>
      <c r="O10">
        <f t="shared" si="8"/>
        <v>1.0000001453129381</v>
      </c>
      <c r="P10">
        <f t="shared" si="9"/>
        <v>5.3909724651479707E-4</v>
      </c>
      <c r="Q10">
        <f t="shared" si="10"/>
        <v>1.0000001303673554</v>
      </c>
      <c r="R10">
        <f t="shared" si="11"/>
        <v>5.1062185858145263E-4</v>
      </c>
      <c r="S10">
        <f t="shared" si="12"/>
        <v>0.99999999991558286</v>
      </c>
      <c r="T10">
        <f t="shared" si="13"/>
        <v>-1.2993627199668743E-5</v>
      </c>
      <c r="U10">
        <f t="shared" si="14"/>
        <v>0.99999999999809241</v>
      </c>
      <c r="V10">
        <f t="shared" si="15"/>
        <v>-1.9532510823888205E-6</v>
      </c>
      <c r="X10">
        <f t="shared" ref="X10:X73" si="34">20*LOG(C10*J10*O10*Q10*F10*M10*S10*U10)</f>
        <v>85.828360744032807</v>
      </c>
      <c r="Y10">
        <f t="shared" si="16"/>
        <v>-89.950473603836656</v>
      </c>
      <c r="Z10">
        <f t="shared" ref="Z10:Z73" si="35">Y10+180</f>
        <v>90.049526396163344</v>
      </c>
      <c r="AC10">
        <v>1</v>
      </c>
      <c r="AD10">
        <f t="shared" si="17"/>
        <v>5.3909729874000007E-4</v>
      </c>
      <c r="AE10">
        <f t="shared" si="18"/>
        <v>-8.1293957345109052E-14</v>
      </c>
      <c r="AF10">
        <f t="shared" si="19"/>
        <v>4.1619819427199998E-8</v>
      </c>
      <c r="AG10">
        <f t="shared" ref="AG10:AG73" si="36">AC10*AE10/(AE10^2+AF10^2)+AD10*AF10/(AE10^2+AF10^2)</f>
        <v>12905.967758824951</v>
      </c>
      <c r="AH10">
        <f t="shared" ref="AH10:AH73" si="37">AD10*AE10/(AE10^2+AF10^2)-AC10*AF10/(AE10^2+AF10^2)</f>
        <v>-24027014.408323996</v>
      </c>
      <c r="AJ10">
        <f t="shared" si="20"/>
        <v>18000</v>
      </c>
      <c r="AK10">
        <f t="shared" si="21"/>
        <v>0.23388528960720001</v>
      </c>
      <c r="AL10">
        <v>1</v>
      </c>
      <c r="AM10">
        <f t="shared" si="22"/>
        <v>5.1062190296039998E-4</v>
      </c>
      <c r="AN10">
        <f t="shared" ref="AN10:AN73" si="38">AJ10*AL10/(AL10^2+AM10^2)+AK10*AM10/(AL10^2+AM10^2)</f>
        <v>17999.995426203044</v>
      </c>
      <c r="AO10">
        <f t="shared" ref="AO10:AO73" si="39">AK10*AL10/(AL10^2+AM10^2)-AJ10*AM10/(AL10^2+AM10^2)</f>
        <v>-8.9573066281990954</v>
      </c>
      <c r="AQ10">
        <f t="shared" si="23"/>
        <v>9999.8400025599585</v>
      </c>
      <c r="AR10">
        <f t="shared" si="24"/>
        <v>-39.999360010239833</v>
      </c>
      <c r="AT10">
        <f t="shared" ref="AT10:AT21" si="40">-AR10*AH10+AG10*AQ10</f>
        <v>-832007586.62332428</v>
      </c>
      <c r="AU10">
        <f t="shared" ref="AU10:AU21" si="41">AQ10*AH10+AG10*AR10</f>
        <v>-240266816052.89343</v>
      </c>
      <c r="AV10">
        <f t="shared" ref="AV10:AV73" si="42">ATAN2(AT10,AU10)</f>
        <v>-1.5742591614663355</v>
      </c>
      <c r="AW10">
        <f t="shared" si="25"/>
        <v>180032725.25691208</v>
      </c>
      <c r="AX10">
        <f t="shared" si="26"/>
        <v>-153981787.44522303</v>
      </c>
      <c r="AY10">
        <f>ATAN2(AW10,AX10)</f>
        <v>-0.70756230185165336</v>
      </c>
      <c r="BA10">
        <f t="shared" si="27"/>
        <v>1014.2129649445666</v>
      </c>
      <c r="BB10">
        <f t="shared" ref="BB10:BB73" si="43">20*LOG(BA10)</f>
        <v>60.122583158902721</v>
      </c>
      <c r="BC10">
        <f t="shared" ref="BC10:BC73" si="44">AV10-AY10</f>
        <v>-0.86669685961468212</v>
      </c>
      <c r="BD10">
        <f t="shared" si="28"/>
        <v>-229.65807222990631</v>
      </c>
      <c r="BF10">
        <f t="shared" si="29"/>
        <v>83.442395443996716</v>
      </c>
      <c r="BG10">
        <f t="shared" si="30"/>
        <v>-49.667833915164522</v>
      </c>
      <c r="BH10">
        <f t="shared" ref="BH10:BH73" si="45">IF(BG10&gt;180,BG10-180,BG10+180)</f>
        <v>130.33216608483548</v>
      </c>
      <c r="BI10">
        <f t="shared" ref="BI10:BI73" si="46">IF(BH10&gt;180,BH10-360,BH10)</f>
        <v>130.33216608483548</v>
      </c>
      <c r="BJ10">
        <f t="shared" si="31"/>
        <v>0</v>
      </c>
      <c r="BK10">
        <f t="shared" ref="BK10:BK73" si="47">IF(BJ10&gt;0,BI10,0)</f>
        <v>0</v>
      </c>
      <c r="BM10">
        <f t="shared" ref="BM10:BM73" si="48">20*LOG(J10*F10*C10)</f>
        <v>23.319812285093995</v>
      </c>
      <c r="BN10">
        <f t="shared" si="32"/>
        <v>-9.7616852582167735E-3</v>
      </c>
      <c r="BQ10" s="56">
        <f t="shared" ref="BQ10:BQ73" si="49">20*LOG(BA10*7)</f>
        <v>77.024543959187866</v>
      </c>
      <c r="BR10" s="57"/>
      <c r="BS10" s="57"/>
      <c r="BT10" s="57">
        <v>100</v>
      </c>
      <c r="BU10" s="57">
        <v>35.359299999999998</v>
      </c>
      <c r="BV10" s="57">
        <v>-267.66769999999997</v>
      </c>
      <c r="BW10" s="61"/>
      <c r="BY10" s="57"/>
      <c r="BZ10" s="57"/>
      <c r="CA10" s="57"/>
      <c r="CC10" s="57"/>
    </row>
    <row r="11" spans="1:81" x14ac:dyDescent="0.25">
      <c r="A11">
        <v>3</v>
      </c>
      <c r="B11">
        <f t="shared" si="33"/>
        <v>3.0000000000000001E-3</v>
      </c>
      <c r="C11">
        <f t="shared" si="0"/>
        <v>1.0000000000032379</v>
      </c>
      <c r="D11">
        <f t="shared" si="1"/>
        <v>2.5446900464945076E-6</v>
      </c>
      <c r="F11">
        <f t="shared" si="2"/>
        <v>0.97701100294901777</v>
      </c>
      <c r="G11">
        <f t="shared" si="3"/>
        <v>-2.5810507293288039E-4</v>
      </c>
      <c r="H11">
        <f t="shared" si="4"/>
        <v>-2.5810507293288039E-4</v>
      </c>
      <c r="J11">
        <f t="shared" si="5"/>
        <v>15</v>
      </c>
      <c r="M11">
        <f t="shared" si="6"/>
        <v>889.88942159686655</v>
      </c>
      <c r="N11">
        <f t="shared" si="7"/>
        <v>-1.5707963250000001</v>
      </c>
      <c r="O11">
        <f t="shared" si="8"/>
        <v>1.0000003269540811</v>
      </c>
      <c r="P11">
        <f t="shared" si="9"/>
        <v>8.0864577184997844E-4</v>
      </c>
      <c r="Q11">
        <f t="shared" si="10"/>
        <v>1.0000002933265257</v>
      </c>
      <c r="R11">
        <f t="shared" si="11"/>
        <v>7.6593270466168196E-4</v>
      </c>
      <c r="S11">
        <f t="shared" si="12"/>
        <v>0.99999999981006127</v>
      </c>
      <c r="T11">
        <f t="shared" si="13"/>
        <v>-1.9490440798132006E-5</v>
      </c>
      <c r="U11">
        <f t="shared" si="14"/>
        <v>0.99999999999570788</v>
      </c>
      <c r="V11">
        <f t="shared" si="15"/>
        <v>-2.9298766235785732E-6</v>
      </c>
      <c r="X11">
        <f t="shared" si="34"/>
        <v>82.306540545280939</v>
      </c>
      <c r="Y11">
        <f t="shared" si="16"/>
        <v>-89.925710419612599</v>
      </c>
      <c r="Z11">
        <f t="shared" si="35"/>
        <v>90.074289580387401</v>
      </c>
      <c r="AC11">
        <v>1</v>
      </c>
      <c r="AD11">
        <f t="shared" si="17"/>
        <v>8.0864594811E-4</v>
      </c>
      <c r="AE11">
        <f t="shared" si="18"/>
        <v>-1.8291140402649535E-13</v>
      </c>
      <c r="AF11">
        <f t="shared" si="19"/>
        <v>6.2429729140799991E-8</v>
      </c>
      <c r="AG11">
        <f t="shared" si="36"/>
        <v>12905.967758763401</v>
      </c>
      <c r="AH11">
        <f t="shared" si="37"/>
        <v>-16018009.626556495</v>
      </c>
      <c r="AJ11">
        <f t="shared" si="20"/>
        <v>18000</v>
      </c>
      <c r="AK11">
        <f t="shared" si="21"/>
        <v>0.35082793441080001</v>
      </c>
      <c r="AL11">
        <v>1</v>
      </c>
      <c r="AM11">
        <f t="shared" si="22"/>
        <v>7.6593285444059996E-4</v>
      </c>
      <c r="AN11">
        <f t="shared" si="38"/>
        <v>17999.989708960205</v>
      </c>
      <c r="AO11">
        <f t="shared" si="39"/>
        <v>-13.435955563274513</v>
      </c>
      <c r="AQ11">
        <f t="shared" si="23"/>
        <v>9999.6400129595349</v>
      </c>
      <c r="AR11">
        <f t="shared" si="24"/>
        <v>-59.997840077757203</v>
      </c>
      <c r="AT11">
        <f t="shared" si="40"/>
        <v>-831990948.33161581</v>
      </c>
      <c r="AU11">
        <f t="shared" si="41"/>
        <v>-160175104319.87497</v>
      </c>
      <c r="AV11">
        <f t="shared" si="42"/>
        <v>-1.5759905389012252</v>
      </c>
      <c r="AW11">
        <f t="shared" si="25"/>
        <v>180028620.42597842</v>
      </c>
      <c r="AX11">
        <f t="shared" si="26"/>
        <v>-103329142.58479428</v>
      </c>
      <c r="AY11">
        <f t="shared" ref="AY11:AY74" si="50">ATAN2(AW11,AX11)</f>
        <v>-0.52105198833864441</v>
      </c>
      <c r="BA11">
        <f t="shared" si="27"/>
        <v>771.661189037025</v>
      </c>
      <c r="BB11">
        <f t="shared" si="43"/>
        <v>57.748533156199699</v>
      </c>
      <c r="BC11">
        <f t="shared" si="44"/>
        <v>-1.0549385505625808</v>
      </c>
      <c r="BD11">
        <f t="shared" si="28"/>
        <v>-240.44352666195107</v>
      </c>
      <c r="BF11">
        <f t="shared" si="29"/>
        <v>81.068347431433082</v>
      </c>
      <c r="BG11">
        <f t="shared" si="30"/>
        <v>-60.458169193317943</v>
      </c>
      <c r="BH11">
        <f t="shared" si="45"/>
        <v>119.54183080668206</v>
      </c>
      <c r="BI11">
        <f t="shared" si="46"/>
        <v>119.54183080668206</v>
      </c>
      <c r="BJ11">
        <f t="shared" si="31"/>
        <v>0</v>
      </c>
      <c r="BK11">
        <f t="shared" si="47"/>
        <v>0</v>
      </c>
      <c r="BM11">
        <f t="shared" si="48"/>
        <v>23.319814275233391</v>
      </c>
      <c r="BN11">
        <f t="shared" si="32"/>
        <v>-1.4642531366868796E-2</v>
      </c>
      <c r="BQ11" s="56">
        <f t="shared" si="49"/>
        <v>74.650493956484837</v>
      </c>
      <c r="BR11" s="58"/>
      <c r="BS11" s="58"/>
      <c r="BT11" s="58">
        <v>102.32899999999999</v>
      </c>
      <c r="BU11" s="58">
        <v>34.936799999999998</v>
      </c>
      <c r="BV11" s="58">
        <v>-265.91489999999999</v>
      </c>
      <c r="BW11" s="61"/>
      <c r="BY11" s="58"/>
      <c r="BZ11" s="58"/>
      <c r="CA11" s="58"/>
      <c r="CC11" s="58"/>
    </row>
    <row r="12" spans="1:81" x14ac:dyDescent="0.25">
      <c r="A12">
        <v>4</v>
      </c>
      <c r="B12">
        <f t="shared" si="33"/>
        <v>4.0000000000000001E-3</v>
      </c>
      <c r="C12">
        <f t="shared" si="0"/>
        <v>1.0000000000057558</v>
      </c>
      <c r="D12">
        <f t="shared" si="1"/>
        <v>3.3929200619869806E-6</v>
      </c>
      <c r="F12">
        <f t="shared" si="2"/>
        <v>0.97701131634501048</v>
      </c>
      <c r="G12">
        <f t="shared" si="3"/>
        <v>-3.4414021060561535E-4</v>
      </c>
      <c r="H12">
        <f t="shared" si="4"/>
        <v>-3.4414021060561535E-4</v>
      </c>
      <c r="J12">
        <f t="shared" si="5"/>
        <v>15</v>
      </c>
      <c r="M12">
        <f t="shared" si="6"/>
        <v>667.41706619764989</v>
      </c>
      <c r="N12">
        <f t="shared" si="7"/>
        <v>-1.5707963250000001</v>
      </c>
      <c r="O12">
        <f t="shared" si="8"/>
        <v>1.0000005812516262</v>
      </c>
      <c r="P12">
        <f t="shared" si="9"/>
        <v>1.0781941796785947E-3</v>
      </c>
      <c r="Q12">
        <f t="shared" si="10"/>
        <v>1.0000005214693197</v>
      </c>
      <c r="R12">
        <f t="shared" si="11"/>
        <v>1.0212434508893877E-3</v>
      </c>
      <c r="S12">
        <f t="shared" si="12"/>
        <v>0.99999999966233144</v>
      </c>
      <c r="T12">
        <f t="shared" si="13"/>
        <v>-2.5987254394949947E-5</v>
      </c>
      <c r="U12">
        <f t="shared" si="14"/>
        <v>0.99999999999236966</v>
      </c>
      <c r="V12">
        <f t="shared" si="15"/>
        <v>-3.9065021647627367E-6</v>
      </c>
      <c r="X12">
        <f t="shared" si="34"/>
        <v>79.807772788420294</v>
      </c>
      <c r="Y12">
        <f t="shared" si="16"/>
        <v>-89.900947252017644</v>
      </c>
      <c r="Z12">
        <f t="shared" si="35"/>
        <v>90.099052747982356</v>
      </c>
      <c r="AC12">
        <v>1</v>
      </c>
      <c r="AD12">
        <f t="shared" si="17"/>
        <v>1.0781945974800001E-3</v>
      </c>
      <c r="AE12">
        <f t="shared" si="18"/>
        <v>-3.2517582938043621E-13</v>
      </c>
      <c r="AF12">
        <f t="shared" si="19"/>
        <v>8.3239638854399996E-8</v>
      </c>
      <c r="AG12">
        <f t="shared" si="36"/>
        <v>12905.967758677232</v>
      </c>
      <c r="AH12">
        <f t="shared" si="37"/>
        <v>-12013507.24197489</v>
      </c>
      <c r="AJ12">
        <f t="shared" si="20"/>
        <v>18000</v>
      </c>
      <c r="AK12">
        <f t="shared" si="21"/>
        <v>0.46777057921440002</v>
      </c>
      <c r="AL12">
        <v>1</v>
      </c>
      <c r="AM12">
        <f t="shared" si="22"/>
        <v>1.0212438059208E-3</v>
      </c>
      <c r="AN12">
        <f t="shared" si="38"/>
        <v>17999.981704826485</v>
      </c>
      <c r="AO12">
        <f t="shared" si="39"/>
        <v>-17.914599243527373</v>
      </c>
      <c r="AQ12">
        <f t="shared" si="23"/>
        <v>9999.3600409573774</v>
      </c>
      <c r="AR12">
        <f t="shared" si="24"/>
        <v>-79.994880327659018</v>
      </c>
      <c r="AT12">
        <f t="shared" si="40"/>
        <v>-831967655.84124494</v>
      </c>
      <c r="AU12">
        <f t="shared" si="41"/>
        <v>-120128416678.50217</v>
      </c>
      <c r="AV12">
        <f t="shared" si="42"/>
        <v>-1.5777218684572694</v>
      </c>
      <c r="AW12">
        <f t="shared" si="25"/>
        <v>180022873.93905067</v>
      </c>
      <c r="AX12">
        <f t="shared" si="26"/>
        <v>-78205170.901348904</v>
      </c>
      <c r="AY12">
        <f t="shared" si="50"/>
        <v>-0.40982062957204923</v>
      </c>
      <c r="BA12">
        <f t="shared" si="27"/>
        <v>612.0527883784257</v>
      </c>
      <c r="BB12">
        <f t="shared" si="43"/>
        <v>55.735777616531543</v>
      </c>
      <c r="BC12">
        <f t="shared" si="44"/>
        <v>-1.1679012388852201</v>
      </c>
      <c r="BD12">
        <f t="shared" si="28"/>
        <v>-246.91581195268571</v>
      </c>
      <c r="BF12">
        <f t="shared" si="29"/>
        <v>79.055594677960713</v>
      </c>
      <c r="BG12">
        <f t="shared" si="30"/>
        <v>-66.935335334336699</v>
      </c>
      <c r="BH12">
        <f t="shared" si="45"/>
        <v>113.0646646656633</v>
      </c>
      <c r="BI12">
        <f t="shared" si="46"/>
        <v>113.0646646656633</v>
      </c>
      <c r="BJ12">
        <f t="shared" si="31"/>
        <v>0</v>
      </c>
      <c r="BK12">
        <f t="shared" si="47"/>
        <v>0</v>
      </c>
      <c r="BM12">
        <f t="shared" si="48"/>
        <v>23.319817061429177</v>
      </c>
      <c r="BN12">
        <f t="shared" si="32"/>
        <v>-1.9523381650976647E-2</v>
      </c>
      <c r="BQ12" s="56">
        <f t="shared" si="49"/>
        <v>72.637738416816674</v>
      </c>
      <c r="BR12" s="57"/>
      <c r="BS12" s="57"/>
      <c r="BT12" s="57">
        <v>104.71299999999999</v>
      </c>
      <c r="BU12" s="57">
        <v>34.190800000000003</v>
      </c>
      <c r="BV12" s="57">
        <v>-264.93219999999997</v>
      </c>
      <c r="BW12" s="61"/>
      <c r="BY12" s="57"/>
      <c r="BZ12" s="57"/>
      <c r="CA12" s="57"/>
      <c r="CC12" s="57"/>
    </row>
    <row r="13" spans="1:81" x14ac:dyDescent="0.25">
      <c r="A13">
        <v>5</v>
      </c>
      <c r="B13">
        <f t="shared" si="33"/>
        <v>5.0000000000000001E-3</v>
      </c>
      <c r="C13">
        <f t="shared" si="0"/>
        <v>1.0000000000089937</v>
      </c>
      <c r="D13">
        <f t="shared" si="1"/>
        <v>4.2411500774745716E-6</v>
      </c>
      <c r="F13">
        <f t="shared" si="2"/>
        <v>0.97701171928298591</v>
      </c>
      <c r="G13">
        <f t="shared" si="3"/>
        <v>-4.3017544544571578E-4</v>
      </c>
      <c r="H13">
        <f t="shared" si="4"/>
        <v>-4.3017544544571578E-4</v>
      </c>
      <c r="J13">
        <f t="shared" si="5"/>
        <v>15</v>
      </c>
      <c r="M13">
        <f t="shared" si="6"/>
        <v>533.93365295811998</v>
      </c>
      <c r="N13">
        <f t="shared" si="7"/>
        <v>-1.5707963250000001</v>
      </c>
      <c r="O13">
        <f t="shared" si="8"/>
        <v>1.0000009082055172</v>
      </c>
      <c r="P13">
        <f t="shared" si="9"/>
        <v>1.3477424308319505E-3</v>
      </c>
      <c r="Q13">
        <f t="shared" si="10"/>
        <v>1.0000008147956925</v>
      </c>
      <c r="R13">
        <f t="shared" si="11"/>
        <v>1.2765540639805173E-3</v>
      </c>
      <c r="S13">
        <f t="shared" si="12"/>
        <v>0.99999999947239271</v>
      </c>
      <c r="T13">
        <f t="shared" si="13"/>
        <v>-3.2484067989574111E-5</v>
      </c>
      <c r="U13">
        <f t="shared" si="14"/>
        <v>0.99999999998807754</v>
      </c>
      <c r="V13">
        <f t="shared" si="15"/>
        <v>-4.8831277059394484E-6</v>
      </c>
      <c r="X13">
        <f t="shared" si="34"/>
        <v>77.86958149650701</v>
      </c>
      <c r="Y13">
        <f t="shared" si="16"/>
        <v>-89.876184106594863</v>
      </c>
      <c r="Z13">
        <f t="shared" si="35"/>
        <v>90.123815893405137</v>
      </c>
      <c r="AC13">
        <v>1</v>
      </c>
      <c r="AD13">
        <f t="shared" si="17"/>
        <v>1.3477432468500001E-3</v>
      </c>
      <c r="AE13">
        <f t="shared" si="18"/>
        <v>-5.0808723340693153E-13</v>
      </c>
      <c r="AF13">
        <f t="shared" si="19"/>
        <v>1.0404954856799999E-7</v>
      </c>
      <c r="AG13">
        <f t="shared" si="36"/>
        <v>12905.967758566447</v>
      </c>
      <c r="AH13">
        <f t="shared" si="37"/>
        <v>-9610805.8162676487</v>
      </c>
      <c r="AJ13">
        <f t="shared" si="20"/>
        <v>18000</v>
      </c>
      <c r="AK13">
        <f t="shared" si="21"/>
        <v>0.58471322401800008</v>
      </c>
      <c r="AL13">
        <v>1</v>
      </c>
      <c r="AM13">
        <f t="shared" si="22"/>
        <v>1.276554757401E-3</v>
      </c>
      <c r="AN13">
        <f t="shared" si="38"/>
        <v>17999.971413808154</v>
      </c>
      <c r="AO13">
        <f t="shared" si="39"/>
        <v>-22.393235917360805</v>
      </c>
      <c r="AQ13">
        <f t="shared" si="23"/>
        <v>9999.0000999900003</v>
      </c>
      <c r="AR13">
        <f t="shared" si="24"/>
        <v>-99.990000999900005</v>
      </c>
      <c r="AT13">
        <f t="shared" si="40"/>
        <v>-831937710.27007341</v>
      </c>
      <c r="AU13">
        <f t="shared" si="41"/>
        <v>-96099738785.573776</v>
      </c>
      <c r="AV13">
        <f t="shared" si="42"/>
        <v>-1.5794531341784357</v>
      </c>
      <c r="AW13">
        <f t="shared" si="25"/>
        <v>180015486.07246888</v>
      </c>
      <c r="AX13">
        <f t="shared" si="26"/>
        <v>-63292640.860976875</v>
      </c>
      <c r="AY13">
        <f t="shared" si="50"/>
        <v>-0.338095522315495</v>
      </c>
      <c r="BA13">
        <f t="shared" si="27"/>
        <v>503.63858468551149</v>
      </c>
      <c r="BB13">
        <f t="shared" si="43"/>
        <v>54.042379896313413</v>
      </c>
      <c r="BC13">
        <f t="shared" si="44"/>
        <v>-1.2413576118629406</v>
      </c>
      <c r="BD13">
        <f t="shared" si="28"/>
        <v>-251.12455210745713</v>
      </c>
      <c r="BF13">
        <f t="shared" si="29"/>
        <v>77.362200539995413</v>
      </c>
      <c r="BG13">
        <f t="shared" si="30"/>
        <v>-71.148956344959487</v>
      </c>
      <c r="BH13">
        <f t="shared" si="45"/>
        <v>108.85104365504051</v>
      </c>
      <c r="BI13">
        <f t="shared" si="46"/>
        <v>108.85104365504051</v>
      </c>
      <c r="BJ13">
        <f t="shared" si="31"/>
        <v>0</v>
      </c>
      <c r="BK13">
        <f t="shared" si="47"/>
        <v>0</v>
      </c>
      <c r="BM13">
        <f t="shared" si="48"/>
        <v>23.319820643681993</v>
      </c>
      <c r="BN13">
        <f t="shared" si="32"/>
        <v>-2.4404237502364732E-2</v>
      </c>
      <c r="BQ13" s="56">
        <f t="shared" si="49"/>
        <v>70.944340696598559</v>
      </c>
      <c r="BR13" s="58"/>
      <c r="BS13" s="58"/>
      <c r="BT13" s="58">
        <v>107.152</v>
      </c>
      <c r="BU13" s="58">
        <v>34.477699999999999</v>
      </c>
      <c r="BV13" s="58">
        <v>-262.3057</v>
      </c>
      <c r="BW13" s="61"/>
      <c r="BY13" s="58"/>
      <c r="BZ13" s="58"/>
      <c r="CA13" s="58"/>
      <c r="CC13" s="58"/>
    </row>
    <row r="14" spans="1:81" x14ac:dyDescent="0.25">
      <c r="A14">
        <v>6</v>
      </c>
      <c r="B14">
        <f t="shared" si="33"/>
        <v>6.0000000000000001E-3</v>
      </c>
      <c r="C14">
        <f t="shared" si="0"/>
        <v>1.000000000012951</v>
      </c>
      <c r="D14">
        <f t="shared" si="1"/>
        <v>5.0893800929560589E-6</v>
      </c>
      <c r="F14">
        <f t="shared" si="2"/>
        <v>0.97701221176314701</v>
      </c>
      <c r="G14">
        <f t="shared" si="3"/>
        <v>-5.1621080174518545E-4</v>
      </c>
      <c r="H14">
        <f t="shared" si="4"/>
        <v>-5.1621080174518545E-4</v>
      </c>
      <c r="J14">
        <f t="shared" si="5"/>
        <v>15</v>
      </c>
      <c r="M14">
        <f t="shared" si="6"/>
        <v>444.94471079843328</v>
      </c>
      <c r="N14">
        <f t="shared" si="7"/>
        <v>-1.5707963250000001</v>
      </c>
      <c r="O14">
        <f t="shared" si="8"/>
        <v>1.0000013078156837</v>
      </c>
      <c r="P14">
        <f t="shared" si="9"/>
        <v>1.6172904861414866E-3</v>
      </c>
      <c r="Q14">
        <f t="shared" si="10"/>
        <v>1.0000011733055867</v>
      </c>
      <c r="R14">
        <f t="shared" si="11"/>
        <v>1.5318645106511212E-3</v>
      </c>
      <c r="S14">
        <f t="shared" si="12"/>
        <v>0.99999999924024552</v>
      </c>
      <c r="T14">
        <f t="shared" si="13"/>
        <v>-3.8980881581456059E-5</v>
      </c>
      <c r="U14">
        <f t="shared" si="14"/>
        <v>0.99999999998283151</v>
      </c>
      <c r="V14">
        <f t="shared" si="15"/>
        <v>-5.8597532471068453E-6</v>
      </c>
      <c r="X14">
        <f t="shared" si="34"/>
        <v>76.285967536743456</v>
      </c>
      <c r="Y14">
        <f t="shared" si="16"/>
        <v>-89.851420988887227</v>
      </c>
      <c r="Z14">
        <f t="shared" si="35"/>
        <v>90.148579011112773</v>
      </c>
      <c r="AC14">
        <v>1</v>
      </c>
      <c r="AD14">
        <f t="shared" si="17"/>
        <v>1.61729189622E-3</v>
      </c>
      <c r="AE14">
        <f t="shared" si="18"/>
        <v>-7.316456161059814E-13</v>
      </c>
      <c r="AF14">
        <f t="shared" si="19"/>
        <v>1.2485945828159998E-7</v>
      </c>
      <c r="AG14">
        <f t="shared" si="36"/>
        <v>12905.967758431041</v>
      </c>
      <c r="AH14">
        <f t="shared" si="37"/>
        <v>-8009004.8699975871</v>
      </c>
      <c r="AJ14">
        <f t="shared" si="20"/>
        <v>18000</v>
      </c>
      <c r="AK14">
        <f t="shared" si="21"/>
        <v>0.70165586882160003</v>
      </c>
      <c r="AL14">
        <v>1</v>
      </c>
      <c r="AM14">
        <f t="shared" si="22"/>
        <v>1.5318657088811999E-3</v>
      </c>
      <c r="AN14">
        <f t="shared" si="38"/>
        <v>17999.958835913258</v>
      </c>
      <c r="AO14">
        <f t="shared" si="39"/>
        <v>-26.871863833187085</v>
      </c>
      <c r="AQ14">
        <f t="shared" si="23"/>
        <v>9998.5602073301452</v>
      </c>
      <c r="AR14">
        <f t="shared" si="24"/>
        <v>-119.98272248796174</v>
      </c>
      <c r="AT14">
        <f t="shared" si="40"/>
        <v>-831901113.05512011</v>
      </c>
      <c r="AU14">
        <f t="shared" si="41"/>
        <v>-80080065886.619217</v>
      </c>
      <c r="AV14">
        <f t="shared" si="42"/>
        <v>-1.5811843201117635</v>
      </c>
      <c r="AW14">
        <f t="shared" si="25"/>
        <v>180006457.18147007</v>
      </c>
      <c r="AX14">
        <f t="shared" si="26"/>
        <v>-53485802.045749597</v>
      </c>
      <c r="AY14">
        <f t="shared" si="50"/>
        <v>-0.28882415928126604</v>
      </c>
      <c r="BA14">
        <f t="shared" si="27"/>
        <v>426.4694081097374</v>
      </c>
      <c r="BB14">
        <f t="shared" si="43"/>
        <v>52.597757668305853</v>
      </c>
      <c r="BC14">
        <f t="shared" si="44"/>
        <v>-1.2923601608304973</v>
      </c>
      <c r="BD14">
        <f t="shared" si="28"/>
        <v>-254.04678291104656</v>
      </c>
      <c r="BF14">
        <f t="shared" si="29"/>
        <v>75.917582690298516</v>
      </c>
      <c r="BG14">
        <f t="shared" si="30"/>
        <v>-74.076068011359425</v>
      </c>
      <c r="BH14">
        <f t="shared" si="45"/>
        <v>105.92393198864058</v>
      </c>
      <c r="BI14">
        <f t="shared" si="46"/>
        <v>105.92393198864058</v>
      </c>
      <c r="BJ14">
        <f t="shared" si="31"/>
        <v>0</v>
      </c>
      <c r="BK14">
        <f t="shared" si="47"/>
        <v>0</v>
      </c>
      <c r="BM14">
        <f t="shared" si="48"/>
        <v>23.319825021992663</v>
      </c>
      <c r="BN14">
        <f t="shared" si="32"/>
        <v>-2.9285100312862425E-2</v>
      </c>
      <c r="BQ14" s="56">
        <f t="shared" si="49"/>
        <v>69.499718468590984</v>
      </c>
      <c r="BR14" s="58"/>
      <c r="BS14" s="58"/>
      <c r="BT14" s="58">
        <v>109.648</v>
      </c>
      <c r="BU14" s="58">
        <v>34.114400000000003</v>
      </c>
      <c r="BV14" s="58">
        <v>-262.76620000000003</v>
      </c>
      <c r="BW14" s="61"/>
      <c r="BY14" s="58"/>
      <c r="BZ14" s="58"/>
      <c r="CA14" s="58"/>
      <c r="CC14" s="58"/>
    </row>
    <row r="15" spans="1:81" x14ac:dyDescent="0.25">
      <c r="A15">
        <v>7</v>
      </c>
      <c r="B15">
        <f t="shared" si="33"/>
        <v>7.0000000000000001E-3</v>
      </c>
      <c r="C15">
        <f t="shared" si="0"/>
        <v>1.0000000000176277</v>
      </c>
      <c r="D15">
        <f t="shared" si="1"/>
        <v>5.9376101084302236E-6</v>
      </c>
      <c r="F15">
        <f t="shared" si="2"/>
        <v>0.97701279378574213</v>
      </c>
      <c r="G15">
        <f t="shared" si="3"/>
        <v>-6.0224630379613654E-4</v>
      </c>
      <c r="H15">
        <f t="shared" si="4"/>
        <v>-6.0224630379613654E-4</v>
      </c>
      <c r="J15">
        <f t="shared" si="5"/>
        <v>15</v>
      </c>
      <c r="M15">
        <f t="shared" si="6"/>
        <v>381.38118068437143</v>
      </c>
      <c r="N15">
        <f t="shared" si="7"/>
        <v>-1.5707963250000001</v>
      </c>
      <c r="O15">
        <f t="shared" si="8"/>
        <v>1.000001780082038</v>
      </c>
      <c r="P15">
        <f t="shared" si="9"/>
        <v>1.8868383064388145E-3</v>
      </c>
      <c r="Q15">
        <f t="shared" si="10"/>
        <v>1.0000015969989324</v>
      </c>
      <c r="R15">
        <f t="shared" si="11"/>
        <v>1.7871747576173813E-3</v>
      </c>
      <c r="S15">
        <f t="shared" si="12"/>
        <v>0.99999999896588965</v>
      </c>
      <c r="T15">
        <f t="shared" si="13"/>
        <v>-4.5477695170047359E-5</v>
      </c>
      <c r="U15">
        <f t="shared" si="14"/>
        <v>0.99999999997663203</v>
      </c>
      <c r="V15">
        <f t="shared" si="15"/>
        <v>-6.8363787882630639E-6</v>
      </c>
      <c r="X15">
        <f t="shared" si="34"/>
        <v>74.947044698259475</v>
      </c>
      <c r="Y15">
        <f t="shared" si="16"/>
        <v>-89.826657904437781</v>
      </c>
      <c r="Z15">
        <f t="shared" si="35"/>
        <v>90.173342095562219</v>
      </c>
      <c r="AC15">
        <v>1</v>
      </c>
      <c r="AD15">
        <f t="shared" si="17"/>
        <v>1.8868405455899999E-3</v>
      </c>
      <c r="AE15">
        <f t="shared" si="18"/>
        <v>-9.9585097747758587E-13</v>
      </c>
      <c r="AF15">
        <f t="shared" si="19"/>
        <v>1.4566936799519999E-7</v>
      </c>
      <c r="AG15">
        <f t="shared" si="36"/>
        <v>12905.967758271012</v>
      </c>
      <c r="AH15">
        <f t="shared" si="37"/>
        <v>-6864861.3405487696</v>
      </c>
      <c r="AJ15">
        <f t="shared" si="20"/>
        <v>18000</v>
      </c>
      <c r="AK15">
        <f t="shared" si="21"/>
        <v>0.81859851362520009</v>
      </c>
      <c r="AL15">
        <v>1</v>
      </c>
      <c r="AM15">
        <f t="shared" si="22"/>
        <v>1.7871766603614E-3</v>
      </c>
      <c r="AN15">
        <f t="shared" si="38"/>
        <v>17999.943971151639</v>
      </c>
      <c r="AO15">
        <f t="shared" si="39"/>
        <v>-31.350481239429897</v>
      </c>
      <c r="AQ15">
        <f t="shared" si="23"/>
        <v>9998.0403840847193</v>
      </c>
      <c r="AR15">
        <f t="shared" si="24"/>
        <v>-139.97256537718607</v>
      </c>
      <c r="AT15">
        <f t="shared" si="40"/>
        <v>-831857865.95239091</v>
      </c>
      <c r="AU15">
        <f t="shared" si="41"/>
        <v>-68636967395.364365</v>
      </c>
      <c r="AV15">
        <f t="shared" si="42"/>
        <v>-1.5829154103081291</v>
      </c>
      <c r="AW15">
        <f t="shared" si="25"/>
        <v>179995787.70014611</v>
      </c>
      <c r="AX15">
        <f t="shared" si="26"/>
        <v>-46596470.073919907</v>
      </c>
      <c r="AY15">
        <f t="shared" si="50"/>
        <v>-0.25331431987998027</v>
      </c>
      <c r="BA15">
        <f t="shared" si="27"/>
        <v>369.18333039455194</v>
      </c>
      <c r="BB15">
        <f t="shared" si="43"/>
        <v>51.34484166500269</v>
      </c>
      <c r="BC15">
        <f t="shared" si="44"/>
        <v>-1.3296010904281488</v>
      </c>
      <c r="BD15">
        <f t="shared" si="28"/>
        <v>-256.18053100457399</v>
      </c>
      <c r="BF15">
        <f t="shared" si="29"/>
        <v>74.664671861364866</v>
      </c>
      <c r="BG15">
        <f t="shared" si="30"/>
        <v>-76.214696976048288</v>
      </c>
      <c r="BH15">
        <f t="shared" si="45"/>
        <v>103.78530302395171</v>
      </c>
      <c r="BI15">
        <f t="shared" si="46"/>
        <v>103.78530302395171</v>
      </c>
      <c r="BJ15">
        <f t="shared" si="31"/>
        <v>0</v>
      </c>
      <c r="BK15">
        <f t="shared" si="47"/>
        <v>0</v>
      </c>
      <c r="BM15">
        <f t="shared" si="48"/>
        <v>23.319830196362183</v>
      </c>
      <c r="BN15">
        <f t="shared" si="32"/>
        <v>-3.4165971474305279E-2</v>
      </c>
      <c r="BQ15" s="56">
        <f t="shared" si="49"/>
        <v>68.246802465287828</v>
      </c>
      <c r="BR15" s="58"/>
      <c r="BS15" s="58"/>
      <c r="BT15" s="58">
        <v>112.202</v>
      </c>
      <c r="BU15" s="58">
        <v>34.297699999999999</v>
      </c>
      <c r="BV15" s="58">
        <v>-267.01279999999997</v>
      </c>
      <c r="BW15" s="61"/>
      <c r="BY15" s="58"/>
      <c r="BZ15" s="58"/>
      <c r="CA15" s="58"/>
      <c r="CC15" s="58"/>
    </row>
    <row r="16" spans="1:81" x14ac:dyDescent="0.25">
      <c r="A16">
        <v>8</v>
      </c>
      <c r="B16">
        <f t="shared" si="33"/>
        <v>8.0000000000000002E-3</v>
      </c>
      <c r="C16">
        <f t="shared" si="0"/>
        <v>1.0000000000230238</v>
      </c>
      <c r="D16">
        <f t="shared" si="1"/>
        <v>6.7858401238958435E-6</v>
      </c>
      <c r="F16">
        <f t="shared" si="2"/>
        <v>0.97701346535106404</v>
      </c>
      <c r="G16">
        <f t="shared" si="3"/>
        <v>-6.8828197589081055E-4</v>
      </c>
      <c r="H16">
        <f t="shared" si="4"/>
        <v>-6.8828197589081055E-4</v>
      </c>
      <c r="J16">
        <f t="shared" si="5"/>
        <v>15</v>
      </c>
      <c r="M16">
        <f t="shared" si="6"/>
        <v>333.70853309882494</v>
      </c>
      <c r="N16">
        <f t="shared" si="7"/>
        <v>-1.5707963250000001</v>
      </c>
      <c r="O16">
        <f t="shared" si="8"/>
        <v>1.0000023250044774</v>
      </c>
      <c r="P16">
        <f t="shared" si="9"/>
        <v>2.1563858525557515E-3</v>
      </c>
      <c r="Q16">
        <f t="shared" si="10"/>
        <v>1.0000020858756469</v>
      </c>
      <c r="R16">
        <f t="shared" si="11"/>
        <v>2.0424847715956348E-3</v>
      </c>
      <c r="S16">
        <f t="shared" si="12"/>
        <v>0.99999999864932532</v>
      </c>
      <c r="T16">
        <f t="shared" si="13"/>
        <v>-5.1974508754799561E-5</v>
      </c>
      <c r="U16">
        <f t="shared" si="14"/>
        <v>0.99999999996947864</v>
      </c>
      <c r="V16">
        <f t="shared" si="15"/>
        <v>-7.8130043294062416E-6</v>
      </c>
      <c r="X16">
        <f t="shared" si="34"/>
        <v>73.787220705771347</v>
      </c>
      <c r="Y16">
        <f t="shared" si="16"/>
        <v>-89.801894858789524</v>
      </c>
      <c r="Z16">
        <f t="shared" si="35"/>
        <v>90.198105141210476</v>
      </c>
      <c r="AC16">
        <v>1</v>
      </c>
      <c r="AD16">
        <f t="shared" si="17"/>
        <v>2.1563891949600003E-3</v>
      </c>
      <c r="AE16">
        <f t="shared" si="18"/>
        <v>-1.3007033175217448E-12</v>
      </c>
      <c r="AF16">
        <f t="shared" si="19"/>
        <v>1.6647927770879999E-7</v>
      </c>
      <c r="AG16">
        <f t="shared" si="36"/>
        <v>12905.96775808637</v>
      </c>
      <c r="AH16">
        <f t="shared" si="37"/>
        <v>-6006753.6966132317</v>
      </c>
      <c r="AJ16">
        <f t="shared" si="20"/>
        <v>18000</v>
      </c>
      <c r="AK16">
        <f t="shared" si="21"/>
        <v>0.93554115842880003</v>
      </c>
      <c r="AL16">
        <v>1</v>
      </c>
      <c r="AM16">
        <f t="shared" si="22"/>
        <v>2.0424876118415999E-3</v>
      </c>
      <c r="AN16">
        <f t="shared" si="38"/>
        <v>17999.926819534918</v>
      </c>
      <c r="AO16">
        <f t="shared" si="39"/>
        <v>-35.82908638452664</v>
      </c>
      <c r="AQ16">
        <f t="shared" si="23"/>
        <v>9997.4406551922712</v>
      </c>
      <c r="AR16">
        <f t="shared" si="24"/>
        <v>-159.95905048307634</v>
      </c>
      <c r="AT16">
        <f t="shared" si="40"/>
        <v>-831807971.03666806</v>
      </c>
      <c r="AU16">
        <f t="shared" si="41"/>
        <v>-60054228038.595734</v>
      </c>
      <c r="AV16">
        <f t="shared" si="42"/>
        <v>-1.5846463888230138</v>
      </c>
      <c r="AW16">
        <f t="shared" si="25"/>
        <v>179983478.14139158</v>
      </c>
      <c r="AX16">
        <f t="shared" si="26"/>
        <v>-41530547.830562703</v>
      </c>
      <c r="AY16">
        <f t="shared" si="50"/>
        <v>-0.2267772147445771</v>
      </c>
      <c r="BA16">
        <f t="shared" si="27"/>
        <v>325.15326787901836</v>
      </c>
      <c r="BB16">
        <f t="shared" si="43"/>
        <v>50.241762462876707</v>
      </c>
      <c r="BC16">
        <f t="shared" si="44"/>
        <v>-1.3578691740784368</v>
      </c>
      <c r="BD16">
        <f t="shared" si="28"/>
        <v>-257.80017289450899</v>
      </c>
      <c r="BF16">
        <f t="shared" si="29"/>
        <v>73.561598629668453</v>
      </c>
      <c r="BG16">
        <f t="shared" si="30"/>
        <v>-77.839219746887494</v>
      </c>
      <c r="BH16">
        <f t="shared" si="45"/>
        <v>102.16078025311251</v>
      </c>
      <c r="BI16">
        <f t="shared" si="46"/>
        <v>102.16078025311251</v>
      </c>
      <c r="BJ16">
        <f t="shared" si="31"/>
        <v>0</v>
      </c>
      <c r="BK16">
        <f t="shared" si="47"/>
        <v>0</v>
      </c>
      <c r="BM16">
        <f t="shared" si="48"/>
        <v>23.319836166791738</v>
      </c>
      <c r="BN16">
        <f t="shared" si="32"/>
        <v>-3.9046852378536293E-2</v>
      </c>
      <c r="BQ16" s="56">
        <f t="shared" si="49"/>
        <v>67.143723263161846</v>
      </c>
      <c r="BR16" s="59"/>
      <c r="BS16" s="59"/>
      <c r="BT16" s="59">
        <v>114.815</v>
      </c>
      <c r="BU16" s="59">
        <v>33.346499999999999</v>
      </c>
      <c r="BV16" s="59">
        <v>-266.20479999999998</v>
      </c>
      <c r="BW16" s="61"/>
      <c r="BY16" s="59"/>
      <c r="BZ16" s="59"/>
      <c r="CA16" s="59"/>
      <c r="CC16" s="59"/>
    </row>
    <row r="17" spans="1:81" x14ac:dyDescent="0.25">
      <c r="A17">
        <v>9</v>
      </c>
      <c r="B17">
        <f t="shared" si="33"/>
        <v>8.9999999999999993E-3</v>
      </c>
      <c r="C17">
        <f t="shared" si="0"/>
        <v>1.0000000000291394</v>
      </c>
      <c r="D17">
        <f t="shared" si="1"/>
        <v>7.6340701393516988E-6</v>
      </c>
      <c r="F17">
        <f t="shared" si="2"/>
        <v>0.97701422645945124</v>
      </c>
      <c r="G17">
        <f t="shared" si="3"/>
        <v>-7.7431784232160131E-4</v>
      </c>
      <c r="H17">
        <f t="shared" si="4"/>
        <v>-7.7431784232160131E-4</v>
      </c>
      <c r="J17">
        <f t="shared" si="5"/>
        <v>15</v>
      </c>
      <c r="M17">
        <f t="shared" si="6"/>
        <v>296.62980719895552</v>
      </c>
      <c r="N17">
        <f t="shared" si="7"/>
        <v>-1.5707963250000001</v>
      </c>
      <c r="O17">
        <f t="shared" si="8"/>
        <v>1.0000029425828829</v>
      </c>
      <c r="P17">
        <f t="shared" si="9"/>
        <v>2.4259330853243521E-3</v>
      </c>
      <c r="Q17">
        <f t="shared" si="10"/>
        <v>1.0000026399356341</v>
      </c>
      <c r="R17">
        <f t="shared" si="11"/>
        <v>2.2977945193024016E-3</v>
      </c>
      <c r="S17">
        <f t="shared" si="12"/>
        <v>0.99999999829055231</v>
      </c>
      <c r="T17">
        <f t="shared" si="13"/>
        <v>-5.8471322335164212E-5</v>
      </c>
      <c r="U17">
        <f t="shared" si="14"/>
        <v>0.99999999996137134</v>
      </c>
      <c r="V17">
        <f t="shared" si="15"/>
        <v>-8.789629870534514E-6</v>
      </c>
      <c r="X17">
        <f t="shared" si="34"/>
        <v>72.764187196824267</v>
      </c>
      <c r="Y17">
        <f t="shared" si="16"/>
        <v>-89.777131857485415</v>
      </c>
      <c r="Z17">
        <f t="shared" si="35"/>
        <v>90.222868142514585</v>
      </c>
      <c r="AC17">
        <v>1</v>
      </c>
      <c r="AD17">
        <f t="shared" si="17"/>
        <v>2.4259378443300004E-3</v>
      </c>
      <c r="AE17">
        <f t="shared" si="18"/>
        <v>-1.6462026362384582E-12</v>
      </c>
      <c r="AF17">
        <f t="shared" si="19"/>
        <v>1.872891874224E-7</v>
      </c>
      <c r="AG17">
        <f t="shared" si="36"/>
        <v>12905.967757877106</v>
      </c>
      <c r="AH17">
        <f t="shared" si="37"/>
        <v>-5339336.6430198792</v>
      </c>
      <c r="AJ17">
        <f t="shared" si="20"/>
        <v>18000</v>
      </c>
      <c r="AK17">
        <f t="shared" si="21"/>
        <v>1.0524838032324</v>
      </c>
      <c r="AL17">
        <v>1</v>
      </c>
      <c r="AM17">
        <f t="shared" si="22"/>
        <v>2.2977985633218E-3</v>
      </c>
      <c r="AN17">
        <f t="shared" si="38"/>
        <v>17999.907381076515</v>
      </c>
      <c r="AO17">
        <f t="shared" si="39"/>
        <v>-40.307677516930674</v>
      </c>
      <c r="AQ17">
        <f t="shared" si="23"/>
        <v>9996.7610494199889</v>
      </c>
      <c r="AR17">
        <f t="shared" si="24"/>
        <v>-179.94169888955977</v>
      </c>
      <c r="AT17">
        <f t="shared" si="40"/>
        <v>-831751430.70125997</v>
      </c>
      <c r="AU17">
        <f t="shared" si="41"/>
        <v>-53378394904.446175</v>
      </c>
      <c r="AV17">
        <f t="shared" si="42"/>
        <v>-1.5863772397172688</v>
      </c>
      <c r="AW17">
        <f t="shared" si="25"/>
        <v>179969529.09684232</v>
      </c>
      <c r="AX17">
        <f t="shared" si="26"/>
        <v>-37680199.211646073</v>
      </c>
      <c r="AY17">
        <f t="shared" si="50"/>
        <v>-0.20638861505293249</v>
      </c>
      <c r="BA17">
        <f t="shared" si="27"/>
        <v>290.33752140984757</v>
      </c>
      <c r="BB17">
        <f t="shared" si="43"/>
        <v>49.258063299358277</v>
      </c>
      <c r="BC17">
        <f t="shared" si="44"/>
        <v>-1.3799886246643362</v>
      </c>
      <c r="BD17">
        <f t="shared" si="28"/>
        <v>-259.06752405967734</v>
      </c>
      <c r="BF17">
        <f t="shared" si="29"/>
        <v>72.57790623264097</v>
      </c>
      <c r="BG17">
        <f t="shared" si="30"/>
        <v>-79.111451804094742</v>
      </c>
      <c r="BH17">
        <f t="shared" si="45"/>
        <v>100.88854819590526</v>
      </c>
      <c r="BI17">
        <f t="shared" si="46"/>
        <v>100.88854819590526</v>
      </c>
      <c r="BJ17">
        <f t="shared" si="31"/>
        <v>0</v>
      </c>
      <c r="BK17">
        <f t="shared" si="47"/>
        <v>0</v>
      </c>
      <c r="BM17">
        <f t="shared" si="48"/>
        <v>23.31984293328269</v>
      </c>
      <c r="BN17">
        <f t="shared" si="32"/>
        <v>-4.3927744417407176E-2</v>
      </c>
      <c r="BQ17" s="56">
        <f t="shared" si="49"/>
        <v>66.160024099643408</v>
      </c>
      <c r="BR17" s="59"/>
      <c r="BS17" s="59"/>
      <c r="BT17" s="59">
        <v>117.49</v>
      </c>
      <c r="BU17" s="59">
        <v>33.0246</v>
      </c>
      <c r="BV17" s="59">
        <v>-264.9049</v>
      </c>
      <c r="BW17" s="61"/>
      <c r="BY17" s="59"/>
      <c r="BZ17" s="59"/>
      <c r="CA17" s="59"/>
      <c r="CC17" s="59"/>
    </row>
    <row r="18" spans="1:81" x14ac:dyDescent="0.25">
      <c r="A18">
        <v>10</v>
      </c>
      <c r="B18">
        <f t="shared" si="33"/>
        <v>0.01</v>
      </c>
      <c r="C18">
        <f t="shared" si="0"/>
        <v>1.0000000000359748</v>
      </c>
      <c r="D18">
        <f t="shared" si="1"/>
        <v>8.4823001547965689E-6</v>
      </c>
      <c r="F18">
        <f t="shared" si="2"/>
        <v>0.9770150771112871</v>
      </c>
      <c r="G18">
        <f t="shared" si="3"/>
        <v>-8.6035392738107559E-4</v>
      </c>
      <c r="H18">
        <f t="shared" si="4"/>
        <v>-8.6035392738107559E-4</v>
      </c>
      <c r="J18">
        <f t="shared" si="5"/>
        <v>15</v>
      </c>
      <c r="M18">
        <f t="shared" si="6"/>
        <v>266.96682647905999</v>
      </c>
      <c r="N18">
        <f t="shared" si="7"/>
        <v>-1.5707963250000001</v>
      </c>
      <c r="O18">
        <f t="shared" si="8"/>
        <v>1.0000036328171202</v>
      </c>
      <c r="P18">
        <f t="shared" si="9"/>
        <v>2.6954799655769467E-3</v>
      </c>
      <c r="Q18">
        <f t="shared" si="10"/>
        <v>1.0000032591787862</v>
      </c>
      <c r="R18">
        <f t="shared" si="11"/>
        <v>2.5531039674544097E-3</v>
      </c>
      <c r="S18">
        <f t="shared" si="12"/>
        <v>0.99999999788957061</v>
      </c>
      <c r="T18">
        <f t="shared" si="13"/>
        <v>-6.4968135910592898E-5</v>
      </c>
      <c r="U18">
        <f t="shared" si="14"/>
        <v>0.99999999995231015</v>
      </c>
      <c r="V18">
        <f t="shared" si="15"/>
        <v>-9.766255411646022E-6</v>
      </c>
      <c r="X18">
        <f t="shared" si="34"/>
        <v>71.849056318543603</v>
      </c>
      <c r="Y18">
        <f t="shared" si="16"/>
        <v>-89.752368906068426</v>
      </c>
      <c r="Z18">
        <f t="shared" si="35"/>
        <v>90.247631093931574</v>
      </c>
      <c r="AC18">
        <v>1</v>
      </c>
      <c r="AD18">
        <f t="shared" si="17"/>
        <v>2.6954864937000001E-3</v>
      </c>
      <c r="AE18">
        <f t="shared" si="18"/>
        <v>-2.0323489336277261E-12</v>
      </c>
      <c r="AF18">
        <f t="shared" si="19"/>
        <v>2.0809909713599998E-7</v>
      </c>
      <c r="AG18">
        <f t="shared" si="36"/>
        <v>12905.967757643222</v>
      </c>
      <c r="AH18">
        <f t="shared" si="37"/>
        <v>-4805403.0026660571</v>
      </c>
      <c r="AJ18">
        <f t="shared" si="20"/>
        <v>18000</v>
      </c>
      <c r="AK18">
        <f t="shared" si="21"/>
        <v>1.1694264480360002</v>
      </c>
      <c r="AL18">
        <v>1</v>
      </c>
      <c r="AM18">
        <f t="shared" si="22"/>
        <v>2.5531095148020001E-3</v>
      </c>
      <c r="AN18">
        <f t="shared" si="38"/>
        <v>17999.885655791626</v>
      </c>
      <c r="AO18">
        <f t="shared" si="39"/>
        <v>-44.78625288511364</v>
      </c>
      <c r="AQ18">
        <f t="shared" si="23"/>
        <v>9996.0015993602556</v>
      </c>
      <c r="AR18">
        <f t="shared" si="24"/>
        <v>-199.92003198720514</v>
      </c>
      <c r="AT18">
        <f t="shared" si="40"/>
        <v>-831688247.65771627</v>
      </c>
      <c r="AU18">
        <f t="shared" si="41"/>
        <v>-48037396261.707413</v>
      </c>
      <c r="AV18">
        <f t="shared" si="42"/>
        <v>-1.5881079470578818</v>
      </c>
      <c r="AW18">
        <f t="shared" si="25"/>
        <v>179953941.23680425</v>
      </c>
      <c r="AX18">
        <f t="shared" si="26"/>
        <v>-34680718.622131087</v>
      </c>
      <c r="AY18">
        <f t="shared" si="50"/>
        <v>-0.19038583449110352</v>
      </c>
      <c r="BA18">
        <f t="shared" si="27"/>
        <v>262.15870223234793</v>
      </c>
      <c r="BB18">
        <f t="shared" si="43"/>
        <v>48.371285569719753</v>
      </c>
      <c r="BC18">
        <f t="shared" si="44"/>
        <v>-1.3977221125667783</v>
      </c>
      <c r="BD18">
        <f t="shared" si="28"/>
        <v>-260.08357807369458</v>
      </c>
      <c r="BF18">
        <f t="shared" si="29"/>
        <v>71.69113606555635</v>
      </c>
      <c r="BG18">
        <f t="shared" si="30"/>
        <v>-80.132386722677367</v>
      </c>
      <c r="BH18">
        <f t="shared" si="45"/>
        <v>99.867613277322633</v>
      </c>
      <c r="BI18">
        <f t="shared" si="46"/>
        <v>99.867613277322633</v>
      </c>
      <c r="BJ18">
        <f t="shared" si="31"/>
        <v>0</v>
      </c>
      <c r="BK18">
        <f t="shared" si="47"/>
        <v>0</v>
      </c>
      <c r="BM18">
        <f t="shared" si="48"/>
        <v>23.319850495836597</v>
      </c>
      <c r="BN18">
        <f t="shared" si="32"/>
        <v>-4.8808648982779548E-2</v>
      </c>
      <c r="BQ18" s="56">
        <f t="shared" si="49"/>
        <v>65.273246370004884</v>
      </c>
      <c r="BR18" s="59"/>
      <c r="BS18" s="59"/>
      <c r="BT18" s="59">
        <v>120.226</v>
      </c>
      <c r="BU18" s="59">
        <v>33.735999999999997</v>
      </c>
      <c r="BV18" s="59">
        <v>-269.98079999999999</v>
      </c>
      <c r="BW18" s="61"/>
      <c r="BY18" s="59"/>
      <c r="BZ18" s="59"/>
      <c r="CA18" s="59"/>
      <c r="CC18" s="59"/>
    </row>
    <row r="19" spans="1:81" x14ac:dyDescent="0.25">
      <c r="A19">
        <f>A10*10</f>
        <v>20</v>
      </c>
      <c r="B19">
        <f t="shared" si="33"/>
        <v>0.02</v>
      </c>
      <c r="C19">
        <f t="shared" si="0"/>
        <v>1.0000000001438987</v>
      </c>
      <c r="D19">
        <f t="shared" si="1"/>
        <v>1.6964600308372543E-5</v>
      </c>
      <c r="F19">
        <f t="shared" si="2"/>
        <v>0.97702850863590573</v>
      </c>
      <c r="G19">
        <f t="shared" si="3"/>
        <v>-1.72073214708527E-3</v>
      </c>
      <c r="H19">
        <f t="shared" si="4"/>
        <v>-1.72073214708527E-3</v>
      </c>
      <c r="J19">
        <f t="shared" si="5"/>
        <v>15</v>
      </c>
      <c r="M19">
        <f t="shared" si="6"/>
        <v>133.48341323952999</v>
      </c>
      <c r="N19">
        <f t="shared" si="7"/>
        <v>-1.5707963250000001</v>
      </c>
      <c r="O19">
        <f t="shared" si="8"/>
        <v>1.0000145311892976</v>
      </c>
      <c r="P19">
        <f t="shared" si="9"/>
        <v>5.3909207630985639E-3</v>
      </c>
      <c r="Q19">
        <f t="shared" si="10"/>
        <v>1.0000130366514119</v>
      </c>
      <c r="R19">
        <f t="shared" si="11"/>
        <v>5.1061746513439655E-3</v>
      </c>
      <c r="S19">
        <f t="shared" si="12"/>
        <v>0.99999999155828279</v>
      </c>
      <c r="T19">
        <f t="shared" si="13"/>
        <v>-1.2993627127274316E-4</v>
      </c>
      <c r="U19">
        <f t="shared" si="14"/>
        <v>0.99999999980924059</v>
      </c>
      <c r="V19">
        <f t="shared" si="15"/>
        <v>-1.9532510821429036E-5</v>
      </c>
      <c r="X19">
        <f t="shared" si="34"/>
        <v>65.828755345054844</v>
      </c>
      <c r="Y19">
        <f t="shared" si="16"/>
        <v>-89.504743355125015</v>
      </c>
      <c r="Z19">
        <f t="shared" si="35"/>
        <v>90.495256644874985</v>
      </c>
      <c r="AC19">
        <v>1</v>
      </c>
      <c r="AD19">
        <f t="shared" si="17"/>
        <v>5.3909729874000003E-3</v>
      </c>
      <c r="AE19">
        <f t="shared" si="18"/>
        <v>-8.1293957345109045E-12</v>
      </c>
      <c r="AF19">
        <f t="shared" si="19"/>
        <v>4.1619819427199996E-7</v>
      </c>
      <c r="AG19">
        <f t="shared" si="36"/>
        <v>12905.967753950317</v>
      </c>
      <c r="AH19">
        <f t="shared" si="37"/>
        <v>-2402701.6903974949</v>
      </c>
      <c r="AJ19">
        <f t="shared" si="20"/>
        <v>18000</v>
      </c>
      <c r="AK19">
        <f t="shared" si="21"/>
        <v>2.3388528960720003</v>
      </c>
      <c r="AL19">
        <v>1</v>
      </c>
      <c r="AM19">
        <f t="shared" si="22"/>
        <v>5.1062190296040002E-3</v>
      </c>
      <c r="AN19">
        <f t="shared" si="38"/>
        <v>17999.542632110322</v>
      </c>
      <c r="AO19">
        <f t="shared" si="39"/>
        <v>-89.570754216178216</v>
      </c>
      <c r="AQ19">
        <f t="shared" si="23"/>
        <v>9984.0255591054301</v>
      </c>
      <c r="AR19">
        <f t="shared" si="24"/>
        <v>-399.36102236421721</v>
      </c>
      <c r="AT19">
        <f t="shared" si="40"/>
        <v>-830691891.59294605</v>
      </c>
      <c r="AU19">
        <f t="shared" si="41"/>
        <v>-23993789228.31123</v>
      </c>
      <c r="AV19">
        <f t="shared" si="42"/>
        <v>-1.6054036256659094</v>
      </c>
      <c r="AW19">
        <f t="shared" si="25"/>
        <v>179708131.31216055</v>
      </c>
      <c r="AX19">
        <f t="shared" si="26"/>
        <v>-23399922.338452075</v>
      </c>
      <c r="AY19">
        <f t="shared" si="50"/>
        <v>-0.12948220099596097</v>
      </c>
      <c r="BA19">
        <f t="shared" si="27"/>
        <v>132.47697468308348</v>
      </c>
      <c r="BB19">
        <f t="shared" si="43"/>
        <v>42.442808035337087</v>
      </c>
      <c r="BC19">
        <f t="shared" si="44"/>
        <v>-1.4759214246699486</v>
      </c>
      <c r="BD19">
        <f t="shared" si="28"/>
        <v>-264.56406862315225</v>
      </c>
      <c r="BF19">
        <f t="shared" si="29"/>
        <v>65.762777940645648</v>
      </c>
      <c r="BG19">
        <f t="shared" si="30"/>
        <v>-84.661687312965455</v>
      </c>
      <c r="BH19">
        <f t="shared" si="45"/>
        <v>95.338312687034545</v>
      </c>
      <c r="BI19">
        <f t="shared" si="46"/>
        <v>95.338312687034545</v>
      </c>
      <c r="BJ19">
        <f t="shared" si="31"/>
        <v>0</v>
      </c>
      <c r="BK19">
        <f t="shared" si="47"/>
        <v>0</v>
      </c>
      <c r="BM19">
        <f t="shared" si="48"/>
        <v>23.319969905308568</v>
      </c>
      <c r="BN19">
        <f t="shared" si="32"/>
        <v>-9.7618689813219903E-2</v>
      </c>
      <c r="BQ19" s="56">
        <f t="shared" si="49"/>
        <v>59.344768835622226</v>
      </c>
      <c r="BR19" s="59"/>
      <c r="BS19" s="59"/>
      <c r="BT19" s="59">
        <v>123.027</v>
      </c>
      <c r="BU19" s="59">
        <v>32.764899999999997</v>
      </c>
      <c r="BV19" s="59">
        <v>-265.73410000000001</v>
      </c>
      <c r="BW19" s="61"/>
      <c r="BY19" s="59"/>
      <c r="BZ19" s="59"/>
      <c r="CA19" s="59"/>
      <c r="CC19" s="59"/>
    </row>
    <row r="20" spans="1:81" x14ac:dyDescent="0.25">
      <c r="A20">
        <f t="shared" ref="A20:A36" si="51">A11*10</f>
        <v>30</v>
      </c>
      <c r="B20">
        <f t="shared" si="33"/>
        <v>0.03</v>
      </c>
      <c r="C20">
        <f t="shared" si="0"/>
        <v>1.0000000003237723</v>
      </c>
      <c r="D20">
        <f t="shared" si="1"/>
        <v>2.5446900459507332E-5</v>
      </c>
      <c r="F20">
        <f t="shared" si="2"/>
        <v>0.97705089526199052</v>
      </c>
      <c r="G20">
        <f t="shared" si="3"/>
        <v>-2.5811589536009426E-3</v>
      </c>
      <c r="H20">
        <f t="shared" si="4"/>
        <v>-2.5811589536009426E-3</v>
      </c>
      <c r="J20">
        <f t="shared" si="5"/>
        <v>15</v>
      </c>
      <c r="M20">
        <f t="shared" si="6"/>
        <v>88.988942159686658</v>
      </c>
      <c r="N20">
        <f t="shared" si="7"/>
        <v>-1.5707963250000001</v>
      </c>
      <c r="O20">
        <f t="shared" si="8"/>
        <v>1.0000326948789922</v>
      </c>
      <c r="P20">
        <f t="shared" si="9"/>
        <v>8.0862832279243266E-3</v>
      </c>
      <c r="Q20">
        <f t="shared" si="10"/>
        <v>1.0000293322266858</v>
      </c>
      <c r="R20">
        <f t="shared" si="11"/>
        <v>7.65917877070715E-3</v>
      </c>
      <c r="S20">
        <f t="shared" si="12"/>
        <v>0.9999999810061363</v>
      </c>
      <c r="T20">
        <f t="shared" si="13"/>
        <v>-1.9490440553800815E-4</v>
      </c>
      <c r="U20">
        <f t="shared" si="14"/>
        <v>0.99999999957079111</v>
      </c>
      <c r="V20">
        <f t="shared" si="15"/>
        <v>-2.9298766227486041E-5</v>
      </c>
      <c r="X20">
        <f t="shared" si="34"/>
        <v>62.307428391685626</v>
      </c>
      <c r="Y20">
        <f t="shared" si="16"/>
        <v>-89.257128889937277</v>
      </c>
      <c r="Z20">
        <f t="shared" si="35"/>
        <v>90.742871110062723</v>
      </c>
      <c r="AC20">
        <v>1</v>
      </c>
      <c r="AD20">
        <f t="shared" si="17"/>
        <v>8.0864594811000008E-3</v>
      </c>
      <c r="AE20">
        <f t="shared" si="18"/>
        <v>-1.8291140402649538E-11</v>
      </c>
      <c r="AF20">
        <f t="shared" si="19"/>
        <v>6.2429729140800001E-7</v>
      </c>
      <c r="AG20">
        <f t="shared" si="36"/>
        <v>12905.967747795476</v>
      </c>
      <c r="AH20">
        <f t="shared" si="37"/>
        <v>-1601801.3370032918</v>
      </c>
      <c r="AJ20">
        <f t="shared" si="20"/>
        <v>18000</v>
      </c>
      <c r="AK20">
        <f t="shared" si="21"/>
        <v>3.5082793441080002</v>
      </c>
      <c r="AL20">
        <v>1</v>
      </c>
      <c r="AM20">
        <f t="shared" si="22"/>
        <v>7.6593285444060003E-3</v>
      </c>
      <c r="AN20">
        <f t="shared" si="38"/>
        <v>17998.970955785804</v>
      </c>
      <c r="AO20">
        <f t="shared" si="39"/>
        <v>-134.35175266747675</v>
      </c>
      <c r="AQ20">
        <f t="shared" si="23"/>
        <v>9964.1291351135915</v>
      </c>
      <c r="AR20">
        <f t="shared" si="24"/>
        <v>-597.8477481068154</v>
      </c>
      <c r="AT20">
        <f t="shared" si="40"/>
        <v>-829036592.98925889</v>
      </c>
      <c r="AU20">
        <f t="shared" si="41"/>
        <v>-15968271174.453564</v>
      </c>
      <c r="AV20">
        <f t="shared" si="42"/>
        <v>-1.6226674974544075</v>
      </c>
      <c r="AW20">
        <f t="shared" si="25"/>
        <v>179299757.00983611</v>
      </c>
      <c r="AX20">
        <f t="shared" si="26"/>
        <v>-22310985.907999638</v>
      </c>
      <c r="AY20">
        <f t="shared" si="50"/>
        <v>-0.12379766316597229</v>
      </c>
      <c r="BA20">
        <f t="shared" si="27"/>
        <v>88.496524822302405</v>
      </c>
      <c r="BB20">
        <f t="shared" si="43"/>
        <v>38.938524333700968</v>
      </c>
      <c r="BC20">
        <f t="shared" si="44"/>
        <v>-1.4988698342884352</v>
      </c>
      <c r="BD20">
        <f t="shared" si="28"/>
        <v>-265.87891564233138</v>
      </c>
      <c r="BF20">
        <f t="shared" si="29"/>
        <v>62.258693257831027</v>
      </c>
      <c r="BG20">
        <f t="shared" si="30"/>
        <v>-86.025347156794425</v>
      </c>
      <c r="BH20">
        <f t="shared" si="45"/>
        <v>93.974652843205575</v>
      </c>
      <c r="BI20">
        <f t="shared" si="46"/>
        <v>93.974652843205575</v>
      </c>
      <c r="BJ20">
        <f t="shared" si="31"/>
        <v>0</v>
      </c>
      <c r="BK20">
        <f t="shared" si="47"/>
        <v>0</v>
      </c>
      <c r="BM20">
        <f t="shared" si="48"/>
        <v>23.320168924130066</v>
      </c>
      <c r="BN20">
        <f t="shared" si="32"/>
        <v>-0.14643151446304101</v>
      </c>
      <c r="BQ20" s="56">
        <f t="shared" si="49"/>
        <v>55.840485133986107</v>
      </c>
      <c r="BR20" s="59"/>
      <c r="BS20" s="59"/>
      <c r="BT20" s="59">
        <v>125.893</v>
      </c>
      <c r="BU20" s="59">
        <v>32.247199999999999</v>
      </c>
      <c r="BV20" s="59">
        <v>-266.37110000000001</v>
      </c>
      <c r="BW20" s="61"/>
      <c r="BY20" s="59"/>
      <c r="BZ20" s="59"/>
      <c r="CA20" s="59"/>
      <c r="CC20" s="59"/>
    </row>
    <row r="21" spans="1:81" x14ac:dyDescent="0.25">
      <c r="A21">
        <f t="shared" si="51"/>
        <v>40</v>
      </c>
      <c r="B21">
        <f t="shared" si="33"/>
        <v>0.04</v>
      </c>
      <c r="C21">
        <f t="shared" si="0"/>
        <v>1.0000000005755953</v>
      </c>
      <c r="D21">
        <f t="shared" si="1"/>
        <v>3.3929200606980341E-5</v>
      </c>
      <c r="F21">
        <f t="shared" si="2"/>
        <v>0.97708223811720996</v>
      </c>
      <c r="G21">
        <f t="shared" si="3"/>
        <v>-3.4416586457473156E-3</v>
      </c>
      <c r="H21">
        <f t="shared" si="4"/>
        <v>-3.4416586457473156E-3</v>
      </c>
      <c r="J21">
        <f t="shared" si="5"/>
        <v>15</v>
      </c>
      <c r="M21">
        <f t="shared" si="6"/>
        <v>66.741706619764997</v>
      </c>
      <c r="N21">
        <f t="shared" si="7"/>
        <v>-1.5707963250000001</v>
      </c>
      <c r="O21">
        <f t="shared" si="8"/>
        <v>1.0000581234903316</v>
      </c>
      <c r="P21">
        <f t="shared" si="9"/>
        <v>1.0781528202242563E-2</v>
      </c>
      <c r="Q21">
        <f t="shared" si="10"/>
        <v>1.0000521455859754</v>
      </c>
      <c r="R21">
        <f t="shared" si="11"/>
        <v>1.0212083049788608E-2</v>
      </c>
      <c r="S21">
        <f t="shared" si="12"/>
        <v>0.99999996623313225</v>
      </c>
      <c r="T21">
        <f t="shared" si="13"/>
        <v>-2.5987253815794537E-4</v>
      </c>
      <c r="U21">
        <f t="shared" si="14"/>
        <v>0.99999999923696214</v>
      </c>
      <c r="V21">
        <f t="shared" si="15"/>
        <v>-3.9065021627954025E-5</v>
      </c>
      <c r="X21">
        <f t="shared" si="34"/>
        <v>59.809351167358358</v>
      </c>
      <c r="Y21">
        <f t="shared" si="16"/>
        <v>-89.009531052831136</v>
      </c>
      <c r="Z21">
        <f t="shared" si="35"/>
        <v>90.990468947168864</v>
      </c>
      <c r="AC21">
        <v>1</v>
      </c>
      <c r="AD21">
        <f t="shared" si="17"/>
        <v>1.0781945974800001E-2</v>
      </c>
      <c r="AE21">
        <f t="shared" si="18"/>
        <v>-3.2517582938043618E-11</v>
      </c>
      <c r="AF21">
        <f t="shared" si="19"/>
        <v>8.3239638854399991E-7</v>
      </c>
      <c r="AG21">
        <f t="shared" si="36"/>
        <v>12905.967739178703</v>
      </c>
      <c r="AH21">
        <f t="shared" si="37"/>
        <v>-1201351.2233276791</v>
      </c>
      <c r="AJ21">
        <f t="shared" si="20"/>
        <v>18000</v>
      </c>
      <c r="AK21">
        <f t="shared" si="21"/>
        <v>4.6777057921440006</v>
      </c>
      <c r="AL21">
        <v>1</v>
      </c>
      <c r="AM21">
        <f t="shared" si="22"/>
        <v>1.0212438059208E-2</v>
      </c>
      <c r="AN21">
        <f t="shared" si="38"/>
        <v>17998.170671528409</v>
      </c>
      <c r="AO21">
        <f t="shared" si="39"/>
        <v>-179.12749736989394</v>
      </c>
      <c r="AQ21">
        <f t="shared" si="23"/>
        <v>9936.4069952305254</v>
      </c>
      <c r="AR21">
        <f t="shared" si="24"/>
        <v>-794.91255961844195</v>
      </c>
      <c r="AT21">
        <f t="shared" si="40"/>
        <v>-826730227.81235707</v>
      </c>
      <c r="AU21">
        <f t="shared" si="41"/>
        <v>-11947373815.051804</v>
      </c>
      <c r="AV21">
        <f t="shared" si="42"/>
        <v>-1.6398838493265191</v>
      </c>
      <c r="AW21">
        <f t="shared" si="25"/>
        <v>178730765.30008686</v>
      </c>
      <c r="AX21">
        <f t="shared" si="26"/>
        <v>-23745682.896842927</v>
      </c>
      <c r="AY21">
        <f t="shared" si="50"/>
        <v>-0.13208376278522974</v>
      </c>
      <c r="BA21">
        <f t="shared" si="27"/>
        <v>66.421852136879338</v>
      </c>
      <c r="BB21">
        <f t="shared" si="43"/>
        <v>36.44621962988797</v>
      </c>
      <c r="BC21">
        <f t="shared" si="44"/>
        <v>-1.5078000865412893</v>
      </c>
      <c r="BD21">
        <f t="shared" si="28"/>
        <v>-266.39058140699177</v>
      </c>
      <c r="BF21">
        <f t="shared" si="29"/>
        <v>59.766667186741564</v>
      </c>
      <c r="BG21">
        <f t="shared" si="30"/>
        <v>-86.585829922143873</v>
      </c>
      <c r="BH21">
        <f t="shared" si="45"/>
        <v>93.414170077856127</v>
      </c>
      <c r="BI21">
        <f t="shared" si="46"/>
        <v>93.414170077856127</v>
      </c>
      <c r="BJ21">
        <f t="shared" si="31"/>
        <v>0</v>
      </c>
      <c r="BK21">
        <f t="shared" si="47"/>
        <v>0</v>
      </c>
      <c r="BM21">
        <f t="shared" si="48"/>
        <v>23.320447556853594</v>
      </c>
      <c r="BN21">
        <f t="shared" si="32"/>
        <v>-0.19524851515210295</v>
      </c>
      <c r="BQ21" s="56">
        <f t="shared" si="49"/>
        <v>53.348180430173109</v>
      </c>
      <c r="BR21" s="59"/>
      <c r="BS21" s="59"/>
      <c r="BT21" s="59">
        <v>128.82499999999999</v>
      </c>
      <c r="BU21" s="59">
        <v>32.3142</v>
      </c>
      <c r="BV21" s="59">
        <v>-268.05959999999999</v>
      </c>
      <c r="BW21" s="61"/>
      <c r="BY21" s="59"/>
      <c r="BZ21" s="59"/>
      <c r="CA21" s="59"/>
      <c r="CC21" s="59"/>
    </row>
    <row r="22" spans="1:81" x14ac:dyDescent="0.25">
      <c r="A22">
        <f t="shared" si="51"/>
        <v>50</v>
      </c>
      <c r="B22">
        <f t="shared" si="33"/>
        <v>0.05</v>
      </c>
      <c r="C22">
        <f t="shared" si="0"/>
        <v>1.0000000008993677</v>
      </c>
      <c r="D22">
        <f t="shared" si="1"/>
        <v>4.2411500749570984E-5</v>
      </c>
      <c r="F22">
        <f t="shared" si="2"/>
        <v>0.97712253878047728</v>
      </c>
      <c r="G22">
        <f t="shared" si="3"/>
        <v>-4.3022555288408561E-3</v>
      </c>
      <c r="H22">
        <f t="shared" si="4"/>
        <v>-4.3022555288408561E-3</v>
      </c>
      <c r="J22">
        <f t="shared" si="5"/>
        <v>15</v>
      </c>
      <c r="M22">
        <f t="shared" si="6"/>
        <v>53.393365295811996</v>
      </c>
      <c r="N22">
        <f t="shared" si="7"/>
        <v>-1.5707963250000001</v>
      </c>
      <c r="O22">
        <f t="shared" si="8"/>
        <v>1.000090816469156</v>
      </c>
      <c r="P22">
        <f t="shared" si="9"/>
        <v>1.3476616538483036E-2</v>
      </c>
      <c r="Q22">
        <f t="shared" si="10"/>
        <v>1.00008147628324</v>
      </c>
      <c r="R22">
        <f t="shared" si="11"/>
        <v>1.2764854220640953E-2</v>
      </c>
      <c r="S22">
        <f t="shared" si="12"/>
        <v>0.99999994723927055</v>
      </c>
      <c r="T22">
        <f t="shared" si="13"/>
        <v>-3.2484066858411229E-4</v>
      </c>
      <c r="U22">
        <f t="shared" si="14"/>
        <v>0.99999999880775325</v>
      </c>
      <c r="V22">
        <f t="shared" si="15"/>
        <v>-4.8831277020969986E-5</v>
      </c>
      <c r="X22">
        <f t="shared" si="34"/>
        <v>57.872047684130159</v>
      </c>
      <c r="Y22">
        <f t="shared" si="16"/>
        <v>-88.761955385470813</v>
      </c>
      <c r="Z22">
        <f t="shared" si="35"/>
        <v>91.238044614529187</v>
      </c>
      <c r="AC22">
        <v>1</v>
      </c>
      <c r="AD22">
        <f t="shared" si="17"/>
        <v>1.34774324685E-2</v>
      </c>
      <c r="AE22">
        <f t="shared" si="18"/>
        <v>-5.080872334069315E-11</v>
      </c>
      <c r="AF22">
        <f t="shared" si="19"/>
        <v>1.0404954856799998E-6</v>
      </c>
      <c r="AG22">
        <f t="shared" si="36"/>
        <v>12905.967728099991</v>
      </c>
      <c r="AH22">
        <f t="shared" si="37"/>
        <v>-961081.20553950197</v>
      </c>
      <c r="AJ22">
        <f t="shared" si="20"/>
        <v>18000</v>
      </c>
      <c r="AK22">
        <f t="shared" si="21"/>
        <v>5.8471322401800006</v>
      </c>
      <c r="AL22">
        <v>1</v>
      </c>
      <c r="AM22">
        <f t="shared" si="22"/>
        <v>1.2765547574010001E-2</v>
      </c>
      <c r="AN22">
        <f t="shared" si="38"/>
        <v>17997.141841920391</v>
      </c>
      <c r="AO22">
        <f t="shared" si="39"/>
        <v>-223.89623813906076</v>
      </c>
      <c r="AQ22">
        <f t="shared" si="23"/>
        <v>9900.9900990099013</v>
      </c>
      <c r="AR22">
        <f t="shared" si="24"/>
        <v>-990.09900990099004</v>
      </c>
      <c r="AT22">
        <f t="shared" ref="AT22:AT85" si="52">-AR22*AH22+AG22*AQ22</f>
        <v>-823783691.34505141</v>
      </c>
      <c r="AU22">
        <f t="shared" ref="AU22:AU85" si="53">AQ22*AH22+AG22*AR22</f>
        <v>-9528433686.2605152</v>
      </c>
      <c r="AV22">
        <f t="shared" si="42"/>
        <v>-1.6570371940245965</v>
      </c>
      <c r="AW22">
        <f t="shared" si="25"/>
        <v>178003849.53937751</v>
      </c>
      <c r="AX22">
        <f t="shared" si="26"/>
        <v>-26162905.941828683</v>
      </c>
      <c r="AY22">
        <f t="shared" si="50"/>
        <v>-0.14593455272739284</v>
      </c>
      <c r="BA22">
        <f t="shared" si="27"/>
        <v>53.157933156783962</v>
      </c>
      <c r="BB22">
        <f t="shared" si="43"/>
        <v>34.511361734332738</v>
      </c>
      <c r="BC22">
        <f t="shared" si="44"/>
        <v>-1.5111026412972037</v>
      </c>
      <c r="BD22">
        <f t="shared" si="28"/>
        <v>-266.57980385633277</v>
      </c>
      <c r="BF22">
        <f t="shared" si="29"/>
        <v>57.832167544185737</v>
      </c>
      <c r="BG22">
        <f t="shared" si="30"/>
        <v>-86.823874940805283</v>
      </c>
      <c r="BH22">
        <f t="shared" si="45"/>
        <v>93.176125059194717</v>
      </c>
      <c r="BI22">
        <f t="shared" si="46"/>
        <v>93.176125059194717</v>
      </c>
      <c r="BJ22">
        <f t="shared" si="31"/>
        <v>0</v>
      </c>
      <c r="BK22">
        <f t="shared" si="47"/>
        <v>0</v>
      </c>
      <c r="BM22">
        <f t="shared" si="48"/>
        <v>23.320805809852999</v>
      </c>
      <c r="BN22">
        <f t="shared" si="32"/>
        <v>-0.24407108447253059</v>
      </c>
      <c r="BQ22" s="56">
        <f t="shared" si="49"/>
        <v>51.413322534617876</v>
      </c>
      <c r="BR22" s="59"/>
      <c r="BS22" s="59"/>
      <c r="BT22" s="59">
        <v>131.82599999999999</v>
      </c>
      <c r="BU22" s="59">
        <v>32.155799999999999</v>
      </c>
      <c r="BV22" s="59">
        <v>-263.3605</v>
      </c>
      <c r="BW22" s="61"/>
      <c r="BY22" s="59"/>
      <c r="BZ22" s="59"/>
      <c r="CA22" s="59"/>
      <c r="CC22" s="59"/>
    </row>
    <row r="23" spans="1:81" x14ac:dyDescent="0.25">
      <c r="A23">
        <f t="shared" si="51"/>
        <v>60</v>
      </c>
      <c r="B23">
        <f t="shared" si="33"/>
        <v>0.06</v>
      </c>
      <c r="C23">
        <f t="shared" si="0"/>
        <v>1.0000000012950894</v>
      </c>
      <c r="D23">
        <f t="shared" si="1"/>
        <v>5.0893800886058653E-5</v>
      </c>
      <c r="F23">
        <f t="shared" si="2"/>
        <v>0.97717179928212783</v>
      </c>
      <c r="G23">
        <f t="shared" si="3"/>
        <v>-5.1629739168628039E-3</v>
      </c>
      <c r="H23">
        <f t="shared" si="4"/>
        <v>-5.1629739168628039E-3</v>
      </c>
      <c r="J23">
        <f t="shared" si="5"/>
        <v>15</v>
      </c>
      <c r="M23">
        <f t="shared" si="6"/>
        <v>44.494471079843329</v>
      </c>
      <c r="N23">
        <f t="shared" si="7"/>
        <v>-1.5707963250000001</v>
      </c>
      <c r="O23">
        <f t="shared" si="8"/>
        <v>1.0001307731030766</v>
      </c>
      <c r="P23">
        <f t="shared" si="9"/>
        <v>1.6171509102727275E-2</v>
      </c>
      <c r="Q23">
        <f t="shared" si="10"/>
        <v>1.0001173237450718</v>
      </c>
      <c r="R23">
        <f t="shared" si="11"/>
        <v>1.5317459025725053E-2</v>
      </c>
      <c r="S23">
        <f t="shared" si="12"/>
        <v>0.99999992402455207</v>
      </c>
      <c r="T23">
        <f t="shared" si="13"/>
        <v>-3.8980879626806663E-4</v>
      </c>
      <c r="U23">
        <f t="shared" si="14"/>
        <v>0.99999999828316466</v>
      </c>
      <c r="V23">
        <f t="shared" si="15"/>
        <v>-5.8597532404670922E-5</v>
      </c>
      <c r="X23">
        <f t="shared" si="34"/>
        <v>56.289518795066499</v>
      </c>
      <c r="Y23">
        <f t="shared" si="16"/>
        <v>-88.514407428638307</v>
      </c>
      <c r="Z23">
        <f t="shared" si="35"/>
        <v>91.485592571361693</v>
      </c>
      <c r="AC23">
        <v>1</v>
      </c>
      <c r="AD23">
        <f t="shared" si="17"/>
        <v>1.6172918962200002E-2</v>
      </c>
      <c r="AE23">
        <f t="shared" si="18"/>
        <v>-7.3164561610598154E-11</v>
      </c>
      <c r="AF23">
        <f t="shared" si="19"/>
        <v>1.248594582816E-6</v>
      </c>
      <c r="AG23">
        <f t="shared" si="36"/>
        <v>12905.967714559343</v>
      </c>
      <c r="AH23">
        <f t="shared" si="37"/>
        <v>-800901.23569504207</v>
      </c>
      <c r="AJ23">
        <f t="shared" si="20"/>
        <v>18000</v>
      </c>
      <c r="AK23">
        <f t="shared" si="21"/>
        <v>7.0165586882160005</v>
      </c>
      <c r="AL23">
        <v>1</v>
      </c>
      <c r="AM23">
        <f t="shared" si="22"/>
        <v>1.5318657088812001E-2</v>
      </c>
      <c r="AN23">
        <f t="shared" si="38"/>
        <v>17995.884547403679</v>
      </c>
      <c r="AO23">
        <f t="shared" si="39"/>
        <v>-268.65622570331169</v>
      </c>
      <c r="AQ23">
        <f t="shared" si="23"/>
        <v>9858.0441640378558</v>
      </c>
      <c r="AR23">
        <f t="shared" si="24"/>
        <v>-1182.9652996845425</v>
      </c>
      <c r="AT23">
        <f t="shared" si="52"/>
        <v>-820210770.59193313</v>
      </c>
      <c r="AU23">
        <f t="shared" si="53"/>
        <v>-7910587064.4793892</v>
      </c>
      <c r="AV23">
        <f t="shared" si="42"/>
        <v>-1.6741123412429124</v>
      </c>
      <c r="AW23">
        <f t="shared" si="25"/>
        <v>177122417.92726406</v>
      </c>
      <c r="AX23">
        <f t="shared" si="26"/>
        <v>-29042997.049893692</v>
      </c>
      <c r="AY23">
        <f t="shared" si="50"/>
        <v>-0.16252503931678242</v>
      </c>
      <c r="BA23">
        <f t="shared" si="27"/>
        <v>44.309408093677568</v>
      </c>
      <c r="BB23">
        <f t="shared" si="43"/>
        <v>32.929918971128018</v>
      </c>
      <c r="BC23">
        <f t="shared" si="44"/>
        <v>-1.5115873019261299</v>
      </c>
      <c r="BD23">
        <f t="shared" si="28"/>
        <v>-266.60757286489809</v>
      </c>
      <c r="BF23">
        <f t="shared" si="29"/>
        <v>56.251162662451833</v>
      </c>
      <c r="BG23">
        <f t="shared" si="30"/>
        <v>-86.900473480411009</v>
      </c>
      <c r="BH23">
        <f t="shared" si="45"/>
        <v>93.099526519588991</v>
      </c>
      <c r="BI23">
        <f t="shared" si="46"/>
        <v>93.099526519588991</v>
      </c>
      <c r="BJ23">
        <f t="shared" si="31"/>
        <v>0</v>
      </c>
      <c r="BK23">
        <f t="shared" si="47"/>
        <v>0</v>
      </c>
      <c r="BM23">
        <f t="shared" si="48"/>
        <v>23.321243691323822</v>
      </c>
      <c r="BN23">
        <f t="shared" si="32"/>
        <v>-0.29290061551290364</v>
      </c>
      <c r="BQ23" s="56">
        <f t="shared" si="49"/>
        <v>49.831879771413156</v>
      </c>
      <c r="BR23" s="58"/>
      <c r="BS23" s="58"/>
      <c r="BT23" s="58">
        <v>134.89599999999999</v>
      </c>
      <c r="BU23" s="58">
        <v>32.875300000000003</v>
      </c>
      <c r="BV23" s="58">
        <v>-269.46539999999999</v>
      </c>
      <c r="BW23" s="61"/>
      <c r="BY23" s="58"/>
      <c r="BZ23" s="58"/>
      <c r="CA23" s="58"/>
      <c r="CC23" s="58"/>
    </row>
    <row r="24" spans="1:81" x14ac:dyDescent="0.25">
      <c r="A24">
        <f t="shared" si="51"/>
        <v>70</v>
      </c>
      <c r="B24">
        <f t="shared" si="33"/>
        <v>7.0000000000000007E-2</v>
      </c>
      <c r="C24">
        <f t="shared" si="0"/>
        <v>1.0000000017627606</v>
      </c>
      <c r="D24">
        <f t="shared" si="1"/>
        <v>5.9376101015222766E-5</v>
      </c>
      <c r="F24">
        <f t="shared" si="2"/>
        <v>0.97723002210414711</v>
      </c>
      <c r="G24">
        <f t="shared" si="3"/>
        <v>-6.0238381346282219E-3</v>
      </c>
      <c r="H24">
        <f t="shared" si="4"/>
        <v>-6.0238381346282219E-3</v>
      </c>
      <c r="J24">
        <f t="shared" si="5"/>
        <v>15</v>
      </c>
      <c r="M24">
        <f t="shared" si="6"/>
        <v>38.138118068437144</v>
      </c>
      <c r="N24">
        <f t="shared" si="7"/>
        <v>-1.5707963250000001</v>
      </c>
      <c r="O24">
        <f t="shared" si="8"/>
        <v>1.0001779925215553</v>
      </c>
      <c r="P24">
        <f t="shared" si="9"/>
        <v>1.8866166778115933E-2</v>
      </c>
      <c r="Q24">
        <f t="shared" si="10"/>
        <v>1.0001596872707548</v>
      </c>
      <c r="R24">
        <f t="shared" si="11"/>
        <v>1.7869864220508281E-2</v>
      </c>
      <c r="S24">
        <f t="shared" si="12"/>
        <v>0.99999989658897803</v>
      </c>
      <c r="T24">
        <f t="shared" si="13"/>
        <v>-4.547769206613661E-4</v>
      </c>
      <c r="U24">
        <f t="shared" si="14"/>
        <v>0.99999999766319636</v>
      </c>
      <c r="V24">
        <f t="shared" si="15"/>
        <v>-6.8363787777193816E-5</v>
      </c>
      <c r="X24">
        <f t="shared" si="34"/>
        <v>54.951878272026065</v>
      </c>
      <c r="Y24">
        <f t="shared" si="16"/>
        <v>-88.26689272201375</v>
      </c>
      <c r="Z24">
        <f t="shared" si="35"/>
        <v>91.73310727798625</v>
      </c>
      <c r="AC24">
        <v>1</v>
      </c>
      <c r="AD24">
        <f t="shared" si="17"/>
        <v>1.8868405455900003E-2</v>
      </c>
      <c r="AE24">
        <f t="shared" si="18"/>
        <v>-9.958509774775859E-11</v>
      </c>
      <c r="AF24">
        <f t="shared" si="19"/>
        <v>1.456693679952E-6</v>
      </c>
      <c r="AG24">
        <f t="shared" si="36"/>
        <v>12905.967698556762</v>
      </c>
      <c r="AH24">
        <f t="shared" si="37"/>
        <v>-686487.0075327066</v>
      </c>
      <c r="AJ24">
        <f t="shared" si="20"/>
        <v>18000</v>
      </c>
      <c r="AK24">
        <f t="shared" si="21"/>
        <v>8.1859851362520004</v>
      </c>
      <c r="AL24">
        <v>1</v>
      </c>
      <c r="AM24">
        <f t="shared" si="22"/>
        <v>1.7871766603614E-2</v>
      </c>
      <c r="AN24">
        <f t="shared" si="38"/>
        <v>17994.398886264124</v>
      </c>
      <c r="AO24">
        <f t="shared" si="39"/>
        <v>-313.40571193139215</v>
      </c>
      <c r="AQ24">
        <f t="shared" si="23"/>
        <v>9807.7677520596299</v>
      </c>
      <c r="AR24">
        <f t="shared" si="24"/>
        <v>-1373.0874852883483</v>
      </c>
      <c r="AT24">
        <f t="shared" si="52"/>
        <v>-816027985.05317926</v>
      </c>
      <c r="AU24">
        <f t="shared" si="53"/>
        <v>-6750626157.4196196</v>
      </c>
      <c r="AV24">
        <f t="shared" si="42"/>
        <v>-1.6910944652866291</v>
      </c>
      <c r="AW24">
        <f t="shared" si="25"/>
        <v>176090554.14374143</v>
      </c>
      <c r="AX24">
        <f t="shared" si="26"/>
        <v>-32158422.065818958</v>
      </c>
      <c r="AY24">
        <f t="shared" si="50"/>
        <v>-0.18063375463851131</v>
      </c>
      <c r="BA24">
        <f t="shared" si="27"/>
        <v>37.986914111845437</v>
      </c>
      <c r="BB24">
        <f t="shared" si="43"/>
        <v>31.592680296663698</v>
      </c>
      <c r="BC24">
        <f t="shared" si="44"/>
        <v>-1.5104607106481178</v>
      </c>
      <c r="BD24">
        <f t="shared" si="28"/>
        <v>-266.54302393935802</v>
      </c>
      <c r="BF24">
        <f t="shared" si="29"/>
        <v>54.914441507947458</v>
      </c>
      <c r="BG24">
        <f t="shared" si="30"/>
        <v>-86.884762441340541</v>
      </c>
      <c r="BH24">
        <f t="shared" si="45"/>
        <v>93.115237558659459</v>
      </c>
      <c r="BI24">
        <f t="shared" si="46"/>
        <v>93.115237558659459</v>
      </c>
      <c r="BJ24">
        <f t="shared" si="31"/>
        <v>0</v>
      </c>
      <c r="BK24">
        <f t="shared" si="47"/>
        <v>0</v>
      </c>
      <c r="BM24">
        <f t="shared" si="48"/>
        <v>23.321761211283764</v>
      </c>
      <c r="BN24">
        <f t="shared" si="32"/>
        <v>-0.34173850198253414</v>
      </c>
      <c r="BQ24" s="56">
        <f t="shared" si="49"/>
        <v>48.49464109694884</v>
      </c>
      <c r="BR24" s="58"/>
      <c r="BS24" s="58"/>
      <c r="BT24" s="58">
        <v>138.03800000000001</v>
      </c>
      <c r="BU24" s="58">
        <v>32.538699999999999</v>
      </c>
      <c r="BV24" s="58">
        <v>-267.95069999999998</v>
      </c>
      <c r="BW24" s="61"/>
      <c r="BY24" s="58"/>
      <c r="BZ24" s="58"/>
      <c r="CA24" s="58"/>
      <c r="CC24" s="58"/>
    </row>
    <row r="25" spans="1:81" x14ac:dyDescent="0.25">
      <c r="A25">
        <f t="shared" si="51"/>
        <v>80</v>
      </c>
      <c r="B25">
        <f t="shared" si="33"/>
        <v>0.08</v>
      </c>
      <c r="C25">
        <f t="shared" si="0"/>
        <v>1.0000000023023812</v>
      </c>
      <c r="D25">
        <f t="shared" si="1"/>
        <v>6.7858401135842736E-5</v>
      </c>
      <c r="F25">
        <f t="shared" si="2"/>
        <v>0.97729721018044891</v>
      </c>
      <c r="G25">
        <f t="shared" si="3"/>
        <v>-6.884872519956951E-3</v>
      </c>
      <c r="H25">
        <f t="shared" si="4"/>
        <v>-6.884872519956951E-3</v>
      </c>
      <c r="J25">
        <f t="shared" si="5"/>
        <v>15</v>
      </c>
      <c r="M25">
        <f t="shared" si="6"/>
        <v>33.370853309882499</v>
      </c>
      <c r="N25">
        <f t="shared" si="7"/>
        <v>-1.5707963250000001</v>
      </c>
      <c r="O25">
        <f t="shared" si="8"/>
        <v>1.0002324736959973</v>
      </c>
      <c r="P25">
        <f t="shared" si="9"/>
        <v>2.1560550468252438E-2</v>
      </c>
      <c r="Q25">
        <f t="shared" si="10"/>
        <v>1.0002085660323314</v>
      </c>
      <c r="R25">
        <f t="shared" si="11"/>
        <v>2.0422036576060208E-2</v>
      </c>
      <c r="S25">
        <f t="shared" si="12"/>
        <v>0.999999864932549</v>
      </c>
      <c r="T25">
        <f t="shared" si="13"/>
        <v>-5.1974504121556867E-4</v>
      </c>
      <c r="U25">
        <f t="shared" si="14"/>
        <v>0.99999999694784814</v>
      </c>
      <c r="V25">
        <f t="shared" si="15"/>
        <v>-7.8130043136675681E-5</v>
      </c>
      <c r="X25">
        <f t="shared" si="34"/>
        <v>53.793533819323933</v>
      </c>
      <c r="Y25">
        <f t="shared" si="16"/>
        <v>-88.019416803956091</v>
      </c>
      <c r="Z25">
        <f t="shared" si="35"/>
        <v>91.980583196043909</v>
      </c>
      <c r="AC25">
        <v>1</v>
      </c>
      <c r="AD25">
        <f t="shared" si="17"/>
        <v>2.1563891949600001E-2</v>
      </c>
      <c r="AE25">
        <f t="shared" si="18"/>
        <v>-1.3007033175217447E-10</v>
      </c>
      <c r="AF25">
        <f t="shared" si="19"/>
        <v>1.6647927770879998E-6</v>
      </c>
      <c r="AG25">
        <f t="shared" si="36"/>
        <v>12905.967680092244</v>
      </c>
      <c r="AH25">
        <f t="shared" si="37"/>
        <v>-600676.36792169861</v>
      </c>
      <c r="AJ25">
        <f t="shared" si="20"/>
        <v>18000</v>
      </c>
      <c r="AK25">
        <f t="shared" si="21"/>
        <v>9.3554115842880012</v>
      </c>
      <c r="AL25">
        <v>1</v>
      </c>
      <c r="AM25">
        <f t="shared" si="22"/>
        <v>2.0424876118416001E-2</v>
      </c>
      <c r="AN25">
        <f t="shared" si="38"/>
        <v>17992.684974612344</v>
      </c>
      <c r="AO25">
        <f t="shared" si="39"/>
        <v>-358.14295005985406</v>
      </c>
      <c r="AQ25">
        <f t="shared" si="23"/>
        <v>9750.3900156006239</v>
      </c>
      <c r="AR25">
        <f t="shared" si="24"/>
        <v>-1560.0624024960998</v>
      </c>
      <c r="AT25">
        <f t="shared" si="52"/>
        <v>-811254399.25292051</v>
      </c>
      <c r="AU25">
        <f t="shared" si="53"/>
        <v>-5876962975.3365183</v>
      </c>
      <c r="AV25">
        <f t="shared" si="42"/>
        <v>-1.7079691685561822</v>
      </c>
      <c r="AW25">
        <f t="shared" si="25"/>
        <v>174912971.0039787</v>
      </c>
      <c r="AX25">
        <f t="shared" si="26"/>
        <v>-35391482.930288538</v>
      </c>
      <c r="AY25">
        <f t="shared" si="50"/>
        <v>-0.19964230523993232</v>
      </c>
      <c r="BA25">
        <f t="shared" si="27"/>
        <v>33.244268673401272</v>
      </c>
      <c r="BB25">
        <f t="shared" si="43"/>
        <v>30.434335670639289</v>
      </c>
      <c r="BC25">
        <f t="shared" si="44"/>
        <v>-1.5083268633162499</v>
      </c>
      <c r="BD25">
        <f t="shared" si="28"/>
        <v>-266.42076349297702</v>
      </c>
      <c r="BF25">
        <f t="shared" si="29"/>
        <v>53.756694052212481</v>
      </c>
      <c r="BG25">
        <f t="shared" si="30"/>
        <v>-86.811349631312879</v>
      </c>
      <c r="BH25">
        <f t="shared" si="45"/>
        <v>93.188650368687121</v>
      </c>
      <c r="BI25">
        <f t="shared" si="46"/>
        <v>93.188650368687121</v>
      </c>
      <c r="BJ25">
        <f t="shared" si="31"/>
        <v>0</v>
      </c>
      <c r="BK25">
        <f t="shared" si="47"/>
        <v>0</v>
      </c>
      <c r="BM25">
        <f t="shared" si="48"/>
        <v>23.322358381573189</v>
      </c>
      <c r="BN25">
        <f t="shared" si="32"/>
        <v>-0.39058613833585309</v>
      </c>
      <c r="BQ25" s="56">
        <f t="shared" si="49"/>
        <v>47.336296470924424</v>
      </c>
      <c r="BR25" s="58"/>
      <c r="BS25" s="58"/>
      <c r="BT25" s="58">
        <v>141.25399999999999</v>
      </c>
      <c r="BU25" s="58">
        <v>32.377000000000002</v>
      </c>
      <c r="BV25" s="58">
        <v>-263.11430000000001</v>
      </c>
      <c r="BW25" s="61"/>
      <c r="BY25" s="58"/>
      <c r="BZ25" s="58"/>
      <c r="CA25" s="58"/>
      <c r="CC25" s="58"/>
    </row>
    <row r="26" spans="1:81" x14ac:dyDescent="0.25">
      <c r="A26">
        <f t="shared" si="51"/>
        <v>90</v>
      </c>
      <c r="B26">
        <f t="shared" si="33"/>
        <v>0.09</v>
      </c>
      <c r="C26">
        <f t="shared" si="0"/>
        <v>1.0000000029139513</v>
      </c>
      <c r="D26">
        <f t="shared" si="1"/>
        <v>7.6340701246697948E-5</v>
      </c>
      <c r="F26">
        <f t="shared" si="2"/>
        <v>0.977373366897205</v>
      </c>
      <c r="G26">
        <f t="shared" si="3"/>
        <v>-7.7461014258468604E-3</v>
      </c>
      <c r="H26">
        <f t="shared" si="4"/>
        <v>-7.7461014258468604E-3</v>
      </c>
      <c r="J26">
        <f t="shared" si="5"/>
        <v>15</v>
      </c>
      <c r="M26">
        <f t="shared" si="6"/>
        <v>29.662980719895554</v>
      </c>
      <c r="N26">
        <f t="shared" si="7"/>
        <v>-1.5707963250000001</v>
      </c>
      <c r="O26">
        <f t="shared" si="8"/>
        <v>1.0002942154398651</v>
      </c>
      <c r="P26">
        <f t="shared" si="9"/>
        <v>2.4254621100602211E-2</v>
      </c>
      <c r="Q26">
        <f t="shared" si="10"/>
        <v>1.0002639590746836</v>
      </c>
      <c r="R26">
        <f t="shared" si="11"/>
        <v>2.2973942881645275E-2</v>
      </c>
      <c r="S26">
        <f t="shared" si="12"/>
        <v>0.99999982905526663</v>
      </c>
      <c r="T26">
        <f t="shared" si="13"/>
        <v>-5.8471315738223241E-4</v>
      </c>
      <c r="U26">
        <f t="shared" si="14"/>
        <v>0.99999999613712043</v>
      </c>
      <c r="V26">
        <f t="shared" si="15"/>
        <v>-8.789629848125348E-5</v>
      </c>
      <c r="X26">
        <f t="shared" si="34"/>
        <v>52.772177050979295</v>
      </c>
      <c r="Y26">
        <f t="shared" si="16"/>
        <v>-87.771985211284104</v>
      </c>
      <c r="Z26">
        <f t="shared" si="35"/>
        <v>92.228014788715896</v>
      </c>
      <c r="AC26">
        <v>1</v>
      </c>
      <c r="AD26">
        <f t="shared" si="17"/>
        <v>2.4259378443299999E-2</v>
      </c>
      <c r="AE26">
        <f t="shared" si="18"/>
        <v>-1.6462026362384579E-10</v>
      </c>
      <c r="AF26">
        <f t="shared" si="19"/>
        <v>1.872891874224E-6</v>
      </c>
      <c r="AG26">
        <f t="shared" si="36"/>
        <v>12905.967659165786</v>
      </c>
      <c r="AH26">
        <f t="shared" si="37"/>
        <v>-533934.78734490834</v>
      </c>
      <c r="AJ26">
        <f t="shared" si="20"/>
        <v>18000</v>
      </c>
      <c r="AK26">
        <f t="shared" si="21"/>
        <v>10.524838032324</v>
      </c>
      <c r="AL26">
        <v>1</v>
      </c>
      <c r="AM26">
        <f t="shared" si="22"/>
        <v>2.2977985633217998E-2</v>
      </c>
      <c r="AN26">
        <f t="shared" si="38"/>
        <v>17990.742946361017</v>
      </c>
      <c r="AO26">
        <f t="shared" si="39"/>
        <v>-402.86619492007748</v>
      </c>
      <c r="AQ26">
        <f t="shared" si="23"/>
        <v>9686.1681518791174</v>
      </c>
      <c r="AR26">
        <f t="shared" si="24"/>
        <v>-1743.510267338241</v>
      </c>
      <c r="AT26">
        <f t="shared" si="52"/>
        <v>-805911410.91551447</v>
      </c>
      <c r="AU26">
        <f t="shared" si="53"/>
        <v>-5194283819.4842911</v>
      </c>
      <c r="AV26">
        <f t="shared" si="42"/>
        <v>-1.724722540223973</v>
      </c>
      <c r="AW26">
        <f t="shared" si="25"/>
        <v>173594958.09291977</v>
      </c>
      <c r="AX26">
        <f t="shared" si="26"/>
        <v>-38673588.544231921</v>
      </c>
      <c r="AY26">
        <f t="shared" si="50"/>
        <v>-0.21920098202220686</v>
      </c>
      <c r="BA26">
        <f t="shared" si="27"/>
        <v>29.555314176574488</v>
      </c>
      <c r="BB26">
        <f t="shared" si="43"/>
        <v>29.41271160624925</v>
      </c>
      <c r="BC26">
        <f t="shared" si="44"/>
        <v>-1.505521558201766</v>
      </c>
      <c r="BD26">
        <f t="shared" si="28"/>
        <v>-266.26003134948701</v>
      </c>
      <c r="BF26">
        <f t="shared" si="29"/>
        <v>52.735746822105078</v>
      </c>
      <c r="BG26">
        <f t="shared" si="30"/>
        <v>-86.699476269383894</v>
      </c>
      <c r="BH26">
        <f t="shared" si="45"/>
        <v>93.300523730616106</v>
      </c>
      <c r="BI26">
        <f t="shared" si="46"/>
        <v>93.300523730616106</v>
      </c>
      <c r="BJ26">
        <f t="shared" si="31"/>
        <v>0</v>
      </c>
      <c r="BK26">
        <f t="shared" si="47"/>
        <v>0</v>
      </c>
      <c r="BM26">
        <f t="shared" si="48"/>
        <v>23.323035215855825</v>
      </c>
      <c r="BN26">
        <f t="shared" si="32"/>
        <v>-0.43944491989692841</v>
      </c>
      <c r="BQ26" s="56">
        <f t="shared" si="49"/>
        <v>46.314672406534385</v>
      </c>
      <c r="BR26" s="58"/>
      <c r="BS26" s="58"/>
      <c r="BT26" s="58">
        <v>144.54400000000001</v>
      </c>
      <c r="BU26" s="58">
        <v>31.499099999999999</v>
      </c>
      <c r="BV26" s="58">
        <v>-266.2885</v>
      </c>
      <c r="BW26" s="61"/>
      <c r="BY26" s="58"/>
      <c r="BZ26" s="58"/>
      <c r="CA26" s="58"/>
      <c r="CC26" s="58"/>
    </row>
    <row r="27" spans="1:81" x14ac:dyDescent="0.25">
      <c r="A27">
        <f t="shared" si="51"/>
        <v>100</v>
      </c>
      <c r="B27">
        <f t="shared" si="33"/>
        <v>0.1</v>
      </c>
      <c r="C27">
        <f t="shared" si="0"/>
        <v>1.0000000035974708</v>
      </c>
      <c r="D27">
        <f t="shared" si="1"/>
        <v>8.4823001346567834E-5</v>
      </c>
      <c r="F27">
        <f t="shared" si="2"/>
        <v>0.97745849609322599</v>
      </c>
      <c r="G27">
        <f t="shared" si="3"/>
        <v>-8.6075492226497588E-3</v>
      </c>
      <c r="H27">
        <f t="shared" si="4"/>
        <v>-8.6075492226497588E-3</v>
      </c>
      <c r="J27">
        <f t="shared" si="5"/>
        <v>15</v>
      </c>
      <c r="M27">
        <f t="shared" si="6"/>
        <v>26.696682647905998</v>
      </c>
      <c r="N27">
        <f t="shared" si="7"/>
        <v>-1.5707963250000001</v>
      </c>
      <c r="O27">
        <f t="shared" si="8"/>
        <v>1.0003632164088061</v>
      </c>
      <c r="P27">
        <f t="shared" si="9"/>
        <v>2.6948339629886617E-2</v>
      </c>
      <c r="Q27">
        <f t="shared" si="10"/>
        <v>1.0003258653156266</v>
      </c>
      <c r="R27">
        <f t="shared" si="11"/>
        <v>2.5525549947311904E-2</v>
      </c>
      <c r="S27">
        <f t="shared" si="12"/>
        <v>0.99999978895713204</v>
      </c>
      <c r="T27">
        <f t="shared" si="13"/>
        <v>-6.4968126861291581E-4</v>
      </c>
      <c r="U27">
        <f t="shared" si="14"/>
        <v>0.99999999523101279</v>
      </c>
      <c r="V27">
        <f t="shared" si="15"/>
        <v>-9.7662553809064228E-5</v>
      </c>
      <c r="X27">
        <f t="shared" si="34"/>
        <v>51.858920087472463</v>
      </c>
      <c r="Y27">
        <f t="shared" si="16"/>
        <v>-87.52460347905857</v>
      </c>
      <c r="Z27">
        <f t="shared" si="35"/>
        <v>92.47539652094143</v>
      </c>
      <c r="AC27">
        <v>1</v>
      </c>
      <c r="AD27">
        <f t="shared" si="17"/>
        <v>2.6954864937E-2</v>
      </c>
      <c r="AE27">
        <f t="shared" si="18"/>
        <v>-2.032348933627726E-10</v>
      </c>
      <c r="AF27">
        <f t="shared" si="19"/>
        <v>2.0809909713599996E-6</v>
      </c>
      <c r="AG27">
        <f t="shared" si="36"/>
        <v>12905.967635777397</v>
      </c>
      <c r="AH27">
        <f t="shared" si="37"/>
        <v>-480541.54809207068</v>
      </c>
      <c r="AJ27">
        <f t="shared" si="20"/>
        <v>18000</v>
      </c>
      <c r="AK27">
        <f t="shared" si="21"/>
        <v>11.694264480360001</v>
      </c>
      <c r="AL27">
        <v>1</v>
      </c>
      <c r="AM27">
        <f t="shared" si="22"/>
        <v>2.5531095148020003E-2</v>
      </c>
      <c r="AN27">
        <f t="shared" si="38"/>
        <v>17988.572953198749</v>
      </c>
      <c r="AO27">
        <f t="shared" si="39"/>
        <v>-447.5737031648564</v>
      </c>
      <c r="AQ27">
        <f t="shared" si="23"/>
        <v>9615.3846153846152</v>
      </c>
      <c r="AR27">
        <f t="shared" si="24"/>
        <v>-1923.0769230769231</v>
      </c>
      <c r="AT27">
        <f t="shared" si="52"/>
        <v>-800022519.06381476</v>
      </c>
      <c r="AU27">
        <f t="shared" si="53"/>
        <v>-4645410977.1079435</v>
      </c>
      <c r="AV27">
        <f t="shared" si="42"/>
        <v>-1.7413412095686998</v>
      </c>
      <c r="AW27">
        <f t="shared" si="25"/>
        <v>172142324.43636051</v>
      </c>
      <c r="AX27">
        <f t="shared" si="26"/>
        <v>-41960987.93201226</v>
      </c>
      <c r="AY27">
        <f t="shared" si="50"/>
        <v>-0.23909482341499466</v>
      </c>
      <c r="BA27">
        <f t="shared" si="27"/>
        <v>26.604160817768381</v>
      </c>
      <c r="BB27">
        <f t="shared" si="43"/>
        <v>28.498991288172576</v>
      </c>
      <c r="BC27">
        <f t="shared" si="44"/>
        <v>-1.502246386153705</v>
      </c>
      <c r="BD27">
        <f t="shared" si="28"/>
        <v>-266.07237781373942</v>
      </c>
      <c r="BF27">
        <f t="shared" si="29"/>
        <v>51.822783017792034</v>
      </c>
      <c r="BG27">
        <f t="shared" si="30"/>
        <v>-86.560694056723563</v>
      </c>
      <c r="BH27">
        <f t="shared" si="45"/>
        <v>93.439305943276437</v>
      </c>
      <c r="BI27">
        <f t="shared" si="46"/>
        <v>93.439305943276437</v>
      </c>
      <c r="BJ27">
        <f t="shared" si="31"/>
        <v>0</v>
      </c>
      <c r="BK27">
        <f t="shared" si="47"/>
        <v>0</v>
      </c>
      <c r="BM27">
        <f t="shared" si="48"/>
        <v>23.323791729619462</v>
      </c>
      <c r="BN27">
        <f t="shared" si="32"/>
        <v>-0.48831624298413551</v>
      </c>
      <c r="BQ27" s="56">
        <f t="shared" si="49"/>
        <v>45.400952088457707</v>
      </c>
      <c r="BR27" s="58"/>
      <c r="BS27" s="58"/>
      <c r="BT27" s="58">
        <v>147.911</v>
      </c>
      <c r="BU27" s="58">
        <v>31.4819</v>
      </c>
      <c r="BV27" s="58">
        <v>-266.34629999999999</v>
      </c>
      <c r="BW27" s="61"/>
      <c r="BY27" s="58"/>
      <c r="BZ27" s="58"/>
      <c r="CA27" s="58"/>
      <c r="CC27" s="58"/>
    </row>
    <row r="28" spans="1:81" x14ac:dyDescent="0.25">
      <c r="A28">
        <f t="shared" si="51"/>
        <v>200</v>
      </c>
      <c r="B28">
        <f t="shared" si="33"/>
        <v>0.2</v>
      </c>
      <c r="C28">
        <f t="shared" si="0"/>
        <v>1.0000000143898831</v>
      </c>
      <c r="D28">
        <f t="shared" si="1"/>
        <v>1.696460014725426E-4</v>
      </c>
      <c r="F28">
        <f t="shared" si="2"/>
        <v>0.97880444360452479</v>
      </c>
      <c r="G28">
        <f t="shared" si="3"/>
        <v>-1.7239444450323677E-2</v>
      </c>
      <c r="H28">
        <f t="shared" si="4"/>
        <v>-1.7239444450323677E-2</v>
      </c>
      <c r="J28">
        <f t="shared" si="5"/>
        <v>15</v>
      </c>
      <c r="M28">
        <f t="shared" si="6"/>
        <v>13.348341323952999</v>
      </c>
      <c r="N28">
        <f t="shared" si="7"/>
        <v>-1.5707963250000001</v>
      </c>
      <c r="O28">
        <f t="shared" si="8"/>
        <v>1.0014520752263123</v>
      </c>
      <c r="P28">
        <f t="shared" si="9"/>
        <v>5.3857595541276206E-2</v>
      </c>
      <c r="Q28">
        <f t="shared" si="10"/>
        <v>1.0013028249624731</v>
      </c>
      <c r="R28">
        <f t="shared" si="11"/>
        <v>5.1017880639519737E-2</v>
      </c>
      <c r="S28">
        <f t="shared" si="12"/>
        <v>0.99999915582932986</v>
      </c>
      <c r="T28">
        <f t="shared" si="13"/>
        <v>-1.2993619887838826E-3</v>
      </c>
      <c r="U28">
        <f t="shared" si="14"/>
        <v>0.99999998092405151</v>
      </c>
      <c r="V28">
        <f t="shared" si="15"/>
        <v>-1.9532510575512261E-4</v>
      </c>
      <c r="X28">
        <f t="shared" si="34"/>
        <v>45.868194764878886</v>
      </c>
      <c r="Y28">
        <f t="shared" si="16"/>
        <v>-85.054744505232691</v>
      </c>
      <c r="Z28">
        <f t="shared" si="35"/>
        <v>94.945255494767309</v>
      </c>
      <c r="AC28">
        <v>1</v>
      </c>
      <c r="AD28">
        <f t="shared" si="17"/>
        <v>5.3909729874000001E-2</v>
      </c>
      <c r="AE28">
        <f t="shared" si="18"/>
        <v>-8.129395734510904E-10</v>
      </c>
      <c r="AF28">
        <f t="shared" si="19"/>
        <v>4.1619819427199992E-6</v>
      </c>
      <c r="AG28">
        <f t="shared" si="36"/>
        <v>12905.967266487041</v>
      </c>
      <c r="AH28">
        <f t="shared" si="37"/>
        <v>-240272.66469060723</v>
      </c>
      <c r="AJ28">
        <f t="shared" si="20"/>
        <v>18000</v>
      </c>
      <c r="AK28">
        <f t="shared" si="21"/>
        <v>23.388528960720002</v>
      </c>
      <c r="AL28">
        <v>1</v>
      </c>
      <c r="AM28">
        <f t="shared" si="22"/>
        <v>5.1062190296040005E-2</v>
      </c>
      <c r="AN28">
        <f t="shared" si="38"/>
        <v>17954.380963187068</v>
      </c>
      <c r="AO28">
        <f t="shared" si="39"/>
        <v>-893.40148842913607</v>
      </c>
      <c r="AQ28">
        <f t="shared" si="23"/>
        <v>8620.689655172413</v>
      </c>
      <c r="AR28">
        <f t="shared" si="24"/>
        <v>-3448.2758620689651</v>
      </c>
      <c r="AT28">
        <f t="shared" si="52"/>
        <v>-717268091.4634124</v>
      </c>
      <c r="AU28">
        <f t="shared" si="53"/>
        <v>-2115819410.3207071</v>
      </c>
      <c r="AV28">
        <f t="shared" si="42"/>
        <v>-1.8976404334717403</v>
      </c>
      <c r="AW28">
        <f t="shared" si="25"/>
        <v>151734405.71130118</v>
      </c>
      <c r="AX28">
        <f t="shared" si="26"/>
        <v>-71146197.0721457</v>
      </c>
      <c r="AY28">
        <f t="shared" si="50"/>
        <v>-0.4384483705716673</v>
      </c>
      <c r="BA28">
        <f t="shared" si="27"/>
        <v>13.331005332966917</v>
      </c>
      <c r="BB28">
        <f t="shared" si="43"/>
        <v>22.497258043185671</v>
      </c>
      <c r="BC28">
        <f t="shared" si="44"/>
        <v>-1.459192062900073</v>
      </c>
      <c r="BD28">
        <f t="shared" si="28"/>
        <v>-263.60554679869557</v>
      </c>
      <c r="BF28">
        <f t="shared" si="29"/>
        <v>45.833001995424013</v>
      </c>
      <c r="BG28">
        <f t="shared" si="30"/>
        <v>-84.583574208071269</v>
      </c>
      <c r="BH28">
        <f t="shared" si="45"/>
        <v>95.416425791928731</v>
      </c>
      <c r="BI28">
        <f t="shared" si="46"/>
        <v>95.416425791928731</v>
      </c>
      <c r="BJ28">
        <f t="shared" si="31"/>
        <v>0</v>
      </c>
      <c r="BK28">
        <f t="shared" si="47"/>
        <v>0</v>
      </c>
      <c r="BM28">
        <f t="shared" si="48"/>
        <v>23.335743952238342</v>
      </c>
      <c r="BN28">
        <f t="shared" si="32"/>
        <v>-0.97802740937568844</v>
      </c>
      <c r="BQ28" s="56">
        <f t="shared" si="49"/>
        <v>39.399218843470805</v>
      </c>
      <c r="BR28" s="58"/>
      <c r="BS28" s="58"/>
      <c r="BT28" s="58">
        <v>151.35599999999999</v>
      </c>
      <c r="BU28" s="58">
        <v>31.0519</v>
      </c>
      <c r="BV28" s="58">
        <v>-267.0283</v>
      </c>
      <c r="BW28" s="61"/>
      <c r="BY28" s="58"/>
      <c r="BZ28" s="58"/>
      <c r="CA28" s="58"/>
      <c r="CC28" s="58"/>
    </row>
    <row r="29" spans="1:81" x14ac:dyDescent="0.25">
      <c r="A29">
        <f t="shared" si="51"/>
        <v>300</v>
      </c>
      <c r="B29">
        <f t="shared" si="33"/>
        <v>0.3</v>
      </c>
      <c r="C29">
        <f t="shared" si="0"/>
        <v>1.0000000323772367</v>
      </c>
      <c r="D29">
        <f t="shared" si="1"/>
        <v>2.5446899915733135E-4</v>
      </c>
      <c r="F29">
        <f t="shared" si="2"/>
        <v>0.98105524576778269</v>
      </c>
      <c r="G29">
        <f t="shared" si="3"/>
        <v>-2.5920249473922057E-2</v>
      </c>
      <c r="H29">
        <f t="shared" si="4"/>
        <v>-2.5920249473922057E-2</v>
      </c>
      <c r="J29">
        <f t="shared" si="5"/>
        <v>15</v>
      </c>
      <c r="M29">
        <f t="shared" si="6"/>
        <v>8.8988942159686655</v>
      </c>
      <c r="N29">
        <f t="shared" si="7"/>
        <v>-1.5707963250000001</v>
      </c>
      <c r="O29">
        <f t="shared" si="8"/>
        <v>1.0032642138011041</v>
      </c>
      <c r="P29">
        <f t="shared" si="9"/>
        <v>8.0689023054037023E-2</v>
      </c>
      <c r="Q29">
        <f t="shared" si="10"/>
        <v>1.0029289762366602</v>
      </c>
      <c r="R29">
        <f t="shared" si="11"/>
        <v>7.6444031483974662E-2</v>
      </c>
      <c r="S29">
        <f t="shared" si="12"/>
        <v>0.99999810061899852</v>
      </c>
      <c r="T29">
        <f t="shared" si="13"/>
        <v>-1.949041612073729E-3</v>
      </c>
      <c r="U29">
        <f t="shared" si="14"/>
        <v>0.99999995707911771</v>
      </c>
      <c r="V29">
        <f t="shared" si="15"/>
        <v>-2.9298765397516957E-4</v>
      </c>
      <c r="X29">
        <f t="shared" si="34"/>
        <v>42.396108768164787</v>
      </c>
      <c r="Y29">
        <f t="shared" si="16"/>
        <v>-82.595938858115275</v>
      </c>
      <c r="Z29">
        <f t="shared" si="35"/>
        <v>97.404061141884725</v>
      </c>
      <c r="AC29">
        <v>1</v>
      </c>
      <c r="AD29">
        <f t="shared" si="17"/>
        <v>8.0864594811000001E-2</v>
      </c>
      <c r="AE29">
        <f t="shared" si="18"/>
        <v>-1.8291140402649535E-9</v>
      </c>
      <c r="AF29">
        <f t="shared" si="19"/>
        <v>6.2429729140799997E-6</v>
      </c>
      <c r="AG29">
        <f t="shared" si="36"/>
        <v>12905.966651003164</v>
      </c>
      <c r="AH29">
        <f t="shared" si="37"/>
        <v>-160183.87717643555</v>
      </c>
      <c r="AJ29">
        <f t="shared" si="20"/>
        <v>18000</v>
      </c>
      <c r="AK29">
        <f t="shared" si="21"/>
        <v>35.08279344108</v>
      </c>
      <c r="AL29">
        <v>1</v>
      </c>
      <c r="AM29">
        <f t="shared" si="22"/>
        <v>7.6593285444060008E-2</v>
      </c>
      <c r="AN29">
        <f t="shared" si="38"/>
        <v>17897.689747963701</v>
      </c>
      <c r="AO29">
        <f t="shared" si="39"/>
        <v>-1335.7600662139303</v>
      </c>
      <c r="AQ29">
        <f t="shared" si="23"/>
        <v>7352.9411764705892</v>
      </c>
      <c r="AR29">
        <f t="shared" si="24"/>
        <v>-4411.7647058823532</v>
      </c>
      <c r="AT29">
        <f t="shared" si="52"/>
        <v>-611796762.16807485</v>
      </c>
      <c r="AU29">
        <f t="shared" si="53"/>
        <v>-1234760714.4635108</v>
      </c>
      <c r="AV29">
        <f t="shared" si="42"/>
        <v>-2.0308197916654187</v>
      </c>
      <c r="AW29">
        <f t="shared" si="25"/>
        <v>125743486.74188074</v>
      </c>
      <c r="AX29">
        <f t="shared" si="26"/>
        <v>-89804923.181623578</v>
      </c>
      <c r="AY29">
        <f t="shared" si="50"/>
        <v>-0.62018706525886125</v>
      </c>
      <c r="BA29">
        <f t="shared" si="27"/>
        <v>8.9180610593476004</v>
      </c>
      <c r="BB29">
        <f t="shared" si="43"/>
        <v>19.005408830213351</v>
      </c>
      <c r="BC29">
        <f t="shared" si="44"/>
        <v>-1.4106327264065575</v>
      </c>
      <c r="BD29">
        <f t="shared" si="28"/>
        <v>-260.82330175848239</v>
      </c>
      <c r="BF29">
        <f t="shared" si="29"/>
        <v>42.361103578918254</v>
      </c>
      <c r="BG29">
        <f t="shared" si="30"/>
        <v>-82.293842659276009</v>
      </c>
      <c r="BH29">
        <f t="shared" si="45"/>
        <v>97.706157340723991</v>
      </c>
      <c r="BI29">
        <f t="shared" si="46"/>
        <v>97.706157340723991</v>
      </c>
      <c r="BJ29">
        <f t="shared" si="31"/>
        <v>0</v>
      </c>
      <c r="BK29">
        <f t="shared" si="47"/>
        <v>0</v>
      </c>
      <c r="BM29">
        <f t="shared" si="48"/>
        <v>23.355694748704906</v>
      </c>
      <c r="BN29">
        <f t="shared" si="32"/>
        <v>-1.4705409007936312</v>
      </c>
      <c r="BQ29" s="56">
        <f t="shared" si="49"/>
        <v>35.907369630498486</v>
      </c>
      <c r="BR29" s="58"/>
      <c r="BS29" s="58"/>
      <c r="BT29" s="58">
        <v>154.88200000000001</v>
      </c>
      <c r="BU29" s="58">
        <v>31.248699999999999</v>
      </c>
      <c r="BV29" s="58">
        <v>-260.69729999999998</v>
      </c>
      <c r="BW29" s="61"/>
      <c r="BY29" s="58"/>
      <c r="BZ29" s="58"/>
      <c r="CA29" s="58"/>
      <c r="CC29" s="58"/>
    </row>
    <row r="30" spans="1:81" x14ac:dyDescent="0.25">
      <c r="A30">
        <f t="shared" si="51"/>
        <v>400</v>
      </c>
      <c r="B30">
        <f t="shared" si="33"/>
        <v>0.4</v>
      </c>
      <c r="C30">
        <f t="shared" si="0"/>
        <v>1.0000000575595311</v>
      </c>
      <c r="D30">
        <f t="shared" si="1"/>
        <v>3.3929199318034138E-4</v>
      </c>
      <c r="F30">
        <f t="shared" si="2"/>
        <v>0.98422232647316732</v>
      </c>
      <c r="G30">
        <f t="shared" si="3"/>
        <v>-3.4674967508621396E-2</v>
      </c>
      <c r="H30">
        <f t="shared" si="4"/>
        <v>-3.4674967508621396E-2</v>
      </c>
      <c r="J30">
        <f t="shared" si="5"/>
        <v>15</v>
      </c>
      <c r="M30">
        <f t="shared" si="6"/>
        <v>6.6741706619764996</v>
      </c>
      <c r="N30">
        <f t="shared" si="7"/>
        <v>-1.5707963250000001</v>
      </c>
      <c r="O30">
        <f t="shared" si="8"/>
        <v>1.0057957227490832</v>
      </c>
      <c r="P30">
        <f t="shared" si="9"/>
        <v>0.10740454824564845</v>
      </c>
      <c r="Q30">
        <f t="shared" si="10"/>
        <v>1.0052011684788851</v>
      </c>
      <c r="R30">
        <f t="shared" si="11"/>
        <v>0.10177155419833649</v>
      </c>
      <c r="S30">
        <f t="shared" si="12"/>
        <v>0.99999662333014649</v>
      </c>
      <c r="T30">
        <f t="shared" si="13"/>
        <v>-2.5987195900488399E-3</v>
      </c>
      <c r="U30">
        <f t="shared" si="14"/>
        <v>0.99999992369621293</v>
      </c>
      <c r="V30">
        <f t="shared" si="15"/>
        <v>-3.9065019660619978E-4</v>
      </c>
      <c r="X30">
        <f t="shared" si="34"/>
        <v>39.966861474276818</v>
      </c>
      <c r="Y30">
        <f t="shared" si="16"/>
        <v>-80.153659709657148</v>
      </c>
      <c r="Z30">
        <f t="shared" si="35"/>
        <v>99.846340290342852</v>
      </c>
      <c r="AC30">
        <v>1</v>
      </c>
      <c r="AD30">
        <f t="shared" si="17"/>
        <v>0.107819459748</v>
      </c>
      <c r="AE30">
        <f t="shared" si="18"/>
        <v>-3.2517582938043616E-9</v>
      </c>
      <c r="AF30">
        <f t="shared" si="19"/>
        <v>8.3239638854399985E-6</v>
      </c>
      <c r="AG30">
        <f t="shared" si="36"/>
        <v>12905.965789325834</v>
      </c>
      <c r="AH30">
        <f t="shared" si="37"/>
        <v>-120140.11363390647</v>
      </c>
      <c r="AJ30">
        <f t="shared" si="20"/>
        <v>18000</v>
      </c>
      <c r="AK30">
        <f t="shared" si="21"/>
        <v>46.777057921440004</v>
      </c>
      <c r="AL30">
        <v>1</v>
      </c>
      <c r="AM30">
        <f t="shared" si="22"/>
        <v>0.10212438059208001</v>
      </c>
      <c r="AN30">
        <f t="shared" si="38"/>
        <v>17818.936456214473</v>
      </c>
      <c r="AO30">
        <f t="shared" si="39"/>
        <v>-1772.9707904790962</v>
      </c>
      <c r="AQ30">
        <f t="shared" si="23"/>
        <v>6097.5609756097556</v>
      </c>
      <c r="AR30">
        <f t="shared" si="24"/>
        <v>-4878.0487804878048</v>
      </c>
      <c r="AT30">
        <f t="shared" si="52"/>
        <v>-507354421.44999599</v>
      </c>
      <c r="AU30">
        <f t="shared" si="53"/>
        <v>-795517599.17906785</v>
      </c>
      <c r="AV30">
        <f t="shared" si="42"/>
        <v>-2.1385233709694069</v>
      </c>
      <c r="AW30">
        <f t="shared" si="25"/>
        <v>100039204.60037892</v>
      </c>
      <c r="AX30">
        <f t="shared" si="26"/>
        <v>-98500442.051722765</v>
      </c>
      <c r="AY30">
        <f t="shared" si="50"/>
        <v>-0.77764791418934309</v>
      </c>
      <c r="BA30">
        <f t="shared" si="27"/>
        <v>6.720666575301748</v>
      </c>
      <c r="BB30">
        <f t="shared" si="43"/>
        <v>16.548246995655724</v>
      </c>
      <c r="BC30">
        <f t="shared" si="44"/>
        <v>-1.3608754567800638</v>
      </c>
      <c r="BD30">
        <f t="shared" si="28"/>
        <v>-257.97242020553222</v>
      </c>
      <c r="BF30">
        <f t="shared" si="29"/>
        <v>39.931936926941525</v>
      </c>
      <c r="BG30">
        <f t="shared" si="30"/>
        <v>-79.939709501545607</v>
      </c>
      <c r="BH30">
        <f t="shared" si="45"/>
        <v>100.06029049845439</v>
      </c>
      <c r="BI30">
        <f t="shared" si="46"/>
        <v>100.06029049845439</v>
      </c>
      <c r="BJ30">
        <f t="shared" si="31"/>
        <v>0</v>
      </c>
      <c r="BK30">
        <f t="shared" si="47"/>
        <v>0</v>
      </c>
      <c r="BM30">
        <f t="shared" si="48"/>
        <v>23.383689931285801</v>
      </c>
      <c r="BN30">
        <f t="shared" si="32"/>
        <v>-1.9672892960134056</v>
      </c>
      <c r="BQ30" s="56">
        <f t="shared" si="49"/>
        <v>33.450207795940862</v>
      </c>
      <c r="BR30" s="58"/>
      <c r="BS30" s="58"/>
      <c r="BT30" s="58">
        <v>158.489</v>
      </c>
      <c r="BU30" s="58">
        <v>31.003699999999998</v>
      </c>
      <c r="BV30" s="58">
        <v>-259.86900000000003</v>
      </c>
      <c r="BW30" s="61"/>
      <c r="BY30" s="58"/>
      <c r="BZ30" s="58"/>
      <c r="CA30" s="58"/>
      <c r="CC30" s="58"/>
    </row>
    <row r="31" spans="1:81" x14ac:dyDescent="0.25">
      <c r="A31">
        <f t="shared" si="51"/>
        <v>500</v>
      </c>
      <c r="B31">
        <f t="shared" si="33"/>
        <v>0.5</v>
      </c>
      <c r="C31">
        <f t="shared" si="0"/>
        <v>1.0000000899367658</v>
      </c>
      <c r="D31">
        <f t="shared" si="1"/>
        <v>4.2411498232098021E-4</v>
      </c>
      <c r="F31">
        <f t="shared" si="2"/>
        <v>0.98832185961399655</v>
      </c>
      <c r="G31">
        <f t="shared" si="3"/>
        <v>-4.3529270645590097E-2</v>
      </c>
      <c r="H31">
        <f t="shared" si="4"/>
        <v>-4.3529270645590097E-2</v>
      </c>
      <c r="J31">
        <f t="shared" si="5"/>
        <v>15</v>
      </c>
      <c r="M31">
        <f t="shared" si="6"/>
        <v>5.3393365295811996</v>
      </c>
      <c r="N31">
        <f t="shared" si="7"/>
        <v>-1.5707963250000001</v>
      </c>
      <c r="O31">
        <f t="shared" si="8"/>
        <v>1.0090411877591012</v>
      </c>
      <c r="P31">
        <f t="shared" si="9"/>
        <v>0.1339670853253922</v>
      </c>
      <c r="Q31">
        <f t="shared" si="10"/>
        <v>1.0081150333599986</v>
      </c>
      <c r="R31">
        <f t="shared" si="11"/>
        <v>0.12696875660972234</v>
      </c>
      <c r="S31">
        <f t="shared" si="12"/>
        <v>0.99999472396838551</v>
      </c>
      <c r="T31">
        <f t="shared" si="13"/>
        <v>-3.2483953742839322E-3</v>
      </c>
      <c r="U31">
        <f t="shared" si="14"/>
        <v>0.9999998807753403</v>
      </c>
      <c r="V31">
        <f t="shared" si="15"/>
        <v>-4.8831273178520879E-4</v>
      </c>
      <c r="X31">
        <f t="shared" si="34"/>
        <v>38.117872716027648</v>
      </c>
      <c r="Y31">
        <f t="shared" si="16"/>
        <v>-77.733318617918286</v>
      </c>
      <c r="Z31">
        <f t="shared" si="35"/>
        <v>102.26668138208171</v>
      </c>
      <c r="AC31">
        <v>1</v>
      </c>
      <c r="AD31">
        <f t="shared" si="17"/>
        <v>0.134774324685</v>
      </c>
      <c r="AE31">
        <f t="shared" si="18"/>
        <v>-5.0808723340693153E-9</v>
      </c>
      <c r="AF31">
        <f t="shared" si="19"/>
        <v>1.04049548568E-5</v>
      </c>
      <c r="AG31">
        <f t="shared" si="36"/>
        <v>12905.964681455143</v>
      </c>
      <c r="AH31">
        <f t="shared" si="37"/>
        <v>-96114.359679832429</v>
      </c>
      <c r="AJ31">
        <f t="shared" si="20"/>
        <v>18000</v>
      </c>
      <c r="AK31">
        <f t="shared" si="21"/>
        <v>58.471322401800002</v>
      </c>
      <c r="AL31">
        <v>1</v>
      </c>
      <c r="AM31">
        <f t="shared" si="22"/>
        <v>0.1276554757401</v>
      </c>
      <c r="AN31">
        <f t="shared" si="38"/>
        <v>17718.721310875098</v>
      </c>
      <c r="AO31">
        <f t="shared" si="39"/>
        <v>-2203.420476044209</v>
      </c>
      <c r="AQ31">
        <f t="shared" si="23"/>
        <v>5000</v>
      </c>
      <c r="AR31">
        <f t="shared" si="24"/>
        <v>-5000</v>
      </c>
      <c r="AT31">
        <f t="shared" si="52"/>
        <v>-416041974.99188644</v>
      </c>
      <c r="AU31">
        <f t="shared" si="53"/>
        <v>-545101621.80643785</v>
      </c>
      <c r="AV31">
        <f t="shared" si="42"/>
        <v>-2.2227157175987378</v>
      </c>
      <c r="AW31">
        <f t="shared" si="25"/>
        <v>77612174.445292383</v>
      </c>
      <c r="AX31">
        <f t="shared" si="26"/>
        <v>-100226060.15405272</v>
      </c>
      <c r="AY31">
        <f t="shared" si="50"/>
        <v>-0.91187922479843098</v>
      </c>
      <c r="BA31">
        <f t="shared" si="27"/>
        <v>5.4095407616059275</v>
      </c>
      <c r="BB31">
        <f t="shared" si="43"/>
        <v>14.663207952164555</v>
      </c>
      <c r="BC31">
        <f t="shared" si="44"/>
        <v>-1.3108364928003069</v>
      </c>
      <c r="BD31">
        <f t="shared" si="28"/>
        <v>-255.10539875500893</v>
      </c>
      <c r="BF31">
        <f t="shared" si="29"/>
        <v>38.083001937607548</v>
      </c>
      <c r="BG31">
        <f t="shared" si="30"/>
        <v>-77.57514225259078</v>
      </c>
      <c r="BH31">
        <f t="shared" si="45"/>
        <v>102.42485774740922</v>
      </c>
      <c r="BI31">
        <f t="shared" si="46"/>
        <v>102.42485774740922</v>
      </c>
      <c r="BJ31">
        <f t="shared" si="31"/>
        <v>0</v>
      </c>
      <c r="BK31">
        <f t="shared" si="47"/>
        <v>0</v>
      </c>
      <c r="BM31">
        <f t="shared" si="48"/>
        <v>23.419793985442997</v>
      </c>
      <c r="BN31">
        <f t="shared" si="32"/>
        <v>-2.4697434975818524</v>
      </c>
      <c r="BQ31" s="56">
        <f t="shared" si="49"/>
        <v>31.565168752449694</v>
      </c>
      <c r="BR31" s="58"/>
      <c r="BS31" s="58"/>
      <c r="BT31" s="58">
        <v>162.18100000000001</v>
      </c>
      <c r="BU31" s="58">
        <v>30.429300000000001</v>
      </c>
      <c r="BV31" s="58">
        <v>-262.39859999999999</v>
      </c>
      <c r="BW31" s="61"/>
      <c r="BY31" s="58"/>
      <c r="BZ31" s="58"/>
      <c r="CA31" s="58"/>
      <c r="CC31" s="58"/>
    </row>
    <row r="32" spans="1:81" x14ac:dyDescent="0.25">
      <c r="A32">
        <f t="shared" si="51"/>
        <v>600</v>
      </c>
      <c r="B32">
        <f t="shared" si="33"/>
        <v>0.6</v>
      </c>
      <c r="C32">
        <f t="shared" si="0"/>
        <v>1.0000001295089402</v>
      </c>
      <c r="D32">
        <f t="shared" si="1"/>
        <v>5.0893796535865586E-4</v>
      </c>
      <c r="F32">
        <f t="shared" si="2"/>
        <v>0.99337495329453851</v>
      </c>
      <c r="G32">
        <f t="shared" si="3"/>
        <v>-5.250974129850762E-2</v>
      </c>
      <c r="H32">
        <f t="shared" si="4"/>
        <v>-5.250974129850762E-2</v>
      </c>
      <c r="J32">
        <f t="shared" si="5"/>
        <v>15</v>
      </c>
      <c r="M32">
        <f t="shared" si="6"/>
        <v>4.4494471079843327</v>
      </c>
      <c r="N32">
        <f t="shared" si="7"/>
        <v>-1.5707963250000001</v>
      </c>
      <c r="O32">
        <f t="shared" si="8"/>
        <v>1.0129937466617396</v>
      </c>
      <c r="P32">
        <f t="shared" si="9"/>
        <v>0.16034083320518533</v>
      </c>
      <c r="Q32">
        <f t="shared" si="10"/>
        <v>1.011665026330584</v>
      </c>
      <c r="R32">
        <f t="shared" si="11"/>
        <v>0.15200493212167315</v>
      </c>
      <c r="S32">
        <f t="shared" si="12"/>
        <v>0.9999924025409308</v>
      </c>
      <c r="T32">
        <f t="shared" si="13"/>
        <v>-3.8980684163648365E-3</v>
      </c>
      <c r="U32">
        <f t="shared" si="14"/>
        <v>0.99999982831650358</v>
      </c>
      <c r="V32">
        <f t="shared" si="15"/>
        <v>-5.8597525764919286E-4</v>
      </c>
      <c r="X32">
        <f t="shared" si="34"/>
        <v>36.643013925357948</v>
      </c>
      <c r="Y32">
        <f t="shared" si="16"/>
        <v>-75.340249221188742</v>
      </c>
      <c r="Z32">
        <f t="shared" si="35"/>
        <v>104.65975077881126</v>
      </c>
      <c r="AC32">
        <v>1</v>
      </c>
      <c r="AD32">
        <f t="shared" si="17"/>
        <v>0.161729189622</v>
      </c>
      <c r="AE32">
        <f t="shared" si="18"/>
        <v>-7.316456161059814E-9</v>
      </c>
      <c r="AF32">
        <f t="shared" si="19"/>
        <v>1.2485945828159999E-5</v>
      </c>
      <c r="AG32">
        <f t="shared" si="36"/>
        <v>12905.963327391231</v>
      </c>
      <c r="AH32">
        <f t="shared" si="37"/>
        <v>-80097.610519769543</v>
      </c>
      <c r="AJ32">
        <f t="shared" si="20"/>
        <v>18000</v>
      </c>
      <c r="AK32">
        <f t="shared" si="21"/>
        <v>70.16558688216</v>
      </c>
      <c r="AL32">
        <v>1</v>
      </c>
      <c r="AM32">
        <f t="shared" si="22"/>
        <v>0.15318657088812002</v>
      </c>
      <c r="AN32">
        <f t="shared" si="38"/>
        <v>17597.796328473323</v>
      </c>
      <c r="AO32">
        <f t="shared" si="39"/>
        <v>-2625.5804878642161</v>
      </c>
      <c r="AQ32">
        <f t="shared" si="23"/>
        <v>4098.3606557377052</v>
      </c>
      <c r="AR32">
        <f t="shared" si="24"/>
        <v>-4918.0327868852464</v>
      </c>
      <c r="AT32">
        <f t="shared" si="52"/>
        <v>-341029382.36201733</v>
      </c>
      <c r="AU32">
        <f t="shared" si="53"/>
        <v>-391740846.36327469</v>
      </c>
      <c r="AV32">
        <f t="shared" si="42"/>
        <v>-2.2870995194455537</v>
      </c>
      <c r="AW32">
        <f t="shared" si="25"/>
        <v>59244949.720772713</v>
      </c>
      <c r="AX32">
        <f t="shared" si="26"/>
        <v>-97820861.646011844</v>
      </c>
      <c r="AY32">
        <f t="shared" si="50"/>
        <v>-1.0262346764450907</v>
      </c>
      <c r="BA32">
        <f t="shared" si="27"/>
        <v>4.5415590893842177</v>
      </c>
      <c r="BB32">
        <f t="shared" si="43"/>
        <v>13.144099381724663</v>
      </c>
      <c r="BC32">
        <f t="shared" si="44"/>
        <v>-1.260864843000463</v>
      </c>
      <c r="BD32">
        <f t="shared" si="28"/>
        <v>-252.24223412290047</v>
      </c>
      <c r="BF32">
        <f t="shared" si="29"/>
        <v>36.608189799853534</v>
      </c>
      <c r="BG32">
        <f t="shared" si="30"/>
        <v>-75.221660688584222</v>
      </c>
      <c r="BH32">
        <f t="shared" si="45"/>
        <v>104.77833931141578</v>
      </c>
      <c r="BI32">
        <f t="shared" si="46"/>
        <v>104.77833931141578</v>
      </c>
      <c r="BJ32">
        <f t="shared" si="31"/>
        <v>0</v>
      </c>
      <c r="BK32">
        <f t="shared" si="47"/>
        <v>0</v>
      </c>
      <c r="BM32">
        <f t="shared" si="48"/>
        <v>23.464090418128873</v>
      </c>
      <c r="BN32">
        <f t="shared" si="32"/>
        <v>-2.9794265656837506</v>
      </c>
      <c r="BQ32" s="56">
        <f t="shared" si="49"/>
        <v>30.046060182009803</v>
      </c>
      <c r="BR32" s="58"/>
      <c r="BS32" s="58"/>
      <c r="BT32" s="58">
        <v>165.959</v>
      </c>
      <c r="BU32" s="58">
        <v>29.9194</v>
      </c>
      <c r="BV32" s="58">
        <v>-264.8295</v>
      </c>
      <c r="BW32" s="61"/>
      <c r="BY32" s="58"/>
      <c r="BZ32" s="58"/>
      <c r="CA32" s="58"/>
      <c r="CC32" s="58"/>
    </row>
    <row r="33" spans="1:81" x14ac:dyDescent="0.25">
      <c r="A33">
        <f t="shared" si="51"/>
        <v>700</v>
      </c>
      <c r="B33">
        <f t="shared" si="33"/>
        <v>0.7</v>
      </c>
      <c r="C33">
        <f t="shared" si="0"/>
        <v>1.0000001762760535</v>
      </c>
      <c r="D33">
        <f t="shared" si="1"/>
        <v>5.9376094107277692E-4</v>
      </c>
      <c r="F33">
        <f t="shared" si="2"/>
        <v>0.99940789211022585</v>
      </c>
      <c r="G33">
        <f t="shared" si="3"/>
        <v>-6.1644130168005559E-2</v>
      </c>
      <c r="H33">
        <f t="shared" si="4"/>
        <v>-6.1644130168005559E-2</v>
      </c>
      <c r="J33">
        <f t="shared" si="5"/>
        <v>15</v>
      </c>
      <c r="M33">
        <f t="shared" si="6"/>
        <v>3.8138118068437139</v>
      </c>
      <c r="N33">
        <f t="shared" si="7"/>
        <v>-1.5707963250000001</v>
      </c>
      <c r="O33">
        <f t="shared" si="8"/>
        <v>1.0176451603799939</v>
      </c>
      <c r="P33">
        <f t="shared" si="9"/>
        <v>0.18649154561510053</v>
      </c>
      <c r="Q33">
        <f t="shared" si="10"/>
        <v>1.0158444783299287</v>
      </c>
      <c r="R33">
        <f t="shared" si="11"/>
        <v>0.17685057086633391</v>
      </c>
      <c r="S33">
        <f t="shared" si="12"/>
        <v>0.99998965905660064</v>
      </c>
      <c r="T33">
        <f t="shared" si="13"/>
        <v>-4.5477381678912686E-3</v>
      </c>
      <c r="U33">
        <f t="shared" si="14"/>
        <v>0.99999976631970711</v>
      </c>
      <c r="V33">
        <f t="shared" si="15"/>
        <v>-6.8363777233514925E-4</v>
      </c>
      <c r="X33">
        <f t="shared" si="34"/>
        <v>35.432247450449012</v>
      </c>
      <c r="Y33">
        <f t="shared" si="16"/>
        <v>-72.979694443654381</v>
      </c>
      <c r="Z33">
        <f t="shared" si="35"/>
        <v>107.02030555634562</v>
      </c>
      <c r="AC33">
        <v>1</v>
      </c>
      <c r="AD33">
        <f t="shared" si="17"/>
        <v>0.18868405455900003</v>
      </c>
      <c r="AE33">
        <f t="shared" si="18"/>
        <v>-9.9585097747758594E-9</v>
      </c>
      <c r="AF33">
        <f t="shared" si="19"/>
        <v>1.4566936799519999E-5</v>
      </c>
      <c r="AG33">
        <f t="shared" si="36"/>
        <v>12905.961727134245</v>
      </c>
      <c r="AH33">
        <f t="shared" si="37"/>
        <v>-68657.435527486334</v>
      </c>
      <c r="AJ33">
        <f t="shared" si="20"/>
        <v>18000</v>
      </c>
      <c r="AK33">
        <f t="shared" si="21"/>
        <v>81.859851362520004</v>
      </c>
      <c r="AL33">
        <v>1</v>
      </c>
      <c r="AM33">
        <f t="shared" si="22"/>
        <v>0.17871766603614</v>
      </c>
      <c r="AN33">
        <f t="shared" si="38"/>
        <v>17457.051504032566</v>
      </c>
      <c r="AO33">
        <f t="shared" si="39"/>
        <v>-3038.0236493108673</v>
      </c>
      <c r="AQ33">
        <f t="shared" si="23"/>
        <v>3378.3783783783783</v>
      </c>
      <c r="AR33">
        <f t="shared" si="24"/>
        <v>-4729.72972972973</v>
      </c>
      <c r="AT33">
        <f t="shared" si="52"/>
        <v>-281129891.93022507</v>
      </c>
      <c r="AU33">
        <f t="shared" si="53"/>
        <v>-292992506.57254821</v>
      </c>
      <c r="AV33">
        <f t="shared" si="42"/>
        <v>-2.3355352597642063</v>
      </c>
      <c r="AW33">
        <f t="shared" si="25"/>
        <v>44642849.510418557</v>
      </c>
      <c r="AX33">
        <f t="shared" si="26"/>
        <v>-93272034.744518802</v>
      </c>
      <c r="AY33">
        <f t="shared" si="50"/>
        <v>-1.1243899213257706</v>
      </c>
      <c r="BA33">
        <f t="shared" si="27"/>
        <v>3.9268053254971051</v>
      </c>
      <c r="BB33">
        <f t="shared" si="43"/>
        <v>11.880787426182192</v>
      </c>
      <c r="BC33">
        <f t="shared" si="44"/>
        <v>-1.2111453384384356</v>
      </c>
      <c r="BD33">
        <f t="shared" si="28"/>
        <v>-249.39351634875973</v>
      </c>
      <c r="BF33">
        <f t="shared" si="29"/>
        <v>35.397469631423689</v>
      </c>
      <c r="BG33">
        <f t="shared" si="30"/>
        <v>-72.891444847175308</v>
      </c>
      <c r="BH33">
        <f t="shared" si="45"/>
        <v>107.10855515282469</v>
      </c>
      <c r="BI33">
        <f t="shared" si="46"/>
        <v>107.10855515282469</v>
      </c>
      <c r="BJ33">
        <f t="shared" si="31"/>
        <v>0</v>
      </c>
      <c r="BK33">
        <f t="shared" si="47"/>
        <v>0</v>
      </c>
      <c r="BM33">
        <f t="shared" si="48"/>
        <v>23.516682205241498</v>
      </c>
      <c r="BN33">
        <f t="shared" si="32"/>
        <v>-3.4979284984155732</v>
      </c>
      <c r="BQ33" s="56">
        <f t="shared" si="49"/>
        <v>28.782748226467326</v>
      </c>
      <c r="BR33" s="58"/>
      <c r="BS33" s="58"/>
      <c r="BT33" s="58">
        <v>169.82400000000001</v>
      </c>
      <c r="BU33" s="58">
        <v>29.808900000000001</v>
      </c>
      <c r="BV33" s="58">
        <v>-267.72770000000003</v>
      </c>
      <c r="BW33" s="61"/>
      <c r="BY33" s="58"/>
      <c r="BZ33" s="58"/>
      <c r="CA33" s="58"/>
      <c r="CC33" s="58"/>
    </row>
    <row r="34" spans="1:81" x14ac:dyDescent="0.25">
      <c r="A34">
        <f t="shared" si="51"/>
        <v>800</v>
      </c>
      <c r="B34">
        <f t="shared" si="33"/>
        <v>0.8</v>
      </c>
      <c r="C34">
        <f t="shared" si="0"/>
        <v>1.0000002302381044</v>
      </c>
      <c r="D34">
        <f t="shared" si="1"/>
        <v>6.7858390824275235E-4</v>
      </c>
      <c r="F34">
        <f t="shared" si="2"/>
        <v>1.0064524416993372</v>
      </c>
      <c r="G34">
        <f t="shared" si="3"/>
        <v>-7.0961635722942035E-2</v>
      </c>
      <c r="H34">
        <f t="shared" si="4"/>
        <v>-7.0961635722942035E-2</v>
      </c>
      <c r="J34">
        <f t="shared" si="5"/>
        <v>15</v>
      </c>
      <c r="M34">
        <f t="shared" si="6"/>
        <v>3.3370853309882498</v>
      </c>
      <c r="N34">
        <f t="shared" si="7"/>
        <v>-1.5707963250000001</v>
      </c>
      <c r="O34">
        <f t="shared" si="8"/>
        <v>1.0229858960911447</v>
      </c>
      <c r="P34">
        <f t="shared" si="9"/>
        <v>0.21238677010721774</v>
      </c>
      <c r="Q34">
        <f t="shared" si="10"/>
        <v>1.0206456566533089</v>
      </c>
      <c r="R34">
        <f t="shared" si="11"/>
        <v>0.2014775491826172</v>
      </c>
      <c r="S34">
        <f t="shared" si="12"/>
        <v>0.99998649352581637</v>
      </c>
      <c r="T34">
        <f t="shared" si="13"/>
        <v>-5.1974040804796144E-3</v>
      </c>
      <c r="U34">
        <f t="shared" si="14"/>
        <v>0.99999969478495643</v>
      </c>
      <c r="V34">
        <f t="shared" si="15"/>
        <v>-7.8130027398007676E-4</v>
      </c>
      <c r="X34">
        <f t="shared" si="34"/>
        <v>34.419811366452478</v>
      </c>
      <c r="Y34">
        <f t="shared" si="16"/>
        <v>-70.656797958283448</v>
      </c>
      <c r="Z34">
        <f t="shared" si="35"/>
        <v>109.34320204171655</v>
      </c>
      <c r="AC34">
        <v>1</v>
      </c>
      <c r="AD34">
        <f t="shared" si="17"/>
        <v>0.215638919496</v>
      </c>
      <c r="AE34">
        <f t="shared" si="18"/>
        <v>-1.3007033175217446E-8</v>
      </c>
      <c r="AF34">
        <f t="shared" si="19"/>
        <v>1.6647927770879997E-5</v>
      </c>
      <c r="AG34">
        <f t="shared" si="36"/>
        <v>12905.959880684368</v>
      </c>
      <c r="AH34">
        <f t="shared" si="37"/>
        <v>-60077.619389831008</v>
      </c>
      <c r="AJ34">
        <f t="shared" si="20"/>
        <v>18000</v>
      </c>
      <c r="AK34">
        <f t="shared" si="21"/>
        <v>93.554115842880009</v>
      </c>
      <c r="AL34">
        <v>1</v>
      </c>
      <c r="AM34">
        <f t="shared" si="22"/>
        <v>0.20424876118416002</v>
      </c>
      <c r="AN34">
        <f t="shared" si="38"/>
        <v>17297.49892451907</v>
      </c>
      <c r="AO34">
        <f t="shared" si="39"/>
        <v>-3439.4386110744799</v>
      </c>
      <c r="AQ34">
        <f t="shared" si="23"/>
        <v>2808.9887640449433</v>
      </c>
      <c r="AR34">
        <f t="shared" si="24"/>
        <v>-4494.3820224719093</v>
      </c>
      <c r="AT34">
        <f t="shared" si="52"/>
        <v>-233759076.2445091</v>
      </c>
      <c r="AU34">
        <f t="shared" si="53"/>
        <v>-226761671.90709546</v>
      </c>
      <c r="AV34">
        <f t="shared" si="42"/>
        <v>-2.371387868412993</v>
      </c>
      <c r="AW34">
        <f t="shared" si="25"/>
        <v>33165491.719826981</v>
      </c>
      <c r="AX34">
        <f t="shared" si="26"/>
        <v>-87789999.240529135</v>
      </c>
      <c r="AY34">
        <f t="shared" si="50"/>
        <v>-1.2095887744638794</v>
      </c>
      <c r="BA34">
        <f t="shared" si="27"/>
        <v>3.4703198140820062</v>
      </c>
      <c r="BB34">
        <f t="shared" si="43"/>
        <v>10.80738999778205</v>
      </c>
      <c r="BC34">
        <f t="shared" si="44"/>
        <v>-1.1617990939491136</v>
      </c>
      <c r="BD34">
        <f t="shared" si="28"/>
        <v>-246.56618480147017</v>
      </c>
      <c r="BF34">
        <f t="shared" si="29"/>
        <v>34.385082335083865</v>
      </c>
      <c r="BG34">
        <f t="shared" si="30"/>
        <v>-70.593107046353154</v>
      </c>
      <c r="BH34">
        <f t="shared" si="45"/>
        <v>109.40689295364685</v>
      </c>
      <c r="BI34">
        <f t="shared" si="46"/>
        <v>109.40689295364685</v>
      </c>
      <c r="BJ34">
        <f t="shared" si="31"/>
        <v>0</v>
      </c>
      <c r="BK34">
        <f t="shared" si="47"/>
        <v>0</v>
      </c>
      <c r="BM34">
        <f t="shared" si="48"/>
        <v>23.577692337301816</v>
      </c>
      <c r="BN34">
        <f t="shared" si="32"/>
        <v>-4.0269222448829796</v>
      </c>
      <c r="BQ34" s="56">
        <f t="shared" si="49"/>
        <v>27.709350798067184</v>
      </c>
      <c r="BR34" s="58"/>
      <c r="BS34" s="58"/>
      <c r="BT34" s="58">
        <v>173.78</v>
      </c>
      <c r="BU34" s="58">
        <v>30.070900000000002</v>
      </c>
      <c r="BV34" s="58">
        <v>-269.952</v>
      </c>
      <c r="BW34" s="61"/>
      <c r="BY34" s="58"/>
      <c r="BZ34" s="58"/>
      <c r="CA34" s="58"/>
      <c r="CC34" s="58"/>
    </row>
    <row r="35" spans="1:81" x14ac:dyDescent="0.25">
      <c r="A35">
        <f t="shared" si="51"/>
        <v>900</v>
      </c>
      <c r="B35">
        <f t="shared" si="33"/>
        <v>0.9</v>
      </c>
      <c r="C35">
        <f t="shared" si="0"/>
        <v>1.0000002913950921</v>
      </c>
      <c r="D35">
        <f t="shared" si="1"/>
        <v>7.6340686564799231E-4</v>
      </c>
      <c r="F35">
        <f t="shared" si="2"/>
        <v>1.0145462208218412</v>
      </c>
      <c r="G35">
        <f t="shared" si="3"/>
        <v>-8.0493210825901676E-2</v>
      </c>
      <c r="H35">
        <f t="shared" si="4"/>
        <v>-8.0493210825901676E-2</v>
      </c>
      <c r="J35">
        <f t="shared" si="5"/>
        <v>15</v>
      </c>
      <c r="M35">
        <f t="shared" si="6"/>
        <v>2.9662980719895553</v>
      </c>
      <c r="N35">
        <f t="shared" si="7"/>
        <v>-1.5707963250000001</v>
      </c>
      <c r="O35">
        <f t="shared" si="8"/>
        <v>1.0290052207085856</v>
      </c>
      <c r="P35">
        <f t="shared" si="9"/>
        <v>0.23799605241747807</v>
      </c>
      <c r="Q35">
        <f t="shared" si="10"/>
        <v>1.0260598337212294</v>
      </c>
      <c r="R35">
        <f t="shared" si="11"/>
        <v>0.22585929477359903</v>
      </c>
      <c r="S35">
        <f t="shared" si="12"/>
        <v>0.99998290596060224</v>
      </c>
      <c r="T35">
        <f t="shared" si="13"/>
        <v>-5.8470656057656983E-3</v>
      </c>
      <c r="U35">
        <f t="shared" si="14"/>
        <v>0.99999961371225754</v>
      </c>
      <c r="V35">
        <f t="shared" si="15"/>
        <v>-8.7896276072097531E-4</v>
      </c>
      <c r="X35">
        <f t="shared" si="34"/>
        <v>33.563213721041095</v>
      </c>
      <c r="Y35">
        <f t="shared" si="16"/>
        <v>-68.376600583280393</v>
      </c>
      <c r="Z35">
        <f t="shared" si="35"/>
        <v>111.62339941671961</v>
      </c>
      <c r="AC35">
        <v>1</v>
      </c>
      <c r="AD35">
        <f t="shared" si="17"/>
        <v>0.242593784433</v>
      </c>
      <c r="AE35">
        <f t="shared" si="18"/>
        <v>-1.6462026362384584E-8</v>
      </c>
      <c r="AF35">
        <f t="shared" si="19"/>
        <v>1.8728918742240002E-5</v>
      </c>
      <c r="AG35">
        <f t="shared" si="36"/>
        <v>12905.957788041809</v>
      </c>
      <c r="AH35">
        <f t="shared" si="37"/>
        <v>-53404.709155020435</v>
      </c>
      <c r="AJ35">
        <f t="shared" si="20"/>
        <v>18000</v>
      </c>
      <c r="AK35">
        <f t="shared" si="21"/>
        <v>105.24838032324001</v>
      </c>
      <c r="AL35">
        <v>1</v>
      </c>
      <c r="AM35">
        <f t="shared" si="22"/>
        <v>0.22977985633217998</v>
      </c>
      <c r="AN35">
        <f t="shared" si="38"/>
        <v>17120.255322704219</v>
      </c>
      <c r="AO35">
        <f t="shared" si="39"/>
        <v>-3828.6414280979743</v>
      </c>
      <c r="AQ35">
        <f t="shared" si="23"/>
        <v>2358.4905660377358</v>
      </c>
      <c r="AR35">
        <f t="shared" si="24"/>
        <v>-4245.2830188679245</v>
      </c>
      <c r="AT35">
        <f t="shared" si="52"/>
        <v>-196279525.21461079</v>
      </c>
      <c r="AU35">
        <f t="shared" si="53"/>
        <v>-180743946.16390494</v>
      </c>
      <c r="AV35">
        <f t="shared" si="42"/>
        <v>-2.3973770595406991</v>
      </c>
      <c r="AW35">
        <f t="shared" si="25"/>
        <v>24159243.286044918</v>
      </c>
      <c r="AX35">
        <f t="shared" si="26"/>
        <v>-82055153.109482631</v>
      </c>
      <c r="AY35">
        <f t="shared" si="50"/>
        <v>-1.2844602900529019</v>
      </c>
      <c r="BA35">
        <f t="shared" si="27"/>
        <v>3.1193466659718121</v>
      </c>
      <c r="BB35">
        <f t="shared" si="43"/>
        <v>9.8812728478354259</v>
      </c>
      <c r="BC35">
        <f t="shared" si="44"/>
        <v>-1.1129167694877973</v>
      </c>
      <c r="BD35">
        <f t="shared" si="28"/>
        <v>-243.76543391384735</v>
      </c>
      <c r="BF35">
        <f t="shared" si="29"/>
        <v>33.528537309207096</v>
      </c>
      <c r="BG35">
        <f t="shared" si="30"/>
        <v>-68.333615187395196</v>
      </c>
      <c r="BH35">
        <f t="shared" si="45"/>
        <v>111.6663848126048</v>
      </c>
      <c r="BI35">
        <f t="shared" si="46"/>
        <v>111.6663848126048</v>
      </c>
      <c r="BJ35">
        <f t="shared" si="31"/>
        <v>0</v>
      </c>
      <c r="BK35">
        <f t="shared" si="47"/>
        <v>0</v>
      </c>
      <c r="BM35">
        <f t="shared" si="48"/>
        <v>23.647264461371673</v>
      </c>
      <c r="BN35">
        <f t="shared" si="32"/>
        <v>-4.5681812735478813</v>
      </c>
      <c r="BQ35" s="56">
        <f t="shared" si="49"/>
        <v>26.783233648120564</v>
      </c>
      <c r="BR35" s="58"/>
      <c r="BS35" s="58"/>
      <c r="BT35" s="58">
        <v>177.828</v>
      </c>
      <c r="BU35" s="58">
        <v>29.720099999999999</v>
      </c>
      <c r="BV35" s="58">
        <v>-271.56010000000003</v>
      </c>
      <c r="BW35" s="61"/>
      <c r="BY35" s="58"/>
      <c r="BZ35" s="58"/>
      <c r="CA35" s="58"/>
      <c r="CC35" s="58"/>
    </row>
    <row r="36" spans="1:81" x14ac:dyDescent="0.25">
      <c r="A36">
        <f t="shared" si="51"/>
        <v>1000</v>
      </c>
      <c r="B36">
        <f t="shared" si="33"/>
        <v>1</v>
      </c>
      <c r="C36">
        <f t="shared" si="0"/>
        <v>1.0000003597470148</v>
      </c>
      <c r="D36">
        <f t="shared" si="1"/>
        <v>8.4822981206790732E-4</v>
      </c>
      <c r="F36">
        <f t="shared" si="2"/>
        <v>1.0237331473391855</v>
      </c>
      <c r="G36">
        <f t="shared" si="3"/>
        <v>-9.0271902936100643E-2</v>
      </c>
      <c r="H36">
        <f t="shared" si="4"/>
        <v>-9.0271902936100643E-2</v>
      </c>
      <c r="J36">
        <f t="shared" si="5"/>
        <v>15</v>
      </c>
      <c r="M36">
        <f t="shared" si="6"/>
        <v>2.6696682647905998</v>
      </c>
      <c r="N36">
        <f t="shared" si="7"/>
        <v>-1.5707963250000001</v>
      </c>
      <c r="O36">
        <f t="shared" si="8"/>
        <v>1.0356913026463006</v>
      </c>
      <c r="P36">
        <f t="shared" si="9"/>
        <v>0.26329110384844784</v>
      </c>
      <c r="Q36">
        <f t="shared" si="10"/>
        <v>1.032077362384102</v>
      </c>
      <c r="R36">
        <f t="shared" si="11"/>
        <v>0.24997092566149468</v>
      </c>
      <c r="S36">
        <f t="shared" si="12"/>
        <v>0.99997889637458548</v>
      </c>
      <c r="T36">
        <f t="shared" si="13"/>
        <v>-6.4967221954075694E-3</v>
      </c>
      <c r="U36">
        <f t="shared" si="14"/>
        <v>0.99999952310161733</v>
      </c>
      <c r="V36">
        <f t="shared" si="15"/>
        <v>-9.7662523069484697E-4</v>
      </c>
      <c r="X36">
        <f t="shared" si="34"/>
        <v>32.833373776902228</v>
      </c>
      <c r="Y36">
        <f t="shared" si="16"/>
        <v>-66.144042222416928</v>
      </c>
      <c r="Z36">
        <f t="shared" si="35"/>
        <v>113.85595777758307</v>
      </c>
      <c r="AC36">
        <v>1</v>
      </c>
      <c r="AD36">
        <f t="shared" si="17"/>
        <v>0.26954864937</v>
      </c>
      <c r="AE36">
        <f t="shared" si="18"/>
        <v>-2.0323489336277261E-8</v>
      </c>
      <c r="AF36">
        <f t="shared" si="19"/>
        <v>2.08099097136E-5</v>
      </c>
      <c r="AG36">
        <f t="shared" si="36"/>
        <v>12905.955449206818</v>
      </c>
      <c r="AH36">
        <f t="shared" si="37"/>
        <v>-48066.633051956022</v>
      </c>
      <c r="AJ36">
        <f t="shared" si="20"/>
        <v>18000</v>
      </c>
      <c r="AK36">
        <f t="shared" si="21"/>
        <v>116.9426448036</v>
      </c>
      <c r="AL36">
        <v>1</v>
      </c>
      <c r="AM36">
        <f t="shared" si="22"/>
        <v>0.2553109514802</v>
      </c>
      <c r="AN36">
        <f t="shared" si="38"/>
        <v>16926.523606688246</v>
      </c>
      <c r="AO36">
        <f t="shared" si="39"/>
        <v>-4204.5842024720423</v>
      </c>
      <c r="AQ36">
        <f t="shared" si="23"/>
        <v>2000</v>
      </c>
      <c r="AR36">
        <f t="shared" si="24"/>
        <v>-4000</v>
      </c>
      <c r="AT36">
        <f t="shared" si="52"/>
        <v>-166454621.30941045</v>
      </c>
      <c r="AU36">
        <f t="shared" si="53"/>
        <v>-147757087.90073931</v>
      </c>
      <c r="AV36">
        <f t="shared" si="42"/>
        <v>-2.415630565971234</v>
      </c>
      <c r="AW36">
        <f t="shared" si="25"/>
        <v>17069425.996460944</v>
      </c>
      <c r="AX36">
        <f t="shared" si="26"/>
        <v>-76426688.233286515</v>
      </c>
      <c r="AY36">
        <f t="shared" si="50"/>
        <v>-1.3510588496219584</v>
      </c>
      <c r="BA36">
        <f t="shared" si="27"/>
        <v>2.8422321364775733</v>
      </c>
      <c r="BB36">
        <f t="shared" si="43"/>
        <v>9.0731909121818681</v>
      </c>
      <c r="BC36">
        <f t="shared" si="44"/>
        <v>-1.0645717163492756</v>
      </c>
      <c r="BD36">
        <f t="shared" si="28"/>
        <v>-240.99546640550921</v>
      </c>
      <c r="BF36">
        <f t="shared" si="29"/>
        <v>32.798754527739639</v>
      </c>
      <c r="BG36">
        <f t="shared" si="30"/>
        <v>-66.119065469928287</v>
      </c>
      <c r="BH36">
        <f t="shared" si="45"/>
        <v>113.88093453007171</v>
      </c>
      <c r="BI36">
        <f t="shared" si="46"/>
        <v>113.88093453007171</v>
      </c>
      <c r="BJ36">
        <f t="shared" si="31"/>
        <v>0</v>
      </c>
      <c r="BK36">
        <f t="shared" si="47"/>
        <v>0</v>
      </c>
      <c r="BM36">
        <f t="shared" si="48"/>
        <v>23.725563615557771</v>
      </c>
      <c r="BN36">
        <f t="shared" si="32"/>
        <v>-5.1235990644190901</v>
      </c>
      <c r="BQ36" s="56">
        <f t="shared" si="49"/>
        <v>25.975151712467003</v>
      </c>
      <c r="BR36" s="58"/>
      <c r="BS36" s="58"/>
      <c r="BT36" s="58">
        <v>181.97</v>
      </c>
      <c r="BU36" s="58">
        <v>30.042100000000001</v>
      </c>
      <c r="BV36" s="58">
        <v>-268.84590000000003</v>
      </c>
      <c r="BW36" s="61"/>
      <c r="BY36" s="58"/>
      <c r="BZ36" s="58"/>
      <c r="CA36" s="58"/>
      <c r="CC36" s="58"/>
    </row>
    <row r="37" spans="1:81" x14ac:dyDescent="0.25">
      <c r="A37">
        <f>A36+500</f>
        <v>1500</v>
      </c>
      <c r="B37">
        <f t="shared" si="33"/>
        <v>1.5</v>
      </c>
      <c r="C37">
        <f t="shared" si="0"/>
        <v>1.0000008094306014</v>
      </c>
      <c r="D37">
        <f t="shared" si="1"/>
        <v>1.2723443366670576E-3</v>
      </c>
      <c r="F37">
        <f t="shared" si="2"/>
        <v>1.088117455949819</v>
      </c>
      <c r="G37">
        <f t="shared" si="3"/>
        <v>-0.14422800178492265</v>
      </c>
      <c r="H37">
        <f t="shared" si="4"/>
        <v>-0.14422800178492265</v>
      </c>
      <c r="J37">
        <f t="shared" si="5"/>
        <v>15</v>
      </c>
      <c r="M37">
        <f t="shared" si="6"/>
        <v>1.7797788431937334</v>
      </c>
      <c r="N37">
        <f t="shared" si="7"/>
        <v>-1.5707963250000001</v>
      </c>
      <c r="O37">
        <f t="shared" si="8"/>
        <v>1.0786459416085894</v>
      </c>
      <c r="P37">
        <f t="shared" si="9"/>
        <v>0.38422751465490701</v>
      </c>
      <c r="Q37">
        <f t="shared" si="10"/>
        <v>1.070823647655337</v>
      </c>
      <c r="R37">
        <f t="shared" si="11"/>
        <v>0.36573657785851216</v>
      </c>
      <c r="S37">
        <f t="shared" si="12"/>
        <v>0.99995251872159663</v>
      </c>
      <c r="T37">
        <f t="shared" si="13"/>
        <v>-9.7449119188905697E-3</v>
      </c>
      <c r="U37">
        <f t="shared" si="14"/>
        <v>0.99999892697959847</v>
      </c>
      <c r="V37">
        <f t="shared" si="15"/>
        <v>-1.4649372638540104E-3</v>
      </c>
      <c r="X37">
        <f t="shared" si="34"/>
        <v>30.514184155033796</v>
      </c>
      <c r="Y37">
        <f t="shared" si="16"/>
        <v>-55.863255550067755</v>
      </c>
      <c r="Z37">
        <f t="shared" si="35"/>
        <v>124.13674444993225</v>
      </c>
      <c r="AC37">
        <v>1</v>
      </c>
      <c r="AD37">
        <f t="shared" si="17"/>
        <v>0.40432297405500006</v>
      </c>
      <c r="AE37">
        <f t="shared" si="18"/>
        <v>-4.572785100662385E-8</v>
      </c>
      <c r="AF37">
        <f t="shared" si="19"/>
        <v>3.1214864570400003E-5</v>
      </c>
      <c r="AG37">
        <f t="shared" si="36"/>
        <v>12905.940062155631</v>
      </c>
      <c r="AH37">
        <f t="shared" si="37"/>
        <v>-32054.925583533954</v>
      </c>
      <c r="AJ37">
        <f t="shared" si="20"/>
        <v>18000</v>
      </c>
      <c r="AK37">
        <f t="shared" si="21"/>
        <v>175.41396720540001</v>
      </c>
      <c r="AL37">
        <v>1</v>
      </c>
      <c r="AM37">
        <f t="shared" si="22"/>
        <v>0.3829664272203</v>
      </c>
      <c r="AN37">
        <f t="shared" si="38"/>
        <v>15756.30606338589</v>
      </c>
      <c r="AO37">
        <f t="shared" si="39"/>
        <v>-5858.7222720790433</v>
      </c>
      <c r="AQ37">
        <f t="shared" si="23"/>
        <v>1000</v>
      </c>
      <c r="AR37">
        <f t="shared" si="24"/>
        <v>-3000</v>
      </c>
      <c r="AT37">
        <f t="shared" si="52"/>
        <v>-83258836.688446224</v>
      </c>
      <c r="AU37">
        <f t="shared" si="53"/>
        <v>-70772745.770000845</v>
      </c>
      <c r="AV37">
        <f t="shared" si="42"/>
        <v>-2.4370795218020977</v>
      </c>
      <c r="AW37">
        <f t="shared" si="25"/>
        <v>-1786555.3920452483</v>
      </c>
      <c r="AX37">
        <f t="shared" si="26"/>
        <v>-53338951.471780881</v>
      </c>
      <c r="AY37">
        <f t="shared" si="50"/>
        <v>-1.6042781950268237</v>
      </c>
      <c r="BA37">
        <f t="shared" si="27"/>
        <v>2.0475241994386377</v>
      </c>
      <c r="BB37">
        <f t="shared" si="43"/>
        <v>6.2245808667254003</v>
      </c>
      <c r="BC37">
        <f t="shared" si="44"/>
        <v>-0.83280132677527408</v>
      </c>
      <c r="BD37">
        <f t="shared" si="28"/>
        <v>-227.71600125164201</v>
      </c>
      <c r="BF37">
        <f t="shared" si="29"/>
        <v>30.479928627572516</v>
      </c>
      <c r="BG37">
        <f t="shared" si="30"/>
        <v>-55.906757090304282</v>
      </c>
      <c r="BH37">
        <f t="shared" si="45"/>
        <v>124.09324290969572</v>
      </c>
      <c r="BI37">
        <f t="shared" si="46"/>
        <v>124.09324290969572</v>
      </c>
      <c r="BJ37">
        <f t="shared" si="31"/>
        <v>0</v>
      </c>
      <c r="BK37">
        <f t="shared" si="47"/>
        <v>0</v>
      </c>
      <c r="BM37">
        <f t="shared" si="48"/>
        <v>24.255347760847116</v>
      </c>
      <c r="BN37">
        <f t="shared" si="32"/>
        <v>-8.1907558386622785</v>
      </c>
      <c r="BQ37" s="56">
        <f t="shared" si="49"/>
        <v>23.126541667010535</v>
      </c>
      <c r="BR37" s="58"/>
      <c r="BS37" s="58"/>
      <c r="BT37" s="58">
        <v>186.209</v>
      </c>
      <c r="BU37" s="58">
        <v>29.901800000000001</v>
      </c>
      <c r="BV37" s="58">
        <v>-265.37959999999998</v>
      </c>
      <c r="BW37" s="61"/>
      <c r="BY37" s="58"/>
      <c r="BZ37" s="58"/>
      <c r="CA37" s="58"/>
      <c r="CC37" s="58"/>
    </row>
    <row r="38" spans="1:81" x14ac:dyDescent="0.25">
      <c r="A38">
        <f t="shared" ref="A38:A101" si="54">A37+500</f>
        <v>2000</v>
      </c>
      <c r="B38">
        <f t="shared" si="33"/>
        <v>2</v>
      </c>
      <c r="C38">
        <f t="shared" si="0"/>
        <v>1.0000014389872831</v>
      </c>
      <c r="D38">
        <f t="shared" si="1"/>
        <v>1.6964584035453656E-3</v>
      </c>
      <c r="F38">
        <f t="shared" si="2"/>
        <v>1.191255068339264</v>
      </c>
      <c r="G38">
        <f t="shared" si="3"/>
        <v>-0.21137292235703414</v>
      </c>
      <c r="H38">
        <f t="shared" si="4"/>
        <v>-0.21137292235703414</v>
      </c>
      <c r="J38">
        <f t="shared" si="5"/>
        <v>15</v>
      </c>
      <c r="M38">
        <f t="shared" si="6"/>
        <v>1.3348341323952999</v>
      </c>
      <c r="N38">
        <f t="shared" si="7"/>
        <v>-1.5707963250000001</v>
      </c>
      <c r="O38">
        <f t="shared" si="8"/>
        <v>1.1360571717606314</v>
      </c>
      <c r="P38">
        <f t="shared" si="9"/>
        <v>0.4944340981485571</v>
      </c>
      <c r="Q38">
        <f t="shared" si="10"/>
        <v>1.1228244421025488</v>
      </c>
      <c r="R38">
        <f t="shared" si="11"/>
        <v>0.4721089782382592</v>
      </c>
      <c r="S38">
        <f t="shared" si="12"/>
        <v>0.99991559351397363</v>
      </c>
      <c r="T38">
        <f t="shared" si="13"/>
        <v>-1.2992896017609754E-2</v>
      </c>
      <c r="U38">
        <f t="shared" si="14"/>
        <v>0.99999809241056292</v>
      </c>
      <c r="V38">
        <f t="shared" si="15"/>
        <v>-1.9532485983891276E-3</v>
      </c>
      <c r="X38">
        <f t="shared" si="34"/>
        <v>29.663970140621036</v>
      </c>
      <c r="Y38">
        <f t="shared" si="16"/>
        <v>-47.491088411121922</v>
      </c>
      <c r="Z38">
        <f t="shared" si="35"/>
        <v>132.50891158887808</v>
      </c>
      <c r="AC38">
        <v>1</v>
      </c>
      <c r="AD38">
        <f t="shared" si="17"/>
        <v>0.53909729874000001</v>
      </c>
      <c r="AE38">
        <f t="shared" si="18"/>
        <v>-8.1293957345109045E-8</v>
      </c>
      <c r="AF38">
        <f t="shared" si="19"/>
        <v>4.1619819427199999E-5</v>
      </c>
      <c r="AG38">
        <f t="shared" si="36"/>
        <v>12905.918520345607</v>
      </c>
      <c r="AH38">
        <f t="shared" si="37"/>
        <v>-24052.222882434518</v>
      </c>
      <c r="AJ38">
        <f t="shared" si="20"/>
        <v>18000</v>
      </c>
      <c r="AK38">
        <f t="shared" si="21"/>
        <v>233.88528960720001</v>
      </c>
      <c r="AL38">
        <v>1</v>
      </c>
      <c r="AM38">
        <f t="shared" si="22"/>
        <v>0.5106219029604</v>
      </c>
      <c r="AN38">
        <f t="shared" si="38"/>
        <v>14372.116950818108</v>
      </c>
      <c r="AO38">
        <f t="shared" si="39"/>
        <v>-7104.8324173889641</v>
      </c>
      <c r="AQ38">
        <f t="shared" si="23"/>
        <v>588.23529411764707</v>
      </c>
      <c r="AR38">
        <f t="shared" si="24"/>
        <v>-2352.9411764705883</v>
      </c>
      <c r="AT38">
        <f t="shared" si="52"/>
        <v>-49001748.8290544</v>
      </c>
      <c r="AU38">
        <f t="shared" si="53"/>
        <v>-44515233.508127615</v>
      </c>
      <c r="AV38">
        <f t="shared" si="42"/>
        <v>-2.4041331409127613</v>
      </c>
      <c r="AW38">
        <f t="shared" si="25"/>
        <v>-8231429.037919173</v>
      </c>
      <c r="AX38">
        <f t="shared" si="26"/>
        <v>-38157821.266854644</v>
      </c>
      <c r="AY38">
        <f t="shared" si="50"/>
        <v>-1.7832611702318348</v>
      </c>
      <c r="BA38">
        <f t="shared" si="27"/>
        <v>1.6959544286816532</v>
      </c>
      <c r="BB38">
        <f t="shared" si="43"/>
        <v>4.5882835664564512</v>
      </c>
      <c r="BC38">
        <f t="shared" si="44"/>
        <v>-0.62087197068092648</v>
      </c>
      <c r="BD38">
        <f t="shared" si="28"/>
        <v>-215.57334357863573</v>
      </c>
      <c r="BF38">
        <f t="shared" si="29"/>
        <v>29.630216474623708</v>
      </c>
      <c r="BG38">
        <f t="shared" si="30"/>
        <v>-47.586920040125101</v>
      </c>
      <c r="BH38">
        <f t="shared" si="45"/>
        <v>132.41307995987489</v>
      </c>
      <c r="BI38">
        <f t="shared" si="46"/>
        <v>132.41307995987489</v>
      </c>
      <c r="BJ38">
        <f t="shared" si="31"/>
        <v>0</v>
      </c>
      <c r="BK38">
        <f t="shared" si="47"/>
        <v>0</v>
      </c>
      <c r="BM38">
        <f t="shared" si="48"/>
        <v>25.041932908167258</v>
      </c>
      <c r="BN38">
        <f t="shared" si="32"/>
        <v>-12.013576461489359</v>
      </c>
      <c r="BQ38" s="56">
        <f t="shared" si="49"/>
        <v>21.490244366741589</v>
      </c>
      <c r="BR38" s="58"/>
      <c r="BS38" s="58"/>
      <c r="BT38" s="58">
        <v>190.54599999999999</v>
      </c>
      <c r="BU38" s="58">
        <v>29.566700000000001</v>
      </c>
      <c r="BV38" s="58">
        <v>-265.89449999999999</v>
      </c>
      <c r="BW38" s="61"/>
      <c r="BY38" s="58"/>
      <c r="BZ38" s="58"/>
      <c r="CA38" s="58"/>
      <c r="CC38" s="58"/>
    </row>
    <row r="39" spans="1:81" x14ac:dyDescent="0.25">
      <c r="A39">
        <f t="shared" si="54"/>
        <v>2500</v>
      </c>
      <c r="B39">
        <f t="shared" si="33"/>
        <v>2.5</v>
      </c>
      <c r="C39">
        <f t="shared" si="0"/>
        <v>1.0000022484167197</v>
      </c>
      <c r="D39">
        <f t="shared" si="1"/>
        <v>2.1205718601307543E-3</v>
      </c>
      <c r="F39">
        <f t="shared" si="2"/>
        <v>1.3509691821529441</v>
      </c>
      <c r="G39">
        <f t="shared" si="3"/>
        <v>-0.30198284678069304</v>
      </c>
      <c r="H39">
        <f t="shared" si="4"/>
        <v>-0.30198284678069304</v>
      </c>
      <c r="J39">
        <f t="shared" si="5"/>
        <v>15</v>
      </c>
      <c r="M39">
        <f t="shared" si="6"/>
        <v>1.0678673059162398</v>
      </c>
      <c r="N39">
        <f t="shared" si="7"/>
        <v>-1.5707963250000001</v>
      </c>
      <c r="O39">
        <f t="shared" si="8"/>
        <v>1.2058619178236971</v>
      </c>
      <c r="P39">
        <f t="shared" si="9"/>
        <v>0.5929740774762261</v>
      </c>
      <c r="Q39">
        <f t="shared" si="10"/>
        <v>1.1863380682422617</v>
      </c>
      <c r="R39">
        <f t="shared" si="11"/>
        <v>0.56809017124208427</v>
      </c>
      <c r="S39">
        <f t="shared" si="12"/>
        <v>0.99986812425716831</v>
      </c>
      <c r="T39">
        <f t="shared" si="13"/>
        <v>-1.6240605990470822E-2</v>
      </c>
      <c r="U39">
        <f t="shared" si="14"/>
        <v>0.99999701939630192</v>
      </c>
      <c r="V39">
        <f t="shared" si="15"/>
        <v>-2.4415590014286261E-3</v>
      </c>
      <c r="X39">
        <f t="shared" si="34"/>
        <v>29.814048868201418</v>
      </c>
      <c r="Y39">
        <f t="shared" si="16"/>
        <v>-41.727170744096057</v>
      </c>
      <c r="Z39">
        <f t="shared" si="35"/>
        <v>138.27282925590396</v>
      </c>
      <c r="AC39">
        <v>1</v>
      </c>
      <c r="AD39">
        <f t="shared" si="17"/>
        <v>0.67387162342500007</v>
      </c>
      <c r="AE39">
        <f t="shared" si="18"/>
        <v>-1.270218083517329E-7</v>
      </c>
      <c r="AF39">
        <f t="shared" si="19"/>
        <v>5.2024774283999996E-5</v>
      </c>
      <c r="AG39">
        <f t="shared" si="36"/>
        <v>12905.890823838386</v>
      </c>
      <c r="AH39">
        <f t="shared" si="37"/>
        <v>-19253.122063018425</v>
      </c>
      <c r="AJ39">
        <f t="shared" si="20"/>
        <v>18000</v>
      </c>
      <c r="AK39">
        <f t="shared" si="21"/>
        <v>292.356612009</v>
      </c>
      <c r="AL39">
        <v>1</v>
      </c>
      <c r="AM39">
        <f t="shared" si="22"/>
        <v>0.63827737870050005</v>
      </c>
      <c r="AN39">
        <f t="shared" si="38"/>
        <v>12922.147434354354</v>
      </c>
      <c r="AO39">
        <f t="shared" si="39"/>
        <v>-7955.5577795720892</v>
      </c>
      <c r="AQ39">
        <f t="shared" si="23"/>
        <v>384.61538461538464</v>
      </c>
      <c r="AR39">
        <f t="shared" si="24"/>
        <v>-1923.0769230769231</v>
      </c>
      <c r="AT39">
        <f t="shared" si="52"/>
        <v>-32061430.573559135</v>
      </c>
      <c r="AU39">
        <f t="shared" si="53"/>
        <v>-32224067.762388602</v>
      </c>
      <c r="AV39">
        <f t="shared" si="42"/>
        <v>-2.3536645752651149</v>
      </c>
      <c r="AW39">
        <f t="shared" si="25"/>
        <v>-10299202.974984432</v>
      </c>
      <c r="AX39">
        <f t="shared" si="26"/>
        <v>-28042273.549102437</v>
      </c>
      <c r="AY39">
        <f t="shared" si="50"/>
        <v>-1.922776530265458</v>
      </c>
      <c r="BA39">
        <f t="shared" si="27"/>
        <v>1.5216306203116867</v>
      </c>
      <c r="BB39">
        <f t="shared" si="43"/>
        <v>3.6461847828577874</v>
      </c>
      <c r="BC39">
        <f t="shared" si="44"/>
        <v>-0.43088804499965683</v>
      </c>
      <c r="BD39">
        <f t="shared" si="28"/>
        <v>-204.68806644933366</v>
      </c>
      <c r="BF39">
        <f t="shared" si="29"/>
        <v>29.780938336604951</v>
      </c>
      <c r="BG39">
        <f t="shared" si="30"/>
        <v>-41.868909257105443</v>
      </c>
      <c r="BH39">
        <f t="shared" si="45"/>
        <v>138.13109074289457</v>
      </c>
      <c r="BI39">
        <f t="shared" si="46"/>
        <v>138.13109074289457</v>
      </c>
      <c r="BJ39">
        <f t="shared" si="31"/>
        <v>0</v>
      </c>
      <c r="BK39">
        <f t="shared" si="47"/>
        <v>0</v>
      </c>
      <c r="BM39">
        <f t="shared" si="48"/>
        <v>26.13475355374716</v>
      </c>
      <c r="BN39">
        <f t="shared" si="32"/>
        <v>-17.180842807771786</v>
      </c>
      <c r="BQ39" s="56">
        <f t="shared" si="49"/>
        <v>20.548145583142926</v>
      </c>
      <c r="BR39" s="58"/>
      <c r="BS39" s="58"/>
      <c r="BT39" s="58">
        <v>194.98400000000001</v>
      </c>
      <c r="BU39" s="58">
        <v>29.685600000000001</v>
      </c>
      <c r="BV39" s="58">
        <v>-265.6327</v>
      </c>
      <c r="BW39" s="61"/>
      <c r="BY39" s="58"/>
      <c r="BZ39" s="58"/>
      <c r="CA39" s="58"/>
      <c r="CC39" s="58"/>
    </row>
    <row r="40" spans="1:81" x14ac:dyDescent="0.25">
      <c r="A40">
        <f t="shared" si="54"/>
        <v>3000</v>
      </c>
      <c r="B40">
        <f t="shared" si="33"/>
        <v>3</v>
      </c>
      <c r="C40">
        <f t="shared" si="0"/>
        <v>1.0000032377184749</v>
      </c>
      <c r="D40">
        <f t="shared" si="1"/>
        <v>2.5446845538524645E-3</v>
      </c>
      <c r="F40">
        <f t="shared" si="2"/>
        <v>1.5979334630481778</v>
      </c>
      <c r="G40">
        <f t="shared" si="3"/>
        <v>-0.43580388822663396</v>
      </c>
      <c r="H40">
        <f t="shared" si="4"/>
        <v>-0.43580388822663396</v>
      </c>
      <c r="J40">
        <f t="shared" si="5"/>
        <v>15</v>
      </c>
      <c r="M40">
        <f t="shared" si="6"/>
        <v>0.88988942159686668</v>
      </c>
      <c r="N40">
        <f t="shared" si="7"/>
        <v>-1.5707963250000001</v>
      </c>
      <c r="O40">
        <f t="shared" si="8"/>
        <v>1.2860436498792414</v>
      </c>
      <c r="P40">
        <f t="shared" si="9"/>
        <v>0.67999067244750577</v>
      </c>
      <c r="Q40">
        <f t="shared" si="10"/>
        <v>1.2596242048768058</v>
      </c>
      <c r="R40">
        <f t="shared" si="11"/>
        <v>0.6536203975798236</v>
      </c>
      <c r="S40">
        <f t="shared" si="12"/>
        <v>0.99981011545660514</v>
      </c>
      <c r="T40">
        <f t="shared" si="13"/>
        <v>-1.9487973371071832E-2</v>
      </c>
      <c r="U40">
        <f t="shared" si="14"/>
        <v>0.99999570793911807</v>
      </c>
      <c r="V40">
        <f t="shared" si="15"/>
        <v>-2.9298682401035984E-3</v>
      </c>
      <c r="X40">
        <f t="shared" si="34"/>
        <v>30.767995401307331</v>
      </c>
      <c r="Y40">
        <f t="shared" si="16"/>
        <v>-39.698085633792452</v>
      </c>
      <c r="Z40">
        <f t="shared" si="35"/>
        <v>140.30191436620754</v>
      </c>
      <c r="AA40">
        <f>20*LOG(7)</f>
        <v>16.901960800285135</v>
      </c>
      <c r="AC40">
        <v>1</v>
      </c>
      <c r="AD40">
        <f t="shared" si="17"/>
        <v>0.80864594811000012</v>
      </c>
      <c r="AE40">
        <f t="shared" si="18"/>
        <v>-1.829114040264954E-7</v>
      </c>
      <c r="AF40">
        <f t="shared" si="19"/>
        <v>6.2429729140800006E-5</v>
      </c>
      <c r="AG40">
        <f t="shared" si="36"/>
        <v>12905.856972713216</v>
      </c>
      <c r="AH40">
        <f t="shared" si="37"/>
        <v>-16055.822157395303</v>
      </c>
      <c r="AJ40">
        <f t="shared" si="20"/>
        <v>18000</v>
      </c>
      <c r="AK40">
        <f t="shared" si="21"/>
        <v>350.82793441080003</v>
      </c>
      <c r="AL40">
        <v>1</v>
      </c>
      <c r="AM40">
        <f t="shared" si="22"/>
        <v>0.7659328544406</v>
      </c>
      <c r="AN40">
        <f t="shared" si="38"/>
        <v>11513.991438527666</v>
      </c>
      <c r="AO40">
        <f t="shared" si="39"/>
        <v>-8468.1163941053273</v>
      </c>
      <c r="AQ40">
        <f t="shared" si="23"/>
        <v>270.27027027027026</v>
      </c>
      <c r="AR40">
        <f t="shared" si="24"/>
        <v>-1621.6216216216217</v>
      </c>
      <c r="AT40">
        <f t="shared" si="52"/>
        <v>-22548398.911259081</v>
      </c>
      <c r="AU40">
        <f t="shared" si="53"/>
        <v>-25267828.106398541</v>
      </c>
      <c r="AV40">
        <f t="shared" si="42"/>
        <v>-2.2993831719677642</v>
      </c>
      <c r="AW40">
        <f t="shared" si="25"/>
        <v>-10591998.155045748</v>
      </c>
      <c r="AX40">
        <f t="shared" si="26"/>
        <v>-21072379.433840711</v>
      </c>
      <c r="AY40">
        <f t="shared" si="50"/>
        <v>-2.0365604237234538</v>
      </c>
      <c r="BA40">
        <f t="shared" si="27"/>
        <v>1.4359262739508056</v>
      </c>
      <c r="BB40">
        <f t="shared" si="43"/>
        <v>3.142642842160325</v>
      </c>
      <c r="BC40">
        <f t="shared" si="44"/>
        <v>-0.2628227482443104</v>
      </c>
      <c r="BD40">
        <f t="shared" si="28"/>
        <v>-195.05863425163534</v>
      </c>
      <c r="BF40">
        <f t="shared" si="29"/>
        <v>30.735669977760995</v>
      </c>
      <c r="BG40">
        <f t="shared" si="30"/>
        <v>-39.882558085650132</v>
      </c>
      <c r="BH40">
        <f t="shared" si="45"/>
        <v>140.11744191434985</v>
      </c>
      <c r="BI40">
        <f t="shared" si="46"/>
        <v>140.11744191434985</v>
      </c>
      <c r="BJ40">
        <f t="shared" si="31"/>
        <v>0</v>
      </c>
      <c r="BK40">
        <f t="shared" si="47"/>
        <v>0</v>
      </c>
      <c r="BM40">
        <f t="shared" si="48"/>
        <v>27.593027135600671</v>
      </c>
      <c r="BN40">
        <f t="shared" si="32"/>
        <v>-24.823923834014781</v>
      </c>
      <c r="BQ40" s="56">
        <f t="shared" si="49"/>
        <v>20.044603642445459</v>
      </c>
      <c r="BR40" s="58"/>
      <c r="BS40" s="58"/>
      <c r="BT40" s="58">
        <v>199.52600000000001</v>
      </c>
      <c r="BU40" s="58">
        <v>29.050999999999998</v>
      </c>
      <c r="BV40" s="58">
        <v>-267.80150000000003</v>
      </c>
      <c r="BW40" s="61"/>
      <c r="BY40" s="58"/>
      <c r="BZ40" s="58"/>
      <c r="CA40" s="58"/>
      <c r="CC40" s="58"/>
    </row>
    <row r="41" spans="1:81" x14ac:dyDescent="0.25">
      <c r="A41">
        <f t="shared" si="54"/>
        <v>3500</v>
      </c>
      <c r="B41">
        <f t="shared" si="33"/>
        <v>3.5</v>
      </c>
      <c r="C41">
        <f t="shared" si="0"/>
        <v>1.0000044068920146</v>
      </c>
      <c r="D41">
        <f t="shared" si="1"/>
        <v>2.9687963321413822E-3</v>
      </c>
      <c r="F41">
        <f t="shared" si="2"/>
        <v>1.972364416971377</v>
      </c>
      <c r="G41">
        <f t="shared" si="3"/>
        <v>-0.65341115009995343</v>
      </c>
      <c r="H41">
        <f t="shared" si="4"/>
        <v>-0.65341115009995343</v>
      </c>
      <c r="J41">
        <f t="shared" si="5"/>
        <v>15</v>
      </c>
      <c r="M41">
        <f t="shared" si="6"/>
        <v>0.76276236136874276</v>
      </c>
      <c r="N41">
        <f t="shared" si="7"/>
        <v>-1.5707963250000001</v>
      </c>
      <c r="O41">
        <f t="shared" si="8"/>
        <v>1.374787914960192</v>
      </c>
      <c r="P41">
        <f t="shared" si="9"/>
        <v>0.75629290471399513</v>
      </c>
      <c r="Q41">
        <f t="shared" si="10"/>
        <v>1.341081691708276</v>
      </c>
      <c r="R41">
        <f t="shared" si="11"/>
        <v>0.72926142813288863</v>
      </c>
      <c r="S41">
        <f t="shared" si="12"/>
        <v>0.99974157261649399</v>
      </c>
      <c r="T41">
        <f t="shared" si="13"/>
        <v>-2.2734929736355689E-2</v>
      </c>
      <c r="U41">
        <f t="shared" si="14"/>
        <v>0.9999941580418259</v>
      </c>
      <c r="V41">
        <f t="shared" si="15"/>
        <v>-3.4181760815484696E-3</v>
      </c>
      <c r="X41">
        <f t="shared" si="34"/>
        <v>32.380914812696034</v>
      </c>
      <c r="Y41">
        <f t="shared" si="16"/>
        <v>-43.650070709514132</v>
      </c>
      <c r="Z41">
        <f t="shared" si="35"/>
        <v>136.34992929048587</v>
      </c>
      <c r="AC41">
        <v>1</v>
      </c>
      <c r="AD41">
        <f t="shared" si="17"/>
        <v>0.94342027279500007</v>
      </c>
      <c r="AE41">
        <f t="shared" si="18"/>
        <v>-2.4896274436939644E-7</v>
      </c>
      <c r="AF41">
        <f t="shared" si="19"/>
        <v>7.2834683997599988E-5</v>
      </c>
      <c r="AG41">
        <f t="shared" si="36"/>
        <v>12905.816967066963</v>
      </c>
      <c r="AH41">
        <f t="shared" si="37"/>
        <v>-13773.837031317491</v>
      </c>
      <c r="AJ41">
        <f t="shared" si="20"/>
        <v>18000</v>
      </c>
      <c r="AK41">
        <f t="shared" si="21"/>
        <v>409.29925681259999</v>
      </c>
      <c r="AL41">
        <v>1</v>
      </c>
      <c r="AM41">
        <f t="shared" si="22"/>
        <v>0.89358833018069994</v>
      </c>
      <c r="AN41">
        <f t="shared" si="38"/>
        <v>10211.700850211882</v>
      </c>
      <c r="AO41">
        <f t="shared" si="39"/>
        <v>-8715.7574542330694</v>
      </c>
      <c r="AQ41">
        <f t="shared" si="23"/>
        <v>200</v>
      </c>
      <c r="AR41">
        <f t="shared" si="24"/>
        <v>-1400</v>
      </c>
      <c r="AT41">
        <f t="shared" si="52"/>
        <v>-16702208.450431095</v>
      </c>
      <c r="AU41">
        <f t="shared" si="53"/>
        <v>-20822911.160157245</v>
      </c>
      <c r="AV41">
        <f t="shared" si="42"/>
        <v>-2.2468208703531825</v>
      </c>
      <c r="AW41">
        <f t="shared" si="25"/>
        <v>-10133096.779104171</v>
      </c>
      <c r="AX41">
        <f t="shared" si="26"/>
        <v>-16137612.176820146</v>
      </c>
      <c r="AY41">
        <f t="shared" si="50"/>
        <v>-2.1314912108123849</v>
      </c>
      <c r="BA41">
        <f t="shared" si="27"/>
        <v>1.4008624678659614</v>
      </c>
      <c r="BB41">
        <f t="shared" si="43"/>
        <v>2.927909995097032</v>
      </c>
      <c r="BC41">
        <f t="shared" si="44"/>
        <v>-0.11532965954079755</v>
      </c>
      <c r="BD41">
        <f t="shared" si="28"/>
        <v>-186.60790275191903</v>
      </c>
      <c r="BF41">
        <f t="shared" si="29"/>
        <v>32.349516632116455</v>
      </c>
      <c r="BG41">
        <f t="shared" si="30"/>
        <v>-43.875504481954309</v>
      </c>
      <c r="BH41">
        <f t="shared" si="45"/>
        <v>136.12449551804571</v>
      </c>
      <c r="BI41">
        <f t="shared" si="46"/>
        <v>136.12449551804571</v>
      </c>
      <c r="BJ41">
        <f t="shared" si="31"/>
        <v>0</v>
      </c>
      <c r="BK41">
        <f t="shared" si="47"/>
        <v>0</v>
      </c>
      <c r="BM41">
        <f t="shared" si="48"/>
        <v>29.421606637019426</v>
      </c>
      <c r="BN41">
        <f t="shared" si="32"/>
        <v>-37.267601730035288</v>
      </c>
      <c r="BQ41" s="56">
        <f t="shared" si="49"/>
        <v>19.82987079538217</v>
      </c>
      <c r="BR41" s="58"/>
      <c r="BS41" s="58"/>
      <c r="BT41" s="58">
        <v>204.17400000000001</v>
      </c>
      <c r="BU41" s="58">
        <v>28.424299999999999</v>
      </c>
      <c r="BV41" s="58">
        <v>-264.16840000000002</v>
      </c>
      <c r="BW41" s="61"/>
      <c r="BY41" s="58"/>
      <c r="BZ41" s="58"/>
      <c r="CA41" s="58"/>
      <c r="CC41" s="58"/>
    </row>
    <row r="42" spans="1:81" x14ac:dyDescent="0.25">
      <c r="A42">
        <f t="shared" si="54"/>
        <v>4000</v>
      </c>
      <c r="B42">
        <f t="shared" si="33"/>
        <v>4</v>
      </c>
      <c r="C42">
        <f t="shared" si="0"/>
        <v>1.0000057559367082</v>
      </c>
      <c r="D42">
        <f t="shared" si="1"/>
        <v>3.3929070424303697E-3</v>
      </c>
      <c r="F42">
        <f t="shared" si="2"/>
        <v>2.4309453334771991</v>
      </c>
      <c r="G42">
        <f t="shared" si="3"/>
        <v>-1.0280056489553879</v>
      </c>
      <c r="H42">
        <f t="shared" si="4"/>
        <v>-1.0280056489553879</v>
      </c>
      <c r="J42">
        <f t="shared" si="5"/>
        <v>15</v>
      </c>
      <c r="M42">
        <f t="shared" si="6"/>
        <v>0.66741706619764996</v>
      </c>
      <c r="N42">
        <f t="shared" si="7"/>
        <v>-1.5707963250000001</v>
      </c>
      <c r="O42">
        <f t="shared" si="8"/>
        <v>1.4705453376333077</v>
      </c>
      <c r="P42">
        <f t="shared" si="9"/>
        <v>0.82300663760933779</v>
      </c>
      <c r="Q42">
        <f t="shared" si="10"/>
        <v>1.4293141401146219</v>
      </c>
      <c r="R42">
        <f t="shared" si="11"/>
        <v>0.7959080403719544</v>
      </c>
      <c r="S42">
        <f t="shared" si="12"/>
        <v>0.99966250223838027</v>
      </c>
      <c r="T42">
        <f t="shared" si="13"/>
        <v>-2.598140671524898E-2</v>
      </c>
      <c r="U42">
        <f t="shared" si="14"/>
        <v>0.99999236970775118</v>
      </c>
      <c r="V42">
        <f t="shared" si="15"/>
        <v>-3.9064822929016614E-3</v>
      </c>
      <c r="X42">
        <f t="shared" si="34"/>
        <v>34.174449116703485</v>
      </c>
      <c r="Y42">
        <f t="shared" si="16"/>
        <v>-57.661457168601068</v>
      </c>
      <c r="Z42">
        <f t="shared" si="35"/>
        <v>122.33854283139894</v>
      </c>
      <c r="AC42">
        <v>1</v>
      </c>
      <c r="AD42">
        <f t="shared" si="17"/>
        <v>1.07819459748</v>
      </c>
      <c r="AE42">
        <f t="shared" si="18"/>
        <v>-3.2517582938043618E-7</v>
      </c>
      <c r="AF42">
        <f t="shared" si="19"/>
        <v>8.3239638854399998E-5</v>
      </c>
      <c r="AG42">
        <f t="shared" si="36"/>
        <v>12905.770807014082</v>
      </c>
      <c r="AH42">
        <f t="shared" si="37"/>
        <v>-12063.923613153487</v>
      </c>
      <c r="AJ42">
        <f t="shared" si="20"/>
        <v>18000</v>
      </c>
      <c r="AK42">
        <f t="shared" si="21"/>
        <v>467.77057921440002</v>
      </c>
      <c r="AL42">
        <v>1</v>
      </c>
      <c r="AM42">
        <f t="shared" si="22"/>
        <v>1.0212438059208</v>
      </c>
      <c r="AN42">
        <f t="shared" si="38"/>
        <v>9044.6697676240037</v>
      </c>
      <c r="AO42">
        <f t="shared" si="39"/>
        <v>-8769.0423975707363</v>
      </c>
      <c r="AQ42">
        <f t="shared" si="23"/>
        <v>153.84615384615384</v>
      </c>
      <c r="AR42">
        <f t="shared" si="24"/>
        <v>-1230.7692307692307</v>
      </c>
      <c r="AT42">
        <f t="shared" si="52"/>
        <v>-12862402.784340587</v>
      </c>
      <c r="AU42">
        <f t="shared" si="53"/>
        <v>-17740013.856810175</v>
      </c>
      <c r="AV42">
        <f t="shared" si="42"/>
        <v>-2.1981375037265956</v>
      </c>
      <c r="AW42">
        <f t="shared" si="25"/>
        <v>-9375962.8494680654</v>
      </c>
      <c r="AX42">
        <f t="shared" si="26"/>
        <v>-12568194.571419224</v>
      </c>
      <c r="AY42">
        <f t="shared" si="50"/>
        <v>-2.2117371017814644</v>
      </c>
      <c r="BA42">
        <f t="shared" si="27"/>
        <v>1.3974525272372567</v>
      </c>
      <c r="BB42">
        <f t="shared" si="43"/>
        <v>2.9067412684273473</v>
      </c>
      <c r="BC42">
        <f t="shared" si="44"/>
        <v>1.3599598054868878E-2</v>
      </c>
      <c r="BD42">
        <f t="shared" si="28"/>
        <v>-179.22080042749133</v>
      </c>
      <c r="BF42">
        <f t="shared" si="29"/>
        <v>34.144120297662397</v>
      </c>
      <c r="BG42">
        <f t="shared" si="30"/>
        <v>-57.926786241512232</v>
      </c>
      <c r="BH42">
        <f t="shared" si="45"/>
        <v>122.07321375848777</v>
      </c>
      <c r="BI42">
        <f t="shared" si="46"/>
        <v>122.07321375848777</v>
      </c>
      <c r="BJ42">
        <f t="shared" si="31"/>
        <v>0</v>
      </c>
      <c r="BK42">
        <f t="shared" si="47"/>
        <v>0</v>
      </c>
      <c r="BM42">
        <f t="shared" si="48"/>
        <v>31.237379029235047</v>
      </c>
      <c r="BN42">
        <f t="shared" si="32"/>
        <v>-58.705985814020906</v>
      </c>
      <c r="BQ42" s="56">
        <f t="shared" si="49"/>
        <v>19.808702068712485</v>
      </c>
      <c r="BR42" s="58"/>
      <c r="BS42" s="58"/>
      <c r="BT42" s="58">
        <v>208.93</v>
      </c>
      <c r="BU42" s="58">
        <v>28.510899999999999</v>
      </c>
      <c r="BV42" s="58">
        <v>-267.69110000000001</v>
      </c>
      <c r="BW42" s="61"/>
      <c r="BY42" s="58"/>
      <c r="BZ42" s="58"/>
      <c r="CA42" s="58"/>
      <c r="CC42" s="58"/>
    </row>
    <row r="43" spans="1:81" x14ac:dyDescent="0.25">
      <c r="A43">
        <f t="shared" si="54"/>
        <v>4500</v>
      </c>
      <c r="B43">
        <f t="shared" si="33"/>
        <v>4.5</v>
      </c>
      <c r="C43">
        <f t="shared" si="0"/>
        <v>1.0000072848518273</v>
      </c>
      <c r="D43">
        <f t="shared" si="1"/>
        <v>3.8170165321545955E-3</v>
      </c>
      <c r="F43">
        <f t="shared" si="2"/>
        <v>2.5234783579914066</v>
      </c>
      <c r="G43">
        <f t="shared" si="3"/>
        <v>1.5633391593614312</v>
      </c>
      <c r="H43">
        <f t="shared" si="4"/>
        <v>-1.578253490638569</v>
      </c>
      <c r="J43">
        <f t="shared" si="5"/>
        <v>15</v>
      </c>
      <c r="M43">
        <f t="shared" si="6"/>
        <v>0.59325961439791108</v>
      </c>
      <c r="N43">
        <f t="shared" si="7"/>
        <v>-1.5707963250000001</v>
      </c>
      <c r="O43">
        <f t="shared" si="8"/>
        <v>1.5720348616166635</v>
      </c>
      <c r="P43">
        <f t="shared" si="9"/>
        <v>0.88133944762729222</v>
      </c>
      <c r="Q43">
        <f t="shared" si="10"/>
        <v>1.5231446285238091</v>
      </c>
      <c r="R43">
        <f t="shared" si="11"/>
        <v>0.85457854185999438</v>
      </c>
      <c r="S43">
        <f t="shared" si="12"/>
        <v>0.99957291181943275</v>
      </c>
      <c r="T43">
        <f t="shared" si="13"/>
        <v>-2.9227335997284318E-2</v>
      </c>
      <c r="U43">
        <f t="shared" si="14"/>
        <v>0.99999034294073186</v>
      </c>
      <c r="V43">
        <f t="shared" si="15"/>
        <v>-4.3947866413062611E-3</v>
      </c>
      <c r="X43">
        <f t="shared" si="34"/>
        <v>34.607047855160616</v>
      </c>
      <c r="Y43">
        <f t="shared" si="16"/>
        <v>-82.674196416390714</v>
      </c>
      <c r="Z43">
        <f t="shared" si="35"/>
        <v>97.325803583609286</v>
      </c>
      <c r="AC43">
        <v>1</v>
      </c>
      <c r="AD43">
        <f t="shared" si="17"/>
        <v>1.2129689221650002</v>
      </c>
      <c r="AE43">
        <f t="shared" si="18"/>
        <v>-4.1155065905961456E-7</v>
      </c>
      <c r="AF43">
        <f t="shared" si="19"/>
        <v>9.3644593711199995E-5</v>
      </c>
      <c r="AG43">
        <f t="shared" si="36"/>
        <v>12905.718492686663</v>
      </c>
      <c r="AH43">
        <f t="shared" si="37"/>
        <v>-10735.391303545874</v>
      </c>
      <c r="AJ43">
        <f t="shared" si="20"/>
        <v>18000</v>
      </c>
      <c r="AK43">
        <f t="shared" si="21"/>
        <v>526.24190161620004</v>
      </c>
      <c r="AL43">
        <v>1</v>
      </c>
      <c r="AM43">
        <f t="shared" si="22"/>
        <v>1.1488992816609001</v>
      </c>
      <c r="AN43">
        <f t="shared" si="38"/>
        <v>8019.3289034149402</v>
      </c>
      <c r="AO43">
        <f t="shared" si="39"/>
        <v>-8687.1593149197179</v>
      </c>
      <c r="AQ43">
        <f t="shared" si="23"/>
        <v>121.95121951219512</v>
      </c>
      <c r="AR43">
        <f t="shared" si="24"/>
        <v>-1097.560975609756</v>
      </c>
      <c r="AT43">
        <f t="shared" si="52"/>
        <v>-10208878.443808073</v>
      </c>
      <c r="AU43">
        <f t="shared" si="53"/>
        <v>-15474007.041186078</v>
      </c>
      <c r="AV43">
        <f t="shared" si="42"/>
        <v>-2.1539907714299114</v>
      </c>
      <c r="AW43">
        <f t="shared" si="25"/>
        <v>-8532738.7375755869</v>
      </c>
      <c r="AX43">
        <f t="shared" si="26"/>
        <v>-9939720.7937952336</v>
      </c>
      <c r="AY43">
        <f t="shared" si="50"/>
        <v>-2.280174797438693</v>
      </c>
      <c r="BA43">
        <f t="shared" si="27"/>
        <v>1.4151501240214128</v>
      </c>
      <c r="BB43">
        <f t="shared" si="43"/>
        <v>3.0160502753088227</v>
      </c>
      <c r="BC43">
        <f t="shared" si="44"/>
        <v>0.12618402600878165</v>
      </c>
      <c r="BD43">
        <f t="shared" si="28"/>
        <v>-172.77018785946655</v>
      </c>
      <c r="BF43">
        <f t="shared" si="29"/>
        <v>34.577930420869436</v>
      </c>
      <c r="BG43">
        <f t="shared" si="30"/>
        <v>-82.978753040300717</v>
      </c>
      <c r="BH43">
        <f t="shared" si="45"/>
        <v>97.021246959699283</v>
      </c>
      <c r="BI43">
        <f t="shared" si="46"/>
        <v>97.021246959699283</v>
      </c>
      <c r="BJ43">
        <f t="shared" si="31"/>
        <v>0</v>
      </c>
      <c r="BK43">
        <f t="shared" si="47"/>
        <v>0</v>
      </c>
      <c r="BM43">
        <f t="shared" si="48"/>
        <v>31.561880145560615</v>
      </c>
      <c r="BN43">
        <f t="shared" si="32"/>
        <v>-90.208565180834185</v>
      </c>
      <c r="BQ43" s="56">
        <f t="shared" si="49"/>
        <v>19.918011075593959</v>
      </c>
      <c r="BR43" s="58"/>
      <c r="BS43" s="58"/>
      <c r="BT43" s="58">
        <v>213.79599999999999</v>
      </c>
      <c r="BU43" s="58">
        <v>28.178999999999998</v>
      </c>
      <c r="BV43" s="58">
        <v>-266.9667</v>
      </c>
      <c r="BW43" s="61"/>
      <c r="BY43" s="58"/>
      <c r="BZ43" s="58"/>
      <c r="CA43" s="58"/>
      <c r="CC43" s="58"/>
    </row>
    <row r="44" spans="1:81" x14ac:dyDescent="0.25">
      <c r="A44">
        <f t="shared" si="54"/>
        <v>5000</v>
      </c>
      <c r="B44">
        <f t="shared" si="33"/>
        <v>5</v>
      </c>
      <c r="C44">
        <f t="shared" si="0"/>
        <v>1.0000089936365473</v>
      </c>
      <c r="D44">
        <f t="shared" si="1"/>
        <v>4.2411246487518619E-3</v>
      </c>
      <c r="F44">
        <f t="shared" si="2"/>
        <v>1.9870524460026113</v>
      </c>
      <c r="G44">
        <f t="shared" si="3"/>
        <v>1.0652157523983445</v>
      </c>
      <c r="H44">
        <f t="shared" si="4"/>
        <v>-2.0763768976016559</v>
      </c>
      <c r="J44">
        <f t="shared" si="5"/>
        <v>15</v>
      </c>
      <c r="M44">
        <f t="shared" si="6"/>
        <v>0.5339336529581199</v>
      </c>
      <c r="N44">
        <f t="shared" si="7"/>
        <v>-1.5707963250000001</v>
      </c>
      <c r="O44">
        <f t="shared" si="8"/>
        <v>1.6782168690100157</v>
      </c>
      <c r="P44">
        <f t="shared" si="9"/>
        <v>0.93244710660224828</v>
      </c>
      <c r="Q44">
        <f t="shared" si="10"/>
        <v>1.6216016923533121</v>
      </c>
      <c r="R44">
        <f t="shared" si="11"/>
        <v>0.90628534107546244</v>
      </c>
      <c r="S44">
        <f t="shared" si="12"/>
        <v>0.99947280985047049</v>
      </c>
      <c r="T44">
        <f t="shared" si="13"/>
        <v>-3.2472649341203572E-2</v>
      </c>
      <c r="U44">
        <f t="shared" si="14"/>
        <v>0.99998807774511711</v>
      </c>
      <c r="V44">
        <f t="shared" si="15"/>
        <v>-4.8830888939106858E-3</v>
      </c>
      <c r="X44">
        <f t="shared" si="34"/>
        <v>32.726997333218129</v>
      </c>
      <c r="Y44">
        <f t="shared" si="16"/>
        <v>-105.51335162178184</v>
      </c>
      <c r="Z44">
        <f t="shared" si="35"/>
        <v>74.486648378218163</v>
      </c>
      <c r="AC44">
        <v>1</v>
      </c>
      <c r="AD44">
        <f t="shared" si="17"/>
        <v>1.3477432468500001</v>
      </c>
      <c r="AE44">
        <f t="shared" si="18"/>
        <v>-5.0808723340693158E-7</v>
      </c>
      <c r="AF44">
        <f t="shared" si="19"/>
        <v>1.0404954856799999E-4</v>
      </c>
      <c r="AG44">
        <f t="shared" si="36"/>
        <v>12905.660024234383</v>
      </c>
      <c r="AH44">
        <f t="shared" si="37"/>
        <v>-9673.8257392744326</v>
      </c>
      <c r="AJ44">
        <f t="shared" si="20"/>
        <v>18000</v>
      </c>
      <c r="AK44">
        <f t="shared" si="21"/>
        <v>584.71322401800001</v>
      </c>
      <c r="AL44">
        <v>1</v>
      </c>
      <c r="AM44">
        <f t="shared" si="22"/>
        <v>1.2765547574010001</v>
      </c>
      <c r="AN44">
        <f t="shared" si="38"/>
        <v>7129.0215748517476</v>
      </c>
      <c r="AO44">
        <f t="shared" si="39"/>
        <v>-8515.8731829733697</v>
      </c>
      <c r="AQ44">
        <f t="shared" si="23"/>
        <v>99.009900990099013</v>
      </c>
      <c r="AR44">
        <f t="shared" si="24"/>
        <v>-990.09900990099015</v>
      </c>
      <c r="AT44">
        <f t="shared" si="52"/>
        <v>-8300257.165199005</v>
      </c>
      <c r="AU44">
        <f t="shared" si="53"/>
        <v>-13735685.740754284</v>
      </c>
      <c r="AV44">
        <f t="shared" si="42"/>
        <v>-2.1143599833902935</v>
      </c>
      <c r="AW44">
        <f t="shared" si="25"/>
        <v>-7702805.4745429792</v>
      </c>
      <c r="AX44">
        <f t="shared" si="26"/>
        <v>-7973194.5977845993</v>
      </c>
      <c r="AY44">
        <f t="shared" si="50"/>
        <v>-2.338947596093198</v>
      </c>
      <c r="BA44">
        <f t="shared" si="27"/>
        <v>1.4476286292159113</v>
      </c>
      <c r="BB44">
        <f t="shared" si="43"/>
        <v>3.2131432680482441</v>
      </c>
      <c r="BC44">
        <f t="shared" si="44"/>
        <v>0.2245876127029045</v>
      </c>
      <c r="BD44">
        <f t="shared" si="28"/>
        <v>-167.1320776465011</v>
      </c>
      <c r="BF44">
        <f t="shared" si="29"/>
        <v>32.699233166003012</v>
      </c>
      <c r="BG44">
        <f t="shared" si="30"/>
        <v>-105.85671215044378</v>
      </c>
      <c r="BH44">
        <f t="shared" si="45"/>
        <v>74.143287849556216</v>
      </c>
      <c r="BI44">
        <f t="shared" si="46"/>
        <v>74.143287849556216</v>
      </c>
      <c r="BJ44">
        <f t="shared" si="31"/>
        <v>0</v>
      </c>
      <c r="BK44">
        <f t="shared" si="47"/>
        <v>0</v>
      </c>
      <c r="BM44">
        <f t="shared" si="48"/>
        <v>29.48608989795477</v>
      </c>
      <c r="BN44">
        <f t="shared" si="32"/>
        <v>-118.7246345039427</v>
      </c>
      <c r="BQ44" s="56">
        <f t="shared" si="49"/>
        <v>20.11510406833338</v>
      </c>
      <c r="BR44" s="58"/>
      <c r="BS44" s="58"/>
      <c r="BT44" s="58">
        <v>218.77600000000001</v>
      </c>
      <c r="BU44" s="58">
        <v>27.706399999999999</v>
      </c>
      <c r="BV44" s="58">
        <v>-263.5369</v>
      </c>
      <c r="BW44" s="61"/>
      <c r="BY44" s="58"/>
      <c r="BZ44" s="58"/>
      <c r="CA44" s="58"/>
      <c r="CC44" s="58"/>
    </row>
    <row r="45" spans="1:81" x14ac:dyDescent="0.25">
      <c r="A45">
        <f t="shared" si="54"/>
        <v>5500</v>
      </c>
      <c r="B45">
        <f t="shared" si="33"/>
        <v>5.5</v>
      </c>
      <c r="C45">
        <f t="shared" si="0"/>
        <v>1.0000108822899456</v>
      </c>
      <c r="D45">
        <f t="shared" si="1"/>
        <v>4.665231239662935E-3</v>
      </c>
      <c r="F45">
        <f t="shared" si="2"/>
        <v>1.4220116576282922</v>
      </c>
      <c r="G45">
        <f t="shared" si="3"/>
        <v>0.75971988238023924</v>
      </c>
      <c r="H45">
        <f t="shared" si="4"/>
        <v>-2.3818727676197611</v>
      </c>
      <c r="J45">
        <f t="shared" si="5"/>
        <v>15</v>
      </c>
      <c r="M45">
        <f t="shared" si="6"/>
        <v>0.48539422996192721</v>
      </c>
      <c r="N45">
        <f t="shared" si="7"/>
        <v>-1.5707963250000001</v>
      </c>
      <c r="O45">
        <f t="shared" si="8"/>
        <v>1.7882556724109766</v>
      </c>
      <c r="P45">
        <f t="shared" si="9"/>
        <v>0.97737081075193799</v>
      </c>
      <c r="Q45">
        <f t="shared" si="10"/>
        <v>1.7238927979599492</v>
      </c>
      <c r="R45">
        <f t="shared" si="11"/>
        <v>0.95196638913366871</v>
      </c>
      <c r="S45">
        <f t="shared" si="12"/>
        <v>0.99936220581373014</v>
      </c>
      <c r="T45">
        <f t="shared" si="13"/>
        <v>-3.5717278583539305E-2</v>
      </c>
      <c r="U45">
        <f t="shared" si="14"/>
        <v>0.99998557412576816</v>
      </c>
      <c r="V45">
        <f t="shared" si="15"/>
        <v>-5.3713888178693481E-3</v>
      </c>
      <c r="X45">
        <f t="shared" si="34"/>
        <v>30.075005478668078</v>
      </c>
      <c r="Y45">
        <f t="shared" si="16"/>
        <v>-118.01528731016793</v>
      </c>
      <c r="Z45">
        <f t="shared" si="35"/>
        <v>61.984712689832065</v>
      </c>
      <c r="AC45">
        <v>1</v>
      </c>
      <c r="AD45">
        <f t="shared" si="17"/>
        <v>1.4825175715350001</v>
      </c>
      <c r="AE45">
        <f t="shared" si="18"/>
        <v>-6.1478555242238719E-7</v>
      </c>
      <c r="AF45">
        <f t="shared" si="19"/>
        <v>1.144545034248E-4</v>
      </c>
      <c r="AG45">
        <f t="shared" si="36"/>
        <v>12905.595401824534</v>
      </c>
      <c r="AH45">
        <f t="shared" si="37"/>
        <v>-8806.4177768303653</v>
      </c>
      <c r="AJ45">
        <f t="shared" si="20"/>
        <v>18000</v>
      </c>
      <c r="AK45">
        <f t="shared" si="21"/>
        <v>643.18454641980009</v>
      </c>
      <c r="AL45">
        <v>1</v>
      </c>
      <c r="AM45">
        <f t="shared" si="22"/>
        <v>1.4042102331410999</v>
      </c>
      <c r="AN45">
        <f t="shared" si="38"/>
        <v>6360.833752952577</v>
      </c>
      <c r="AO45">
        <f t="shared" si="39"/>
        <v>-8288.7633007855184</v>
      </c>
      <c r="AQ45">
        <f t="shared" si="23"/>
        <v>81.967213114754102</v>
      </c>
      <c r="AR45">
        <f t="shared" si="24"/>
        <v>-901.63934426229503</v>
      </c>
      <c r="AT45">
        <f t="shared" si="52"/>
        <v>-6882377.0609270055</v>
      </c>
      <c r="AU45">
        <f t="shared" si="53"/>
        <v>-12358030.098106576</v>
      </c>
      <c r="AV45">
        <f t="shared" si="42"/>
        <v>-2.0789333444549793</v>
      </c>
      <c r="AW45">
        <f t="shared" si="25"/>
        <v>-6930112.6853699461</v>
      </c>
      <c r="AX45">
        <f t="shared" si="26"/>
        <v>-6480349.8868323537</v>
      </c>
      <c r="AY45">
        <f t="shared" si="50"/>
        <v>-2.389720125652214</v>
      </c>
      <c r="BA45">
        <f t="shared" si="27"/>
        <v>1.4908627798249425</v>
      </c>
      <c r="BB45">
        <f t="shared" si="43"/>
        <v>3.468753449780392</v>
      </c>
      <c r="BC45">
        <f t="shared" si="44"/>
        <v>0.31078678119723468</v>
      </c>
      <c r="BD45">
        <f t="shared" si="28"/>
        <v>-162.19322908859547</v>
      </c>
      <c r="BF45">
        <f t="shared" si="29"/>
        <v>30.048736287697086</v>
      </c>
      <c r="BG45">
        <f t="shared" si="30"/>
        <v>-118.39718810550291</v>
      </c>
      <c r="BH45">
        <f t="shared" si="45"/>
        <v>61.602811894497094</v>
      </c>
      <c r="BI45">
        <f t="shared" si="46"/>
        <v>61.602811894497094</v>
      </c>
      <c r="BJ45">
        <f t="shared" si="31"/>
        <v>0</v>
      </c>
      <c r="BK45">
        <f t="shared" si="47"/>
        <v>0</v>
      </c>
      <c r="BM45">
        <f t="shared" si="48"/>
        <v>26.579982837916699</v>
      </c>
      <c r="BN45">
        <f t="shared" si="32"/>
        <v>-136.20395901690742</v>
      </c>
      <c r="BQ45" s="56">
        <f t="shared" si="49"/>
        <v>20.370714250065525</v>
      </c>
      <c r="BR45" s="58"/>
      <c r="BS45" s="58"/>
      <c r="BT45" s="58">
        <v>223.87200000000001</v>
      </c>
      <c r="BU45" s="58">
        <v>27.937100000000001</v>
      </c>
      <c r="BV45" s="58">
        <v>-265.19450000000001</v>
      </c>
      <c r="BW45" s="61"/>
      <c r="BY45" s="58"/>
      <c r="BZ45" s="58"/>
      <c r="CA45" s="58"/>
      <c r="CC45" s="58"/>
    </row>
    <row r="46" spans="1:81" x14ac:dyDescent="0.25">
      <c r="A46">
        <f t="shared" si="54"/>
        <v>6000</v>
      </c>
      <c r="B46">
        <f t="shared" si="33"/>
        <v>6</v>
      </c>
      <c r="C46">
        <f t="shared" si="0"/>
        <v>1.0000129508110038</v>
      </c>
      <c r="D46">
        <f t="shared" si="1"/>
        <v>5.0893361523318744E-3</v>
      </c>
      <c r="F46">
        <f t="shared" si="2"/>
        <v>1.0418392851103673</v>
      </c>
      <c r="G46">
        <f t="shared" si="3"/>
        <v>0.58291822510074731</v>
      </c>
      <c r="H46">
        <f t="shared" si="4"/>
        <v>-2.558674424899253</v>
      </c>
      <c r="J46">
        <f t="shared" si="5"/>
        <v>15</v>
      </c>
      <c r="M46">
        <f t="shared" si="6"/>
        <v>0.44494471079843334</v>
      </c>
      <c r="N46">
        <f t="shared" si="7"/>
        <v>-1.5707963250000001</v>
      </c>
      <c r="O46">
        <f t="shared" si="8"/>
        <v>1.9014818110039557</v>
      </c>
      <c r="P46">
        <f t="shared" si="9"/>
        <v>1.0170167904770018</v>
      </c>
      <c r="Q46">
        <f t="shared" si="10"/>
        <v>1.8293749069138621</v>
      </c>
      <c r="R46">
        <f t="shared" si="11"/>
        <v>0.99245614397349102</v>
      </c>
      <c r="S46">
        <f t="shared" si="12"/>
        <v>0.99924111018037431</v>
      </c>
      <c r="T46">
        <f t="shared" si="13"/>
        <v>-3.896115564717155E-2</v>
      </c>
      <c r="U46">
        <f t="shared" si="14"/>
        <v>0.99998283208805705</v>
      </c>
      <c r="V46">
        <f t="shared" si="15"/>
        <v>-5.859686180343323E-3</v>
      </c>
      <c r="X46">
        <f t="shared" si="34"/>
        <v>27.665227838228994</v>
      </c>
      <c r="Y46">
        <f t="shared" si="16"/>
        <v>-123.74337513245379</v>
      </c>
      <c r="Z46">
        <f t="shared" si="35"/>
        <v>56.256624867546208</v>
      </c>
      <c r="AC46">
        <v>1</v>
      </c>
      <c r="AD46">
        <f t="shared" si="17"/>
        <v>1.6172918962200002</v>
      </c>
      <c r="AE46">
        <f t="shared" si="18"/>
        <v>-7.3164561610598161E-7</v>
      </c>
      <c r="AF46">
        <f t="shared" si="19"/>
        <v>1.2485945828160001E-4</v>
      </c>
      <c r="AG46">
        <f t="shared" si="36"/>
        <v>12905.524625642009</v>
      </c>
      <c r="AH46">
        <f t="shared" si="37"/>
        <v>-8084.6279842033864</v>
      </c>
      <c r="AJ46">
        <f t="shared" si="20"/>
        <v>18000</v>
      </c>
      <c r="AK46">
        <f t="shared" si="21"/>
        <v>701.65586882160005</v>
      </c>
      <c r="AL46">
        <v>1</v>
      </c>
      <c r="AM46">
        <f t="shared" si="22"/>
        <v>1.5318657088812</v>
      </c>
      <c r="AN46">
        <f t="shared" si="38"/>
        <v>5699.7463194896245</v>
      </c>
      <c r="AO46">
        <f t="shared" si="39"/>
        <v>-8029.5900673263859</v>
      </c>
      <c r="AQ46">
        <f t="shared" si="23"/>
        <v>68.965517241379317</v>
      </c>
      <c r="AR46">
        <f t="shared" si="24"/>
        <v>-827.58620689655174</v>
      </c>
      <c r="AT46">
        <f t="shared" si="52"/>
        <v>-5800690.4265378369</v>
      </c>
      <c r="AU46">
        <f t="shared" si="53"/>
        <v>-11237994.723579826</v>
      </c>
      <c r="AV46">
        <f t="shared" si="42"/>
        <v>-2.0472943174046936</v>
      </c>
      <c r="AW46">
        <f t="shared" si="25"/>
        <v>-6230906.1750948913</v>
      </c>
      <c r="AX46">
        <f t="shared" si="26"/>
        <v>-5331614.4818265969</v>
      </c>
      <c r="AY46">
        <f t="shared" si="50"/>
        <v>-2.4338146691225173</v>
      </c>
      <c r="BA46">
        <f t="shared" si="27"/>
        <v>1.5421696205102118</v>
      </c>
      <c r="BB46">
        <f t="shared" si="43"/>
        <v>3.7626428724868131</v>
      </c>
      <c r="BC46">
        <f t="shared" si="44"/>
        <v>0.38652035171782373</v>
      </c>
      <c r="BD46">
        <f t="shared" si="28"/>
        <v>-157.85401512535105</v>
      </c>
      <c r="BF46">
        <f t="shared" si="29"/>
        <v>27.640595133108611</v>
      </c>
      <c r="BG46">
        <f t="shared" si="30"/>
        <v>-124.16366350527254</v>
      </c>
      <c r="BH46">
        <f t="shared" si="45"/>
        <v>55.836336494727462</v>
      </c>
      <c r="BI46">
        <f t="shared" si="46"/>
        <v>55.836336494727462</v>
      </c>
      <c r="BJ46">
        <f t="shared" si="31"/>
        <v>0</v>
      </c>
      <c r="BK46">
        <f t="shared" si="47"/>
        <v>0</v>
      </c>
      <c r="BM46">
        <f t="shared" si="48"/>
        <v>23.877952260621797</v>
      </c>
      <c r="BN46">
        <f t="shared" si="32"/>
        <v>-146.3096483799215</v>
      </c>
      <c r="BQ46" s="56">
        <f t="shared" si="49"/>
        <v>20.66460367277195</v>
      </c>
      <c r="BR46" s="58"/>
      <c r="BS46" s="58"/>
      <c r="BT46" s="58">
        <v>229.08699999999999</v>
      </c>
      <c r="BU46" s="58">
        <v>27.676300000000001</v>
      </c>
      <c r="BV46" s="58">
        <v>-266.75440000000003</v>
      </c>
      <c r="BW46" s="61"/>
      <c r="BY46" s="58"/>
      <c r="BZ46" s="58"/>
      <c r="CA46" s="58"/>
      <c r="CC46" s="58"/>
    </row>
    <row r="47" spans="1:81" x14ac:dyDescent="0.25">
      <c r="A47">
        <f t="shared" si="54"/>
        <v>6500</v>
      </c>
      <c r="B47">
        <f t="shared" si="33"/>
        <v>6.5</v>
      </c>
      <c r="C47">
        <f t="shared" si="0"/>
        <v>1.0000151991986053</v>
      </c>
      <c r="D47">
        <f t="shared" si="1"/>
        <v>5.5134392342063594E-3</v>
      </c>
      <c r="F47">
        <f t="shared" si="2"/>
        <v>0.79609066588173816</v>
      </c>
      <c r="G47">
        <f t="shared" si="3"/>
        <v>0.47312625870365765</v>
      </c>
      <c r="H47">
        <f t="shared" si="4"/>
        <v>-2.6684663912963424</v>
      </c>
      <c r="J47">
        <f t="shared" si="5"/>
        <v>15</v>
      </c>
      <c r="M47">
        <f t="shared" si="6"/>
        <v>0.41071819458316922</v>
      </c>
      <c r="N47">
        <f t="shared" si="7"/>
        <v>-1.5707963250000001</v>
      </c>
      <c r="O47">
        <f t="shared" si="8"/>
        <v>2.0173586796691185</v>
      </c>
      <c r="P47">
        <f t="shared" si="9"/>
        <v>1.052158368435905</v>
      </c>
      <c r="Q47">
        <f t="shared" si="10"/>
        <v>1.9375269190921924</v>
      </c>
      <c r="R47">
        <f t="shared" si="11"/>
        <v>1.0284793961699055</v>
      </c>
      <c r="S47">
        <f t="shared" si="12"/>
        <v>0.99910953440774186</v>
      </c>
      <c r="T47">
        <f t="shared" si="13"/>
        <v>-4.2204212549857532E-2</v>
      </c>
      <c r="U47">
        <f t="shared" si="14"/>
        <v>0.99997985163786807</v>
      </c>
      <c r="V47">
        <f t="shared" si="15"/>
        <v>-6.3479807485010186E-3</v>
      </c>
      <c r="X47">
        <f t="shared" si="34"/>
        <v>25.64479106786322</v>
      </c>
      <c r="Y47">
        <f t="shared" si="16"/>
        <v>-126.14603839101898</v>
      </c>
      <c r="Z47">
        <f t="shared" si="35"/>
        <v>53.853961608981024</v>
      </c>
      <c r="AC47">
        <v>1</v>
      </c>
      <c r="AD47">
        <f t="shared" si="17"/>
        <v>1.752066220905</v>
      </c>
      <c r="AE47">
        <f t="shared" si="18"/>
        <v>-8.5866742445771439E-7</v>
      </c>
      <c r="AF47">
        <f t="shared" si="19"/>
        <v>1.3526441313839999E-4</v>
      </c>
      <c r="AG47">
        <f t="shared" si="36"/>
        <v>12905.447695889312</v>
      </c>
      <c r="AH47">
        <f t="shared" si="37"/>
        <v>-7474.8521364594517</v>
      </c>
      <c r="AJ47">
        <f t="shared" si="20"/>
        <v>18000</v>
      </c>
      <c r="AK47">
        <f t="shared" si="21"/>
        <v>760.12719122340002</v>
      </c>
      <c r="AL47">
        <v>1</v>
      </c>
      <c r="AM47">
        <f t="shared" si="22"/>
        <v>1.6595211846213</v>
      </c>
      <c r="AN47">
        <f t="shared" si="38"/>
        <v>5130.8985037907369</v>
      </c>
      <c r="AO47">
        <f t="shared" si="39"/>
        <v>-7754.7075719590594</v>
      </c>
      <c r="AQ47">
        <f t="shared" si="23"/>
        <v>58.823529411764703</v>
      </c>
      <c r="AR47">
        <f t="shared" si="24"/>
        <v>-764.70588235294122</v>
      </c>
      <c r="AT47">
        <f t="shared" si="52"/>
        <v>-4956919.4163578562</v>
      </c>
      <c r="AU47">
        <f t="shared" si="53"/>
        <v>-10308568.951942384</v>
      </c>
      <c r="AV47">
        <f t="shared" si="42"/>
        <v>-2.0190103746326109</v>
      </c>
      <c r="AW47">
        <f t="shared" si="25"/>
        <v>-5607752.6760834623</v>
      </c>
      <c r="AX47">
        <f t="shared" si="26"/>
        <v>-4436354.0356006427</v>
      </c>
      <c r="AY47">
        <f t="shared" si="50"/>
        <v>-2.4722954709111855</v>
      </c>
      <c r="BA47">
        <f t="shared" si="27"/>
        <v>1.5996921548098972</v>
      </c>
      <c r="BB47">
        <f t="shared" si="43"/>
        <v>4.0807282989845843</v>
      </c>
      <c r="BC47">
        <f t="shared" si="44"/>
        <v>0.45328509627857461</v>
      </c>
      <c r="BD47">
        <f t="shared" si="28"/>
        <v>-154.02867703737994</v>
      </c>
      <c r="BF47">
        <f t="shared" si="29"/>
        <v>25.621936135068871</v>
      </c>
      <c r="BG47">
        <f t="shared" si="30"/>
        <v>-126.60464240678721</v>
      </c>
      <c r="BH47">
        <f t="shared" si="45"/>
        <v>53.395357593212793</v>
      </c>
      <c r="BI47">
        <f t="shared" si="46"/>
        <v>53.395357593212793</v>
      </c>
      <c r="BJ47">
        <f t="shared" si="31"/>
        <v>0</v>
      </c>
      <c r="BK47">
        <f t="shared" si="47"/>
        <v>0</v>
      </c>
      <c r="BM47">
        <f t="shared" si="48"/>
        <v>21.541207836084286</v>
      </c>
      <c r="BN47">
        <f t="shared" si="32"/>
        <v>-152.5759653694073</v>
      </c>
      <c r="BQ47" s="56">
        <f t="shared" si="49"/>
        <v>20.98268909926972</v>
      </c>
      <c r="BR47" s="58"/>
      <c r="BS47" s="58"/>
      <c r="BT47" s="58">
        <v>234.423</v>
      </c>
      <c r="BU47" s="58">
        <v>27.670300000000001</v>
      </c>
      <c r="BV47" s="58">
        <v>-266.76120000000003</v>
      </c>
      <c r="BW47" s="61"/>
      <c r="BY47" s="58"/>
      <c r="BZ47" s="58"/>
      <c r="CA47" s="58"/>
      <c r="CC47" s="58"/>
    </row>
    <row r="48" spans="1:81" x14ac:dyDescent="0.25">
      <c r="A48">
        <f t="shared" si="54"/>
        <v>7000</v>
      </c>
      <c r="B48">
        <f t="shared" si="33"/>
        <v>7</v>
      </c>
      <c r="C48">
        <f t="shared" si="0"/>
        <v>1.0000176274515367</v>
      </c>
      <c r="D48">
        <f t="shared" si="1"/>
        <v>5.9375403327380245E-3</v>
      </c>
      <c r="F48">
        <f t="shared" si="2"/>
        <v>0.63088322330157232</v>
      </c>
      <c r="G48">
        <f t="shared" si="3"/>
        <v>0.3994226252892234</v>
      </c>
      <c r="H48">
        <f t="shared" si="4"/>
        <v>-2.7421700247107768</v>
      </c>
      <c r="J48">
        <f t="shared" si="5"/>
        <v>15</v>
      </c>
      <c r="M48">
        <f t="shared" si="6"/>
        <v>0.38138118068437138</v>
      </c>
      <c r="N48">
        <f t="shared" si="7"/>
        <v>-1.5707963250000001</v>
      </c>
      <c r="O48">
        <f t="shared" si="8"/>
        <v>2.1354548097495223</v>
      </c>
      <c r="P48">
        <f t="shared" si="9"/>
        <v>1.0834482937706256</v>
      </c>
      <c r="Q48">
        <f t="shared" si="10"/>
        <v>2.0479258813102894</v>
      </c>
      <c r="R48">
        <f t="shared" si="11"/>
        <v>1.0606569048066963</v>
      </c>
      <c r="S48">
        <f t="shared" si="12"/>
        <v>0.99896749093634318</v>
      </c>
      <c r="T48">
        <f t="shared" si="13"/>
        <v>-4.5446381412731426E-2</v>
      </c>
      <c r="U48">
        <f t="shared" si="14"/>
        <v>0.99997663278159687</v>
      </c>
      <c r="V48">
        <f t="shared" si="15"/>
        <v>-6.8362722895188334E-3</v>
      </c>
      <c r="X48">
        <f t="shared" si="34"/>
        <v>23.95505957902445</v>
      </c>
      <c r="Y48">
        <f t="shared" si="16"/>
        <v>-126.92196985199024</v>
      </c>
      <c r="Z48">
        <f t="shared" si="35"/>
        <v>53.078030148009759</v>
      </c>
      <c r="AC48">
        <v>1</v>
      </c>
      <c r="AD48">
        <f t="shared" si="17"/>
        <v>1.8868405455900001</v>
      </c>
      <c r="AE48">
        <f t="shared" si="18"/>
        <v>-9.9585097747758577E-7</v>
      </c>
      <c r="AF48">
        <f t="shared" si="19"/>
        <v>1.4566936799519998E-4</v>
      </c>
      <c r="AG48">
        <f t="shared" si="36"/>
        <v>12905.364612786547</v>
      </c>
      <c r="AH48">
        <f t="shared" si="37"/>
        <v>-6953.0872132137156</v>
      </c>
      <c r="AJ48">
        <f t="shared" si="20"/>
        <v>18000</v>
      </c>
      <c r="AK48">
        <f t="shared" si="21"/>
        <v>818.59851362519998</v>
      </c>
      <c r="AL48">
        <v>1</v>
      </c>
      <c r="AM48">
        <f t="shared" si="22"/>
        <v>1.7871766603613999</v>
      </c>
      <c r="AN48">
        <f t="shared" si="38"/>
        <v>4640.6719671669889</v>
      </c>
      <c r="AO48">
        <f t="shared" si="39"/>
        <v>-7475.1021144890674</v>
      </c>
      <c r="AQ48">
        <f t="shared" si="23"/>
        <v>50.761421319796952</v>
      </c>
      <c r="AR48">
        <f t="shared" si="24"/>
        <v>-710.65989847715741</v>
      </c>
      <c r="AT48">
        <f t="shared" si="52"/>
        <v>-4286185.602650024</v>
      </c>
      <c r="AU48">
        <f t="shared" si="53"/>
        <v>-9524273.6950368211</v>
      </c>
      <c r="AV48">
        <f t="shared" si="42"/>
        <v>-1.9936731673233958</v>
      </c>
      <c r="AW48">
        <f t="shared" si="25"/>
        <v>-5056778.8026188351</v>
      </c>
      <c r="AX48">
        <f t="shared" si="26"/>
        <v>-3730256.4409064949</v>
      </c>
      <c r="AY48">
        <f t="shared" si="50"/>
        <v>-2.5060266879537716</v>
      </c>
      <c r="BA48">
        <f t="shared" si="27"/>
        <v>1.6621043260824846</v>
      </c>
      <c r="BB48">
        <f t="shared" si="43"/>
        <v>4.4131655973850688</v>
      </c>
      <c r="BC48">
        <f t="shared" si="44"/>
        <v>0.51235352063037576</v>
      </c>
      <c r="BD48">
        <f t="shared" si="28"/>
        <v>-150.64430561566675</v>
      </c>
      <c r="BF48">
        <f t="shared" si="29"/>
        <v>23.934123459795288</v>
      </c>
      <c r="BG48">
        <f t="shared" si="30"/>
        <v>-127.41887891626538</v>
      </c>
      <c r="BH48">
        <f t="shared" si="45"/>
        <v>52.581121083734615</v>
      </c>
      <c r="BI48">
        <f t="shared" si="46"/>
        <v>52.581121083734615</v>
      </c>
      <c r="BJ48">
        <f t="shared" si="31"/>
        <v>0</v>
      </c>
      <c r="BK48">
        <f t="shared" si="47"/>
        <v>0</v>
      </c>
      <c r="BM48">
        <f t="shared" si="48"/>
        <v>19.520957862410217</v>
      </c>
      <c r="BN48">
        <f t="shared" si="32"/>
        <v>-156.77457330059866</v>
      </c>
      <c r="BQ48" s="56">
        <f t="shared" si="49"/>
        <v>21.315126397670205</v>
      </c>
      <c r="BR48" s="58"/>
      <c r="BS48" s="58"/>
      <c r="BT48" s="58">
        <v>239.88300000000001</v>
      </c>
      <c r="BU48" s="58">
        <v>27.2761</v>
      </c>
      <c r="BV48" s="58">
        <v>-267.59569999999997</v>
      </c>
      <c r="BW48" s="61"/>
      <c r="BY48" s="58"/>
      <c r="BZ48" s="58"/>
      <c r="CA48" s="58"/>
      <c r="CC48" s="58"/>
    </row>
    <row r="49" spans="1:81" x14ac:dyDescent="0.25">
      <c r="A49">
        <f t="shared" si="54"/>
        <v>7500</v>
      </c>
      <c r="B49">
        <f t="shared" si="33"/>
        <v>7.5</v>
      </c>
      <c r="C49">
        <f t="shared" si="0"/>
        <v>1.0000202355684882</v>
      </c>
      <c r="D49">
        <f t="shared" si="1"/>
        <v>6.3616392953827813E-3</v>
      </c>
      <c r="F49">
        <f t="shared" si="2"/>
        <v>0.51454140984656849</v>
      </c>
      <c r="G49">
        <f t="shared" si="3"/>
        <v>0.34673256181536305</v>
      </c>
      <c r="H49">
        <f t="shared" si="4"/>
        <v>-2.7948600881846373</v>
      </c>
      <c r="J49">
        <f t="shared" si="5"/>
        <v>15</v>
      </c>
      <c r="M49">
        <f t="shared" si="6"/>
        <v>0.35595576863874662</v>
      </c>
      <c r="N49">
        <f t="shared" si="7"/>
        <v>-1.5707963250000001</v>
      </c>
      <c r="O49">
        <f t="shared" si="8"/>
        <v>2.255421619945372</v>
      </c>
      <c r="P49">
        <f t="shared" si="9"/>
        <v>1.1114346097799603</v>
      </c>
      <c r="Q49">
        <f t="shared" si="10"/>
        <v>2.1602273281872519</v>
      </c>
      <c r="R49">
        <f t="shared" si="11"/>
        <v>1.0895162215072933</v>
      </c>
      <c r="S49">
        <f t="shared" si="12"/>
        <v>0.99881499318659883</v>
      </c>
      <c r="T49">
        <f t="shared" si="13"/>
        <v>-4.8687594468771626E-2</v>
      </c>
      <c r="U49">
        <f t="shared" si="14"/>
        <v>0.99997317552615028</v>
      </c>
      <c r="V49">
        <f t="shared" si="15"/>
        <v>-7.3245605705818265E-3</v>
      </c>
      <c r="X49">
        <f t="shared" si="34"/>
        <v>22.522340258072354</v>
      </c>
      <c r="Y49">
        <f t="shared" si="16"/>
        <v>-126.87325887888221</v>
      </c>
      <c r="Z49">
        <f t="shared" si="35"/>
        <v>53.126741121117789</v>
      </c>
      <c r="AC49">
        <v>1</v>
      </c>
      <c r="AD49">
        <f t="shared" si="17"/>
        <v>2.0216148702750001</v>
      </c>
      <c r="AE49">
        <f t="shared" si="18"/>
        <v>-1.1431962751655958E-6</v>
      </c>
      <c r="AF49">
        <f t="shared" si="19"/>
        <v>1.5607432285200001E-4</v>
      </c>
      <c r="AG49">
        <f t="shared" si="36"/>
        <v>12905.275376571395</v>
      </c>
      <c r="AH49">
        <f t="shared" si="37"/>
        <v>-6501.7309971143595</v>
      </c>
      <c r="AJ49">
        <f t="shared" si="20"/>
        <v>18000</v>
      </c>
      <c r="AK49">
        <f t="shared" si="21"/>
        <v>877.06983602700006</v>
      </c>
      <c r="AL49">
        <v>1</v>
      </c>
      <c r="AM49">
        <f t="shared" si="22"/>
        <v>1.9148321361015002</v>
      </c>
      <c r="AN49">
        <f t="shared" si="38"/>
        <v>4217.0995915384601</v>
      </c>
      <c r="AO49">
        <f t="shared" si="39"/>
        <v>-7197.9679829913521</v>
      </c>
      <c r="AQ49">
        <f t="shared" si="23"/>
        <v>44.247787610619469</v>
      </c>
      <c r="AR49">
        <f t="shared" si="24"/>
        <v>-663.71681415929208</v>
      </c>
      <c r="AT49">
        <f t="shared" si="52"/>
        <v>-3744278.3000063719</v>
      </c>
      <c r="AU49">
        <f t="shared" si="53"/>
        <v>-8853135.4710480217</v>
      </c>
      <c r="AV49">
        <f t="shared" si="42"/>
        <v>-1.9709144406045909</v>
      </c>
      <c r="AW49">
        <f t="shared" si="25"/>
        <v>-4571416.1903793886</v>
      </c>
      <c r="AX49">
        <f t="shared" si="26"/>
        <v>-3167079.7277307678</v>
      </c>
      <c r="AY49">
        <f t="shared" si="50"/>
        <v>-2.5357148836827221</v>
      </c>
      <c r="BA49">
        <f t="shared" si="27"/>
        <v>1.7284340251555703</v>
      </c>
      <c r="BB49">
        <f t="shared" si="43"/>
        <v>4.7530561408868719</v>
      </c>
      <c r="BC49">
        <f t="shared" si="44"/>
        <v>0.56480044307813126</v>
      </c>
      <c r="BD49">
        <f t="shared" si="28"/>
        <v>-147.63931830752671</v>
      </c>
      <c r="BF49">
        <f t="shared" si="29"/>
        <v>22.503463727103753</v>
      </c>
      <c r="BG49">
        <f t="shared" si="30"/>
        <v>-127.40851079022039</v>
      </c>
      <c r="BH49">
        <f t="shared" si="45"/>
        <v>52.59148920977961</v>
      </c>
      <c r="BI49">
        <f t="shared" si="46"/>
        <v>52.59148920977961</v>
      </c>
      <c r="BJ49">
        <f t="shared" si="31"/>
        <v>0</v>
      </c>
      <c r="BK49">
        <f t="shared" si="47"/>
        <v>0</v>
      </c>
      <c r="BM49">
        <f t="shared" si="48"/>
        <v>17.75040758621688</v>
      </c>
      <c r="BN49">
        <f t="shared" si="32"/>
        <v>-159.76919248269371</v>
      </c>
      <c r="BQ49" s="56">
        <f t="shared" si="49"/>
        <v>21.655016941172008</v>
      </c>
      <c r="BR49" s="58"/>
      <c r="BS49" s="58"/>
      <c r="BT49" s="58">
        <v>245.471</v>
      </c>
      <c r="BU49" s="58">
        <v>27.075500000000002</v>
      </c>
      <c r="BV49" s="58">
        <v>-266.80959999999999</v>
      </c>
      <c r="BW49" s="61"/>
      <c r="BY49" s="58"/>
      <c r="BZ49" s="58"/>
      <c r="CA49" s="58"/>
      <c r="CC49" s="58"/>
    </row>
    <row r="50" spans="1:81" x14ac:dyDescent="0.25">
      <c r="A50">
        <f t="shared" si="54"/>
        <v>8000</v>
      </c>
      <c r="B50">
        <f t="shared" si="33"/>
        <v>8</v>
      </c>
      <c r="C50">
        <f t="shared" si="0"/>
        <v>1.0000230235480523</v>
      </c>
      <c r="D50">
        <f t="shared" si="1"/>
        <v>6.7857359696011548E-3</v>
      </c>
      <c r="F50">
        <f t="shared" si="2"/>
        <v>0.42923344689354753</v>
      </c>
      <c r="G50">
        <f t="shared" si="3"/>
        <v>0.30719316061018281</v>
      </c>
      <c r="H50">
        <f t="shared" si="4"/>
        <v>-2.8343994893898175</v>
      </c>
      <c r="J50">
        <f t="shared" si="5"/>
        <v>15</v>
      </c>
      <c r="M50">
        <f t="shared" si="6"/>
        <v>0.33370853309882498</v>
      </c>
      <c r="N50">
        <f t="shared" si="7"/>
        <v>-1.5707963250000001</v>
      </c>
      <c r="O50">
        <f t="shared" si="8"/>
        <v>2.3769758854772247</v>
      </c>
      <c r="P50">
        <f t="shared" si="9"/>
        <v>1.1365766435204558</v>
      </c>
      <c r="Q50">
        <f t="shared" si="10"/>
        <v>2.2741494332005541</v>
      </c>
      <c r="R50">
        <f t="shared" si="11"/>
        <v>1.1155040432894152</v>
      </c>
      <c r="S50">
        <f t="shared" si="12"/>
        <v>0.99865205555532843</v>
      </c>
      <c r="T50">
        <f t="shared" si="13"/>
        <v>-5.1927784071232878E-2</v>
      </c>
      <c r="U50">
        <f t="shared" si="14"/>
        <v>0.99996947987894669</v>
      </c>
      <c r="V50">
        <f t="shared" si="15"/>
        <v>-7.8128453588843863E-3</v>
      </c>
      <c r="X50">
        <f t="shared" si="34"/>
        <v>21.288136909180633</v>
      </c>
      <c r="Y50">
        <f t="shared" si="16"/>
        <v>-126.39850166038657</v>
      </c>
      <c r="Z50">
        <f t="shared" si="35"/>
        <v>53.601498339613428</v>
      </c>
      <c r="AC50">
        <v>1</v>
      </c>
      <c r="AD50">
        <f t="shared" si="17"/>
        <v>2.15638919496</v>
      </c>
      <c r="AE50">
        <f t="shared" si="18"/>
        <v>-1.3007033175217447E-6</v>
      </c>
      <c r="AF50">
        <f t="shared" si="19"/>
        <v>1.664792777088E-4</v>
      </c>
      <c r="AG50">
        <f t="shared" si="36"/>
        <v>12905.179987499185</v>
      </c>
      <c r="AH50">
        <f t="shared" si="37"/>
        <v>-6107.5818228949984</v>
      </c>
      <c r="AJ50">
        <f t="shared" si="20"/>
        <v>18000</v>
      </c>
      <c r="AK50">
        <f t="shared" si="21"/>
        <v>935.54115842880003</v>
      </c>
      <c r="AL50">
        <v>1</v>
      </c>
      <c r="AM50">
        <f t="shared" si="22"/>
        <v>2.0424876118416</v>
      </c>
      <c r="AN50">
        <f t="shared" si="38"/>
        <v>3849.9172418425574</v>
      </c>
      <c r="AO50">
        <f t="shared" si="39"/>
        <v>-6927.8671146500046</v>
      </c>
      <c r="AQ50">
        <f t="shared" si="23"/>
        <v>38.910505836575872</v>
      </c>
      <c r="AR50">
        <f t="shared" si="24"/>
        <v>-622.56809338521396</v>
      </c>
      <c r="AT50">
        <f t="shared" si="52"/>
        <v>-3300238.4894482796</v>
      </c>
      <c r="AU50">
        <f t="shared" si="53"/>
        <v>-8272002.3977775071</v>
      </c>
      <c r="AV50">
        <f t="shared" si="42"/>
        <v>-1.9504100454322644</v>
      </c>
      <c r="AW50">
        <f t="shared" si="25"/>
        <v>-4144310.5263503185</v>
      </c>
      <c r="AX50">
        <f t="shared" si="26"/>
        <v>-2713156.7846418577</v>
      </c>
      <c r="AY50">
        <f t="shared" si="50"/>
        <v>-2.5619413118165015</v>
      </c>
      <c r="BA50">
        <f t="shared" si="27"/>
        <v>1.7979524789913042</v>
      </c>
      <c r="BB50">
        <f t="shared" si="43"/>
        <v>5.0955641774815987</v>
      </c>
      <c r="BC50">
        <f t="shared" si="44"/>
        <v>0.61153126638423716</v>
      </c>
      <c r="BD50">
        <f t="shared" si="28"/>
        <v>-144.9618393558558</v>
      </c>
      <c r="BF50">
        <f t="shared" si="29"/>
        <v>21.271460453769389</v>
      </c>
      <c r="BG50">
        <f t="shared" si="30"/>
        <v>-126.97217370510343</v>
      </c>
      <c r="BH50">
        <f t="shared" si="45"/>
        <v>53.02782629489657</v>
      </c>
      <c r="BI50">
        <f t="shared" si="46"/>
        <v>53.02782629489657</v>
      </c>
      <c r="BJ50">
        <f t="shared" si="31"/>
        <v>0</v>
      </c>
      <c r="BK50">
        <f t="shared" si="47"/>
        <v>0</v>
      </c>
      <c r="BM50">
        <f t="shared" si="48"/>
        <v>16.175896276287787</v>
      </c>
      <c r="BN50">
        <f t="shared" si="32"/>
        <v>-162.01033434924764</v>
      </c>
      <c r="BQ50" s="56">
        <f t="shared" si="49"/>
        <v>21.997524977766734</v>
      </c>
      <c r="BR50" s="58"/>
      <c r="BS50" s="58"/>
      <c r="BT50" s="58">
        <v>251.18899999999999</v>
      </c>
      <c r="BU50" s="58">
        <v>27.043399999999998</v>
      </c>
      <c r="BV50" s="58">
        <v>-265.9205</v>
      </c>
      <c r="BW50" s="61"/>
      <c r="BY50" s="58"/>
      <c r="BZ50" s="58"/>
      <c r="CA50" s="58"/>
      <c r="CC50" s="58"/>
    </row>
    <row r="51" spans="1:81" x14ac:dyDescent="0.25">
      <c r="A51">
        <f t="shared" si="54"/>
        <v>8500</v>
      </c>
      <c r="B51">
        <f t="shared" si="33"/>
        <v>8.5</v>
      </c>
      <c r="C51">
        <f t="shared" si="0"/>
        <v>1.0000259913887248</v>
      </c>
      <c r="D51">
        <f t="shared" si="1"/>
        <v>7.2098302028586071E-3</v>
      </c>
      <c r="F51">
        <f t="shared" si="2"/>
        <v>0.36456829985740991</v>
      </c>
      <c r="G51">
        <f t="shared" si="3"/>
        <v>0.27638665201372886</v>
      </c>
      <c r="H51">
        <f t="shared" si="4"/>
        <v>-2.8652059979862714</v>
      </c>
      <c r="J51">
        <f t="shared" si="5"/>
        <v>15</v>
      </c>
      <c r="M51">
        <f t="shared" si="6"/>
        <v>0.31407861938712939</v>
      </c>
      <c r="N51">
        <f t="shared" si="7"/>
        <v>-1.5707963250000001</v>
      </c>
      <c r="O51">
        <f t="shared" si="8"/>
        <v>2.4998860521535904</v>
      </c>
      <c r="P51">
        <f t="shared" si="9"/>
        <v>1.1592595873674179</v>
      </c>
      <c r="Q51">
        <f t="shared" si="10"/>
        <v>2.3894604036431812</v>
      </c>
      <c r="R51">
        <f t="shared" si="11"/>
        <v>1.1389982381230315</v>
      </c>
      <c r="S51">
        <f t="shared" si="12"/>
        <v>0.99847869341198525</v>
      </c>
      <c r="T51">
        <f t="shared" si="13"/>
        <v>-5.5166882702040752E-2</v>
      </c>
      <c r="U51">
        <f t="shared" si="14"/>
        <v>0.99996554584791597</v>
      </c>
      <c r="V51">
        <f t="shared" si="15"/>
        <v>-8.3011264216308941E-3</v>
      </c>
      <c r="X51">
        <f t="shared" si="34"/>
        <v>20.209274258285568</v>
      </c>
      <c r="Y51">
        <f t="shared" si="16"/>
        <v>-125.7070937427213</v>
      </c>
      <c r="Z51">
        <f t="shared" si="35"/>
        <v>54.292906257278702</v>
      </c>
      <c r="AC51">
        <v>1</v>
      </c>
      <c r="AD51">
        <f t="shared" si="17"/>
        <v>2.291163519645</v>
      </c>
      <c r="AE51">
        <f t="shared" si="18"/>
        <v>-1.4683721045460324E-6</v>
      </c>
      <c r="AF51">
        <f t="shared" si="19"/>
        <v>1.7688423256560001E-4</v>
      </c>
      <c r="AG51">
        <f t="shared" si="36"/>
        <v>12905.078445842799</v>
      </c>
      <c r="AH51">
        <f t="shared" si="37"/>
        <v>-5760.5442973497484</v>
      </c>
      <c r="AJ51">
        <f t="shared" si="20"/>
        <v>18000</v>
      </c>
      <c r="AK51">
        <f t="shared" si="21"/>
        <v>994.0124808306</v>
      </c>
      <c r="AL51">
        <v>1</v>
      </c>
      <c r="AM51">
        <f t="shared" si="22"/>
        <v>2.1701430875817</v>
      </c>
      <c r="AN51">
        <f t="shared" si="38"/>
        <v>3530.4448904895398</v>
      </c>
      <c r="AO51">
        <f t="shared" si="39"/>
        <v>-6667.5580943534069</v>
      </c>
      <c r="AQ51">
        <f t="shared" si="23"/>
        <v>34.482758620689658</v>
      </c>
      <c r="AR51">
        <f t="shared" si="24"/>
        <v>-586.20689655172418</v>
      </c>
      <c r="AT51">
        <f t="shared" si="52"/>
        <v>-2931868.0899690664</v>
      </c>
      <c r="AU51">
        <f t="shared" si="53"/>
        <v>-7763685.4440233568</v>
      </c>
      <c r="AV51">
        <f t="shared" si="42"/>
        <v>-1.9318783699282835</v>
      </c>
      <c r="AW51">
        <f t="shared" si="25"/>
        <v>-3768257.8976003621</v>
      </c>
      <c r="AX51">
        <f t="shared" si="26"/>
        <v>-2343682.08110592</v>
      </c>
      <c r="AY51">
        <f t="shared" si="50"/>
        <v>-2.5851869091667559</v>
      </c>
      <c r="BA51">
        <f t="shared" si="27"/>
        <v>1.8701026822192928</v>
      </c>
      <c r="BB51">
        <f t="shared" si="43"/>
        <v>5.4373090622479472</v>
      </c>
      <c r="BC51">
        <f t="shared" si="44"/>
        <v>0.65330853923847232</v>
      </c>
      <c r="BD51">
        <f t="shared" si="28"/>
        <v>-142.56817793900649</v>
      </c>
      <c r="BF51">
        <f t="shared" si="29"/>
        <v>20.194938057739268</v>
      </c>
      <c r="BG51">
        <f t="shared" si="30"/>
        <v>-126.31929640467207</v>
      </c>
      <c r="BH51">
        <f t="shared" si="45"/>
        <v>53.680703595327927</v>
      </c>
      <c r="BI51">
        <f t="shared" si="46"/>
        <v>53.680703595327927</v>
      </c>
      <c r="BJ51">
        <f t="shared" si="31"/>
        <v>0</v>
      </c>
      <c r="BK51">
        <f t="shared" si="47"/>
        <v>0</v>
      </c>
      <c r="BM51">
        <f t="shared" si="48"/>
        <v>14.757628995491325</v>
      </c>
      <c r="BN51">
        <f t="shared" si="32"/>
        <v>-163.7511184656656</v>
      </c>
      <c r="BQ51" s="56">
        <f t="shared" si="49"/>
        <v>22.339269862533083</v>
      </c>
      <c r="BR51" s="58"/>
      <c r="BS51" s="58"/>
      <c r="BT51" s="58">
        <v>257.04000000000002</v>
      </c>
      <c r="BU51" s="58">
        <v>26.677600000000002</v>
      </c>
      <c r="BV51" s="58">
        <v>-267.60309999999998</v>
      </c>
      <c r="BW51" s="61"/>
      <c r="BY51" s="58"/>
      <c r="BZ51" s="58"/>
      <c r="CA51" s="58"/>
      <c r="CC51" s="58"/>
    </row>
    <row r="52" spans="1:81" x14ac:dyDescent="0.25">
      <c r="A52">
        <f t="shared" si="54"/>
        <v>9000</v>
      </c>
      <c r="B52">
        <f t="shared" si="33"/>
        <v>9</v>
      </c>
      <c r="C52">
        <f t="shared" si="0"/>
        <v>1.0000291390889042</v>
      </c>
      <c r="D52">
        <f t="shared" si="1"/>
        <v>7.6339218426258659E-3</v>
      </c>
      <c r="F52">
        <f t="shared" si="2"/>
        <v>0.3142018606462666</v>
      </c>
      <c r="G52">
        <f t="shared" si="3"/>
        <v>0.25166402006324712</v>
      </c>
      <c r="H52">
        <f t="shared" si="4"/>
        <v>-2.8899286299367533</v>
      </c>
      <c r="J52">
        <f t="shared" si="5"/>
        <v>15</v>
      </c>
      <c r="M52">
        <f t="shared" si="6"/>
        <v>0.29662980719895554</v>
      </c>
      <c r="N52">
        <f t="shared" si="7"/>
        <v>-1.5707963250000001</v>
      </c>
      <c r="O52">
        <f t="shared" si="8"/>
        <v>2.6239615897631752</v>
      </c>
      <c r="P52">
        <f t="shared" si="9"/>
        <v>1.1798071369883025</v>
      </c>
      <c r="Q52">
        <f t="shared" si="10"/>
        <v>2.5059685228677013</v>
      </c>
      <c r="R52">
        <f t="shared" si="11"/>
        <v>1.1603187143740252</v>
      </c>
      <c r="S52">
        <f t="shared" si="12"/>
        <v>0.99829492309464285</v>
      </c>
      <c r="T52">
        <f t="shared" si="13"/>
        <v>-5.8404822980145689E-2</v>
      </c>
      <c r="U52">
        <f t="shared" si="14"/>
        <v>0.99996137344149938</v>
      </c>
      <c r="V52">
        <f t="shared" si="15"/>
        <v>-8.789403526036384E-3</v>
      </c>
      <c r="X52">
        <f t="shared" si="34"/>
        <v>19.25405255382924</v>
      </c>
      <c r="Y52">
        <f t="shared" si="16"/>
        <v>-124.91393290051039</v>
      </c>
      <c r="Z52">
        <f t="shared" si="35"/>
        <v>55.086067099489611</v>
      </c>
      <c r="AC52">
        <v>1</v>
      </c>
      <c r="AD52">
        <f t="shared" si="17"/>
        <v>2.4259378443300004</v>
      </c>
      <c r="AE52">
        <f t="shared" si="18"/>
        <v>-1.6462026362384582E-6</v>
      </c>
      <c r="AF52">
        <f t="shared" si="19"/>
        <v>1.8728918742239999E-4</v>
      </c>
      <c r="AG52">
        <f t="shared" si="36"/>
        <v>12904.970751892744</v>
      </c>
      <c r="AH52">
        <f t="shared" si="37"/>
        <v>-5452.7664459833313</v>
      </c>
      <c r="AJ52">
        <f t="shared" si="20"/>
        <v>18000</v>
      </c>
      <c r="AK52">
        <f t="shared" si="21"/>
        <v>1052.4838032324001</v>
      </c>
      <c r="AL52">
        <v>1</v>
      </c>
      <c r="AM52">
        <f t="shared" si="22"/>
        <v>2.2977985633218001</v>
      </c>
      <c r="AN52">
        <f t="shared" si="38"/>
        <v>3251.3999473305253</v>
      </c>
      <c r="AO52">
        <f t="shared" si="39"/>
        <v>-6418.5783245282564</v>
      </c>
      <c r="AQ52">
        <f t="shared" si="23"/>
        <v>30.76923076923077</v>
      </c>
      <c r="AR52">
        <f t="shared" si="24"/>
        <v>-553.84615384615381</v>
      </c>
      <c r="AT52">
        <f t="shared" si="52"/>
        <v>-2622917.7007940682</v>
      </c>
      <c r="AU52">
        <f t="shared" si="53"/>
        <v>-7315145.8455400839</v>
      </c>
      <c r="AV52">
        <f t="shared" si="42"/>
        <v>-1.9150764148818102</v>
      </c>
      <c r="AW52">
        <f t="shared" si="25"/>
        <v>-3436627.0753494217</v>
      </c>
      <c r="AX52">
        <f t="shared" si="26"/>
        <v>-2040169.9572924024</v>
      </c>
      <c r="AY52">
        <f t="shared" si="50"/>
        <v>-2.6058518481263544</v>
      </c>
      <c r="BA52">
        <f t="shared" si="27"/>
        <v>1.9444516857959111</v>
      </c>
      <c r="BB52">
        <f t="shared" si="43"/>
        <v>5.7759431322058461</v>
      </c>
      <c r="BC52">
        <f t="shared" si="44"/>
        <v>0.69077543324454416</v>
      </c>
      <c r="BD52">
        <f t="shared" si="28"/>
        <v>-140.42148303854162</v>
      </c>
      <c r="BF52">
        <f t="shared" si="29"/>
        <v>19.242196459032279</v>
      </c>
      <c r="BG52">
        <f t="shared" si="30"/>
        <v>-125.56480531393046</v>
      </c>
      <c r="BH52">
        <f t="shared" si="45"/>
        <v>54.435194686069536</v>
      </c>
      <c r="BI52">
        <f t="shared" si="46"/>
        <v>54.435194686069536</v>
      </c>
      <c r="BJ52">
        <f t="shared" si="31"/>
        <v>0</v>
      </c>
      <c r="BK52">
        <f t="shared" si="47"/>
        <v>0</v>
      </c>
      <c r="BM52">
        <f t="shared" si="48"/>
        <v>13.466253326826433</v>
      </c>
      <c r="BN52">
        <f t="shared" si="32"/>
        <v>-165.14332227538884</v>
      </c>
      <c r="BQ52" s="56">
        <f t="shared" si="49"/>
        <v>22.677903932490985</v>
      </c>
      <c r="BR52" s="58"/>
      <c r="BS52" s="58"/>
      <c r="BT52" s="58">
        <v>263.02699999999999</v>
      </c>
      <c r="BU52" s="58">
        <v>26.270299999999999</v>
      </c>
      <c r="BV52" s="58">
        <v>-267.3229</v>
      </c>
      <c r="BW52" s="61"/>
      <c r="BY52" s="58"/>
      <c r="BZ52" s="58"/>
      <c r="CA52" s="58"/>
      <c r="CC52" s="58"/>
    </row>
    <row r="53" spans="1:81" x14ac:dyDescent="0.25">
      <c r="A53">
        <f t="shared" si="54"/>
        <v>9500</v>
      </c>
      <c r="B53">
        <f t="shared" si="33"/>
        <v>9.5</v>
      </c>
      <c r="C53">
        <f t="shared" si="0"/>
        <v>1.000032466646892</v>
      </c>
      <c r="D53">
        <f t="shared" si="1"/>
        <v>8.0580107363792605E-3</v>
      </c>
      <c r="F53">
        <f t="shared" si="2"/>
        <v>0.27408505309269021</v>
      </c>
      <c r="G53">
        <f t="shared" si="3"/>
        <v>0.23134800748576609</v>
      </c>
      <c r="H53">
        <f t="shared" si="4"/>
        <v>-2.9102446425142343</v>
      </c>
      <c r="J53">
        <f t="shared" si="5"/>
        <v>15</v>
      </c>
      <c r="M53">
        <f t="shared" si="6"/>
        <v>0.28101771208322102</v>
      </c>
      <c r="N53">
        <f t="shared" si="7"/>
        <v>-1.5707963250000001</v>
      </c>
      <c r="O53">
        <f t="shared" si="8"/>
        <v>2.7490447090837771</v>
      </c>
      <c r="P53">
        <f t="shared" si="9"/>
        <v>1.1984921394334052</v>
      </c>
      <c r="Q53">
        <f t="shared" si="10"/>
        <v>2.6235143025342333</v>
      </c>
      <c r="R53">
        <f t="shared" si="11"/>
        <v>1.1797368573231248</v>
      </c>
      <c r="S53">
        <f t="shared" si="12"/>
        <v>0.99810076190573616</v>
      </c>
      <c r="T53">
        <f t="shared" si="13"/>
        <v>-6.1641537669834254E-2</v>
      </c>
      <c r="U53">
        <f t="shared" si="14"/>
        <v>0.99995696266864909</v>
      </c>
      <c r="V53">
        <f t="shared" si="15"/>
        <v>-9.2776764393272225E-3</v>
      </c>
      <c r="X53">
        <f t="shared" si="34"/>
        <v>18.398906800827426</v>
      </c>
      <c r="Y53">
        <f t="shared" si="16"/>
        <v>-124.08393282416407</v>
      </c>
      <c r="Z53">
        <f t="shared" si="35"/>
        <v>55.916067175835934</v>
      </c>
      <c r="AC53">
        <v>1</v>
      </c>
      <c r="AD53">
        <f t="shared" si="17"/>
        <v>2.5607121690149999</v>
      </c>
      <c r="AE53">
        <f t="shared" si="18"/>
        <v>-1.8341949125990229E-6</v>
      </c>
      <c r="AF53">
        <f t="shared" si="19"/>
        <v>1.9769414227919997E-4</v>
      </c>
      <c r="AG53">
        <f t="shared" si="36"/>
        <v>12904.856905957089</v>
      </c>
      <c r="AH53">
        <f t="shared" si="37"/>
        <v>-5178.0493396663896</v>
      </c>
      <c r="AJ53">
        <f t="shared" si="20"/>
        <v>18000</v>
      </c>
      <c r="AK53">
        <f t="shared" si="21"/>
        <v>1110.9551256341999</v>
      </c>
      <c r="AL53">
        <v>1</v>
      </c>
      <c r="AM53">
        <f t="shared" si="22"/>
        <v>2.4254540390618997</v>
      </c>
      <c r="AN53">
        <f t="shared" si="38"/>
        <v>3006.6961886302729</v>
      </c>
      <c r="AO53">
        <f t="shared" si="39"/>
        <v>-6181.6482893111142</v>
      </c>
      <c r="AQ53">
        <f t="shared" si="23"/>
        <v>27.624309392265193</v>
      </c>
      <c r="AR53">
        <f t="shared" si="24"/>
        <v>-524.86187845303868</v>
      </c>
      <c r="AT53">
        <f t="shared" si="52"/>
        <v>-2361272.9433067492</v>
      </c>
      <c r="AU53">
        <f t="shared" si="53"/>
        <v>-6916307.4738356657</v>
      </c>
      <c r="AV53">
        <f t="shared" si="42"/>
        <v>-1.8997951289847737</v>
      </c>
      <c r="AW53">
        <f t="shared" si="25"/>
        <v>-3143513.8764146566</v>
      </c>
      <c r="AX53">
        <f t="shared" si="26"/>
        <v>-1788693.8847841311</v>
      </c>
      <c r="AY53">
        <f t="shared" si="50"/>
        <v>-2.624270935695765</v>
      </c>
      <c r="BA53">
        <f t="shared" si="27"/>
        <v>2.0206579521937411</v>
      </c>
      <c r="BB53">
        <f t="shared" si="43"/>
        <v>6.1098560867634149</v>
      </c>
      <c r="BC53">
        <f t="shared" si="44"/>
        <v>0.72447580671099132</v>
      </c>
      <c r="BD53">
        <f t="shared" si="28"/>
        <v>-138.49059386869317</v>
      </c>
      <c r="BF53">
        <f t="shared" si="29"/>
        <v>18.38967031389944</v>
      </c>
      <c r="BG53">
        <f t="shared" si="30"/>
        <v>-124.77363941885827</v>
      </c>
      <c r="BH53">
        <f t="shared" si="45"/>
        <v>55.226360581141734</v>
      </c>
      <c r="BI53">
        <f t="shared" si="46"/>
        <v>55.226360581141734</v>
      </c>
      <c r="BJ53">
        <f t="shared" si="31"/>
        <v>0</v>
      </c>
      <c r="BK53">
        <f t="shared" si="47"/>
        <v>0</v>
      </c>
      <c r="BM53">
        <f t="shared" si="48"/>
        <v>12.279814227136026</v>
      </c>
      <c r="BN53">
        <f t="shared" si="32"/>
        <v>-166.2830455501651</v>
      </c>
      <c r="BQ53" s="56">
        <f t="shared" si="49"/>
        <v>23.01181688704855</v>
      </c>
      <c r="BR53" s="58"/>
      <c r="BS53" s="58"/>
      <c r="BT53" s="58">
        <v>269.15300000000002</v>
      </c>
      <c r="BU53" s="58">
        <v>26.235900000000001</v>
      </c>
      <c r="BV53" s="58">
        <v>-265.67700000000002</v>
      </c>
      <c r="BW53" s="61"/>
      <c r="BY53" s="58"/>
      <c r="BZ53" s="58"/>
      <c r="CA53" s="58"/>
      <c r="CC53" s="58"/>
    </row>
    <row r="54" spans="1:81" x14ac:dyDescent="0.25">
      <c r="A54">
        <f t="shared" si="54"/>
        <v>10000</v>
      </c>
      <c r="B54">
        <f t="shared" si="33"/>
        <v>10</v>
      </c>
      <c r="C54">
        <f t="shared" si="0"/>
        <v>1.0000359740608933</v>
      </c>
      <c r="D54">
        <f t="shared" si="1"/>
        <v>8.4820967316010434E-3</v>
      </c>
      <c r="F54">
        <f t="shared" si="2"/>
        <v>0.24153047960122623</v>
      </c>
      <c r="G54">
        <f t="shared" si="3"/>
        <v>0.21432747820532547</v>
      </c>
      <c r="H54">
        <f t="shared" si="4"/>
        <v>-2.9272651717946747</v>
      </c>
      <c r="J54">
        <f t="shared" si="5"/>
        <v>15</v>
      </c>
      <c r="M54">
        <f t="shared" si="6"/>
        <v>0.26696682647905995</v>
      </c>
      <c r="N54">
        <f t="shared" si="7"/>
        <v>-1.5707963250000001</v>
      </c>
      <c r="O54">
        <f t="shared" si="8"/>
        <v>2.875003902209373</v>
      </c>
      <c r="P54">
        <f t="shared" si="9"/>
        <v>1.2155454213985397</v>
      </c>
      <c r="Q54">
        <f t="shared" si="10"/>
        <v>2.741964294912044</v>
      </c>
      <c r="R54">
        <f t="shared" si="11"/>
        <v>1.1974835330474913</v>
      </c>
      <c r="S54">
        <f t="shared" si="12"/>
        <v>0.99789622810755407</v>
      </c>
      <c r="T54">
        <f t="shared" si="13"/>
        <v>-6.4876959688994984E-2</v>
      </c>
      <c r="U54">
        <f t="shared" si="14"/>
        <v>0.99995231353882896</v>
      </c>
      <c r="V54">
        <f t="shared" si="15"/>
        <v>-9.7659449287417592E-3</v>
      </c>
      <c r="X54">
        <f t="shared" si="34"/>
        <v>17.626020581699152</v>
      </c>
      <c r="Y54">
        <f t="shared" si="16"/>
        <v>-123.25430002589937</v>
      </c>
      <c r="Z54">
        <f t="shared" si="35"/>
        <v>56.745699974100631</v>
      </c>
      <c r="AC54">
        <v>1</v>
      </c>
      <c r="AD54">
        <f t="shared" si="17"/>
        <v>2.6954864937000003</v>
      </c>
      <c r="AE54">
        <f t="shared" si="18"/>
        <v>-2.0323489336277263E-6</v>
      </c>
      <c r="AF54">
        <f t="shared" si="19"/>
        <v>2.0809909713599998E-4</v>
      </c>
      <c r="AG54">
        <f t="shared" si="36"/>
        <v>12904.736908361525</v>
      </c>
      <c r="AH54">
        <f t="shared" si="37"/>
        <v>-4931.4338332942407</v>
      </c>
      <c r="AJ54">
        <f t="shared" si="20"/>
        <v>18000</v>
      </c>
      <c r="AK54">
        <f t="shared" si="21"/>
        <v>1169.426448036</v>
      </c>
      <c r="AL54">
        <v>1</v>
      </c>
      <c r="AM54">
        <f t="shared" si="22"/>
        <v>2.5531095148020002</v>
      </c>
      <c r="AN54">
        <f t="shared" si="38"/>
        <v>2791.2537997927975</v>
      </c>
      <c r="AO54">
        <f t="shared" si="39"/>
        <v>-5956.9501864422282</v>
      </c>
      <c r="AQ54">
        <f t="shared" si="23"/>
        <v>24.937655860349128</v>
      </c>
      <c r="AR54">
        <f t="shared" si="24"/>
        <v>-498.75311720698255</v>
      </c>
      <c r="AT54">
        <f t="shared" si="52"/>
        <v>-2137754.1086664163</v>
      </c>
      <c r="AU54">
        <f t="shared" si="53"/>
        <v>-6559256.1596140834</v>
      </c>
      <c r="AV54">
        <f t="shared" si="42"/>
        <v>-1.8858547813980524</v>
      </c>
      <c r="AW54">
        <f t="shared" si="25"/>
        <v>-2883760.1579801701</v>
      </c>
      <c r="AX54">
        <f t="shared" si="26"/>
        <v>-1578652.7330408292</v>
      </c>
      <c r="AY54">
        <f t="shared" si="50"/>
        <v>-2.6407258036225163</v>
      </c>
      <c r="BA54">
        <f t="shared" si="27"/>
        <v>2.0984485033583544</v>
      </c>
      <c r="BB54">
        <f t="shared" si="43"/>
        <v>6.4379663188727907</v>
      </c>
      <c r="BC54">
        <f t="shared" si="44"/>
        <v>0.75487102222446389</v>
      </c>
      <c r="BD54">
        <f t="shared" si="28"/>
        <v>-136.74907630039067</v>
      </c>
      <c r="BF54">
        <f t="shared" si="29"/>
        <v>17.619542835706483</v>
      </c>
      <c r="BG54">
        <f t="shared" si="30"/>
        <v>-123.98302800681358</v>
      </c>
      <c r="BH54">
        <f t="shared" si="45"/>
        <v>56.016971993186417</v>
      </c>
      <c r="BI54">
        <f t="shared" si="46"/>
        <v>56.016971993186417</v>
      </c>
      <c r="BJ54">
        <f t="shared" si="31"/>
        <v>0</v>
      </c>
      <c r="BK54">
        <f t="shared" si="47"/>
        <v>0</v>
      </c>
      <c r="BM54">
        <f t="shared" si="48"/>
        <v>11.18157651683369</v>
      </c>
      <c r="BN54">
        <f t="shared" si="32"/>
        <v>-167.23395170642291</v>
      </c>
      <c r="BQ54" s="56">
        <f t="shared" si="49"/>
        <v>23.339927119157927</v>
      </c>
      <c r="BR54" s="58"/>
      <c r="BS54" s="58"/>
      <c r="BT54" s="58">
        <v>275.423</v>
      </c>
      <c r="BU54" s="58">
        <v>25.845600000000001</v>
      </c>
      <c r="BV54" s="58">
        <v>-266.46569999999997</v>
      </c>
      <c r="BW54" s="61"/>
      <c r="BY54" s="58"/>
      <c r="BZ54" s="58"/>
      <c r="CA54" s="58"/>
      <c r="CC54" s="58"/>
    </row>
    <row r="55" spans="1:81" x14ac:dyDescent="0.25">
      <c r="A55">
        <f t="shared" si="54"/>
        <v>10500</v>
      </c>
      <c r="B55">
        <f t="shared" si="33"/>
        <v>10.5</v>
      </c>
      <c r="C55">
        <f t="shared" si="0"/>
        <v>1.0000396613290152</v>
      </c>
      <c r="D55">
        <f t="shared" si="1"/>
        <v>8.906179675779724E-3</v>
      </c>
      <c r="F55">
        <f t="shared" si="2"/>
        <v>0.21469322934572391</v>
      </c>
      <c r="G55">
        <f t="shared" si="3"/>
        <v>0.1998379370558919</v>
      </c>
      <c r="H55">
        <f t="shared" si="4"/>
        <v>-2.9417547129441082</v>
      </c>
      <c r="J55">
        <f t="shared" si="5"/>
        <v>15</v>
      </c>
      <c r="M55">
        <f t="shared" si="6"/>
        <v>0.25425412045624757</v>
      </c>
      <c r="N55">
        <f t="shared" si="7"/>
        <v>-1.5707963250000001</v>
      </c>
      <c r="O55">
        <f t="shared" si="8"/>
        <v>3.0017288851735646</v>
      </c>
      <c r="P55">
        <f t="shared" si="9"/>
        <v>1.231163043730946</v>
      </c>
      <c r="Q55">
        <f t="shared" si="10"/>
        <v>2.8612062027257292</v>
      </c>
      <c r="R55">
        <f t="shared" si="11"/>
        <v>1.2137557850500804</v>
      </c>
      <c r="S55">
        <f t="shared" si="12"/>
        <v>0.99768134091749272</v>
      </c>
      <c r="T55">
        <f t="shared" si="13"/>
        <v>-6.8111022117336342E-2</v>
      </c>
      <c r="U55">
        <f t="shared" si="14"/>
        <v>0.99994742606201359</v>
      </c>
      <c r="V55">
        <f t="shared" si="15"/>
        <v>-1.0254208761531E-2</v>
      </c>
      <c r="X55">
        <f t="shared" si="34"/>
        <v>16.921689416773628</v>
      </c>
      <c r="Y55">
        <f t="shared" si="16"/>
        <v>-122.44630979319057</v>
      </c>
      <c r="Z55">
        <f t="shared" si="35"/>
        <v>57.553690206809435</v>
      </c>
      <c r="AC55">
        <v>1</v>
      </c>
      <c r="AD55">
        <f t="shared" si="17"/>
        <v>2.8302608183850002</v>
      </c>
      <c r="AE55">
        <f t="shared" si="18"/>
        <v>-2.2406646993245686E-6</v>
      </c>
      <c r="AF55">
        <f t="shared" si="19"/>
        <v>2.1850405199280002E-4</v>
      </c>
      <c r="AG55">
        <f t="shared" si="36"/>
        <v>12904.610759449311</v>
      </c>
      <c r="AH55">
        <f t="shared" si="37"/>
        <v>-4708.9053791145534</v>
      </c>
      <c r="AJ55">
        <f t="shared" si="20"/>
        <v>18000</v>
      </c>
      <c r="AK55">
        <f t="shared" si="21"/>
        <v>1227.8977704378001</v>
      </c>
      <c r="AL55">
        <v>1</v>
      </c>
      <c r="AM55">
        <f t="shared" si="22"/>
        <v>2.6807649905420998</v>
      </c>
      <c r="AN55">
        <f t="shared" si="38"/>
        <v>2600.8309930294627</v>
      </c>
      <c r="AO55">
        <f t="shared" si="39"/>
        <v>-5744.3189019924275</v>
      </c>
      <c r="AQ55">
        <f t="shared" si="23"/>
        <v>22.624434389140273</v>
      </c>
      <c r="AR55">
        <f t="shared" si="24"/>
        <v>-475.11312217194569</v>
      </c>
      <c r="AT55">
        <f t="shared" si="52"/>
        <v>-1945303.2172388304</v>
      </c>
      <c r="AU55">
        <f t="shared" si="53"/>
        <v>-6237686.229130093</v>
      </c>
      <c r="AV55">
        <f t="shared" si="42"/>
        <v>-1.8731007153433947</v>
      </c>
      <c r="AW55">
        <f t="shared" si="25"/>
        <v>-2652908.5853245519</v>
      </c>
      <c r="AX55">
        <f t="shared" si="26"/>
        <v>-1401896.7380498019</v>
      </c>
      <c r="AY55">
        <f t="shared" si="50"/>
        <v>-2.6554546027226089</v>
      </c>
      <c r="BA55">
        <f t="shared" si="27"/>
        <v>2.1776025970168407</v>
      </c>
      <c r="BB55">
        <f t="shared" si="43"/>
        <v>6.7595725160151936</v>
      </c>
      <c r="BC55">
        <f t="shared" si="44"/>
        <v>0.78235388737921419</v>
      </c>
      <c r="BD55">
        <f t="shared" si="28"/>
        <v>-135.17442411629702</v>
      </c>
      <c r="BF55">
        <f t="shared" si="29"/>
        <v>16.918109155468365</v>
      </c>
      <c r="BG55">
        <f t="shared" si="30"/>
        <v>-123.21426721571956</v>
      </c>
      <c r="BH55">
        <f t="shared" si="45"/>
        <v>56.785732784280441</v>
      </c>
      <c r="BI55">
        <f t="shared" si="46"/>
        <v>56.785732784280441</v>
      </c>
      <c r="BJ55">
        <f t="shared" si="31"/>
        <v>0</v>
      </c>
      <c r="BK55">
        <f t="shared" si="47"/>
        <v>0</v>
      </c>
      <c r="BM55">
        <f t="shared" si="48"/>
        <v>10.158536639453175</v>
      </c>
      <c r="BN55">
        <f t="shared" si="32"/>
        <v>-168.03984309942254</v>
      </c>
      <c r="BQ55" s="56">
        <f t="shared" si="49"/>
        <v>23.661533316300329</v>
      </c>
      <c r="BR55" s="59"/>
      <c r="BS55" s="59"/>
      <c r="BT55" s="59">
        <v>281.83800000000002</v>
      </c>
      <c r="BU55" s="59">
        <v>26.1068</v>
      </c>
      <c r="BV55" s="59">
        <v>-266.67570000000001</v>
      </c>
      <c r="BW55" s="61"/>
      <c r="BY55" s="59"/>
      <c r="BZ55" s="59"/>
      <c r="CA55" s="59"/>
      <c r="CC55" s="59"/>
    </row>
    <row r="56" spans="1:81" x14ac:dyDescent="0.25">
      <c r="A56">
        <f t="shared" si="54"/>
        <v>11000</v>
      </c>
      <c r="B56">
        <f t="shared" si="33"/>
        <v>11</v>
      </c>
      <c r="C56">
        <f t="shared" si="0"/>
        <v>1.0000435284492684</v>
      </c>
      <c r="D56">
        <f t="shared" si="1"/>
        <v>9.3302594164103945E-3</v>
      </c>
      <c r="F56">
        <f t="shared" si="2"/>
        <v>0.1922694148446478</v>
      </c>
      <c r="G56">
        <f t="shared" si="3"/>
        <v>0.1873363037729161</v>
      </c>
      <c r="H56">
        <f t="shared" si="4"/>
        <v>-2.9542563462270843</v>
      </c>
      <c r="J56">
        <f t="shared" si="5"/>
        <v>15</v>
      </c>
      <c r="M56">
        <f t="shared" si="6"/>
        <v>0.24269711498096361</v>
      </c>
      <c r="N56">
        <f t="shared" si="7"/>
        <v>-1.5707963250000001</v>
      </c>
      <c r="O56">
        <f t="shared" si="8"/>
        <v>3.1291266193045204</v>
      </c>
      <c r="P56">
        <f t="shared" si="9"/>
        <v>1.2455122363831286</v>
      </c>
      <c r="Q56">
        <f t="shared" si="10"/>
        <v>2.9811450007392679</v>
      </c>
      <c r="R56">
        <f t="shared" si="11"/>
        <v>1.2287223937424026</v>
      </c>
      <c r="S56">
        <f t="shared" si="12"/>
        <v>0.99745612050306687</v>
      </c>
      <c r="T56">
        <f t="shared" si="13"/>
        <v>-7.1343658204554183E-2</v>
      </c>
      <c r="U56">
        <f t="shared" si="14"/>
        <v>0.99994230024868935</v>
      </c>
      <c r="V56">
        <f t="shared" si="15"/>
        <v>-1.0742467704959275E-2</v>
      </c>
      <c r="X56">
        <f t="shared" si="34"/>
        <v>16.275199174432306</v>
      </c>
      <c r="Y56">
        <f t="shared" si="16"/>
        <v>-121.67182252830837</v>
      </c>
      <c r="Z56">
        <f t="shared" si="35"/>
        <v>58.328177471691632</v>
      </c>
      <c r="AC56">
        <v>1</v>
      </c>
      <c r="AD56">
        <f t="shared" si="17"/>
        <v>2.9650351430700002</v>
      </c>
      <c r="AE56">
        <f t="shared" si="18"/>
        <v>-2.4591422096895488E-6</v>
      </c>
      <c r="AF56">
        <f t="shared" si="19"/>
        <v>2.289090068496E-4</v>
      </c>
      <c r="AG56">
        <f t="shared" si="36"/>
        <v>12904.478459581305</v>
      </c>
      <c r="AH56">
        <f t="shared" si="37"/>
        <v>-4507.1793455111429</v>
      </c>
      <c r="AJ56">
        <f t="shared" si="20"/>
        <v>18000</v>
      </c>
      <c r="AK56">
        <f t="shared" si="21"/>
        <v>1286.3690928396002</v>
      </c>
      <c r="AL56">
        <v>1</v>
      </c>
      <c r="AM56">
        <f t="shared" si="22"/>
        <v>2.8084204662821999</v>
      </c>
      <c r="AN56">
        <f t="shared" si="38"/>
        <v>2431.8799213537518</v>
      </c>
      <c r="AO56">
        <f t="shared" si="39"/>
        <v>-5543.3722498310235</v>
      </c>
      <c r="AQ56">
        <f t="shared" si="23"/>
        <v>20.618556701030929</v>
      </c>
      <c r="AR56">
        <f t="shared" si="24"/>
        <v>-453.60824742268039</v>
      </c>
      <c r="AT56">
        <f t="shared" si="52"/>
        <v>-1778422.0029209037</v>
      </c>
      <c r="AU56">
        <f t="shared" si="53"/>
        <v>-5946509.3908515433</v>
      </c>
      <c r="AV56">
        <f t="shared" si="42"/>
        <v>-1.8613996054900468</v>
      </c>
      <c r="AW56">
        <f t="shared" si="25"/>
        <v>-2447130.8928393177</v>
      </c>
      <c r="AX56">
        <f t="shared" si="26"/>
        <v>-1252101.6730025995</v>
      </c>
      <c r="AY56">
        <f t="shared" si="50"/>
        <v>-2.6686597471379563</v>
      </c>
      <c r="BA56">
        <f t="shared" si="27"/>
        <v>2.2579398541207083</v>
      </c>
      <c r="BB56">
        <f t="shared" si="43"/>
        <v>7.0742473844505316</v>
      </c>
      <c r="BC56">
        <f t="shared" si="44"/>
        <v>0.80726014164790949</v>
      </c>
      <c r="BD56">
        <f t="shared" si="28"/>
        <v>-133.74740086159048</v>
      </c>
      <c r="BF56">
        <f t="shared" si="29"/>
        <v>16.274654732002315</v>
      </c>
      <c r="BG56">
        <f t="shared" si="30"/>
        <v>-122.47923680662339</v>
      </c>
      <c r="BH56">
        <f t="shared" si="45"/>
        <v>57.520763193376609</v>
      </c>
      <c r="BI56">
        <f t="shared" si="46"/>
        <v>57.520763193376609</v>
      </c>
      <c r="BJ56">
        <f t="shared" si="31"/>
        <v>0</v>
      </c>
      <c r="BK56">
        <f t="shared" si="47"/>
        <v>0</v>
      </c>
      <c r="BM56">
        <f t="shared" si="48"/>
        <v>9.2004073475517814</v>
      </c>
      <c r="BN56">
        <f t="shared" si="32"/>
        <v>-168.73183594503291</v>
      </c>
      <c r="BQ56" s="56">
        <f t="shared" si="49"/>
        <v>23.976208184735668</v>
      </c>
      <c r="BR56" s="59"/>
      <c r="BS56" s="59"/>
      <c r="BT56" s="59">
        <v>288.40300000000002</v>
      </c>
      <c r="BU56" s="59">
        <v>25.784400000000002</v>
      </c>
      <c r="BV56" s="59">
        <v>-268.05989999999997</v>
      </c>
      <c r="BW56" s="61"/>
      <c r="BY56" s="59"/>
      <c r="BZ56" s="59"/>
      <c r="CA56" s="59"/>
      <c r="CC56" s="59"/>
    </row>
    <row r="57" spans="1:81" x14ac:dyDescent="0.25">
      <c r="A57">
        <f t="shared" si="54"/>
        <v>11500</v>
      </c>
      <c r="B57">
        <f t="shared" si="33"/>
        <v>11.5</v>
      </c>
      <c r="C57">
        <f t="shared" si="0"/>
        <v>1.0000475754195666</v>
      </c>
      <c r="D57">
        <f t="shared" si="1"/>
        <v>9.7543358009950596E-3</v>
      </c>
      <c r="F57">
        <f t="shared" si="2"/>
        <v>0.17331410103668896</v>
      </c>
      <c r="G57">
        <f t="shared" si="3"/>
        <v>0.17642612502357297</v>
      </c>
      <c r="H57">
        <f t="shared" si="4"/>
        <v>-2.9651665249764272</v>
      </c>
      <c r="J57">
        <f t="shared" si="5"/>
        <v>15</v>
      </c>
      <c r="M57">
        <f t="shared" si="6"/>
        <v>0.2321450665035304</v>
      </c>
      <c r="N57">
        <f t="shared" si="7"/>
        <v>-1.5707963250000001</v>
      </c>
      <c r="O57">
        <f t="shared" si="8"/>
        <v>3.2571181643261786</v>
      </c>
      <c r="P57">
        <f t="shared" si="9"/>
        <v>1.258736246433839</v>
      </c>
      <c r="Q57">
        <f t="shared" si="10"/>
        <v>3.1016998464264938</v>
      </c>
      <c r="R57">
        <f t="shared" si="11"/>
        <v>1.2425284734481652</v>
      </c>
      <c r="S57">
        <f t="shared" si="12"/>
        <v>0.997220587976683</v>
      </c>
      <c r="T57">
        <f t="shared" si="13"/>
        <v>-7.457480137844659E-2</v>
      </c>
      <c r="U57">
        <f t="shared" si="14"/>
        <v>0.99993693610985279</v>
      </c>
      <c r="V57">
        <f t="shared" si="15"/>
        <v>-1.1230721526304895E-2</v>
      </c>
      <c r="X57">
        <f t="shared" si="34"/>
        <v>15.678048154619056</v>
      </c>
      <c r="Y57">
        <f t="shared" si="16"/>
        <v>-120.93702762376665</v>
      </c>
      <c r="Z57">
        <f t="shared" si="35"/>
        <v>59.062972376233347</v>
      </c>
      <c r="AC57">
        <v>1</v>
      </c>
      <c r="AD57">
        <f t="shared" si="17"/>
        <v>3.0998094677550001</v>
      </c>
      <c r="AE57">
        <f t="shared" si="18"/>
        <v>-2.6877814647226682E-6</v>
      </c>
      <c r="AF57">
        <f t="shared" si="19"/>
        <v>2.3931396170640001E-4</v>
      </c>
      <c r="AG57">
        <f t="shared" si="36"/>
        <v>12904.340009135944</v>
      </c>
      <c r="AH57">
        <f t="shared" si="37"/>
        <v>-4323.5423395832904</v>
      </c>
      <c r="AJ57">
        <f t="shared" si="20"/>
        <v>18000</v>
      </c>
      <c r="AK57">
        <f t="shared" si="21"/>
        <v>1344.8404152414003</v>
      </c>
      <c r="AL57">
        <v>1</v>
      </c>
      <c r="AM57">
        <f t="shared" si="22"/>
        <v>2.9360759420222999</v>
      </c>
      <c r="AN57">
        <f t="shared" si="38"/>
        <v>2281.425904283195</v>
      </c>
      <c r="AO57">
        <f t="shared" si="39"/>
        <v>-5353.5992958309589</v>
      </c>
      <c r="AQ57">
        <f t="shared" si="23"/>
        <v>18.867924528301888</v>
      </c>
      <c r="AR57">
        <f t="shared" si="24"/>
        <v>-433.96226415094338</v>
      </c>
      <c r="AT57">
        <f t="shared" si="52"/>
        <v>-1632776.1094581082</v>
      </c>
      <c r="AU57">
        <f t="shared" si="53"/>
        <v>-5681572.8782964153</v>
      </c>
      <c r="AV57">
        <f t="shared" si="42"/>
        <v>-1.850636233290728</v>
      </c>
      <c r="AW57">
        <f t="shared" si="25"/>
        <v>-2263149.1407427769</v>
      </c>
      <c r="AX57">
        <f t="shared" si="26"/>
        <v>-1124316.1014383561</v>
      </c>
      <c r="AY57">
        <f t="shared" si="50"/>
        <v>-2.6805141291068959</v>
      </c>
      <c r="BA57">
        <f t="shared" si="27"/>
        <v>2.3393114827746566</v>
      </c>
      <c r="BB57">
        <f t="shared" si="43"/>
        <v>7.3817610522052233</v>
      </c>
      <c r="BC57">
        <f t="shared" si="44"/>
        <v>0.82987789581616789</v>
      </c>
      <c r="BD57">
        <f t="shared" si="28"/>
        <v>-132.45149900420407</v>
      </c>
      <c r="BF57">
        <f t="shared" si="29"/>
        <v>15.680677435437557</v>
      </c>
      <c r="BG57">
        <f t="shared" si="30"/>
        <v>-121.7841443589663</v>
      </c>
      <c r="BH57">
        <f t="shared" si="45"/>
        <v>58.215855641033698</v>
      </c>
      <c r="BI57">
        <f t="shared" si="46"/>
        <v>58.215855641033698</v>
      </c>
      <c r="BJ57">
        <f t="shared" si="31"/>
        <v>0</v>
      </c>
      <c r="BK57">
        <f t="shared" si="47"/>
        <v>0</v>
      </c>
      <c r="BM57">
        <f t="shared" si="48"/>
        <v>8.2989163832323349</v>
      </c>
      <c r="BN57">
        <f t="shared" si="32"/>
        <v>-169.33264535476226</v>
      </c>
      <c r="BQ57" s="56">
        <f t="shared" si="49"/>
        <v>24.283721852490359</v>
      </c>
      <c r="BR57" s="59"/>
      <c r="BS57" s="59"/>
      <c r="BT57" s="59">
        <v>295.12099999999998</v>
      </c>
      <c r="BU57" s="59">
        <v>25.581099999999999</v>
      </c>
      <c r="BV57" s="59">
        <v>-265.88</v>
      </c>
      <c r="BW57" s="61"/>
      <c r="BY57" s="59"/>
      <c r="BZ57" s="59"/>
      <c r="CA57" s="59"/>
      <c r="CC57" s="59"/>
    </row>
    <row r="58" spans="1:81" x14ac:dyDescent="0.25">
      <c r="A58">
        <f t="shared" si="54"/>
        <v>12000</v>
      </c>
      <c r="B58">
        <f t="shared" si="33"/>
        <v>12</v>
      </c>
      <c r="C58">
        <f t="shared" si="0"/>
        <v>1.0000518022377261</v>
      </c>
      <c r="D58">
        <f t="shared" si="1"/>
        <v>1.017840867704297E-2</v>
      </c>
      <c r="F58">
        <f t="shared" si="2"/>
        <v>0.15712740135102252</v>
      </c>
      <c r="G58">
        <f t="shared" si="3"/>
        <v>0.16681111334507742</v>
      </c>
      <c r="H58">
        <f t="shared" si="4"/>
        <v>-2.9747815366549228</v>
      </c>
      <c r="J58">
        <f t="shared" si="5"/>
        <v>15</v>
      </c>
      <c r="M58">
        <f t="shared" si="6"/>
        <v>0.22247235539921667</v>
      </c>
      <c r="N58">
        <f t="shared" si="7"/>
        <v>-1.5707963250000001</v>
      </c>
      <c r="O58">
        <f t="shared" si="8"/>
        <v>3.385636175125073</v>
      </c>
      <c r="P58">
        <f t="shared" si="9"/>
        <v>1.2709582998049056</v>
      </c>
      <c r="Q58">
        <f t="shared" si="10"/>
        <v>3.2228016073262107</v>
      </c>
      <c r="R58">
        <f t="shared" si="11"/>
        <v>1.2552992678583217</v>
      </c>
      <c r="S58">
        <f t="shared" si="12"/>
        <v>0.99697476539017904</v>
      </c>
      <c r="T58">
        <f t="shared" si="13"/>
        <v>-7.7804385252973313E-2</v>
      </c>
      <c r="U58">
        <f t="shared" si="14"/>
        <v>0.99993133365701203</v>
      </c>
      <c r="V58">
        <f t="shared" si="15"/>
        <v>-1.1718969992860826E-2</v>
      </c>
      <c r="X58">
        <f t="shared" si="34"/>
        <v>15.12339876543648</v>
      </c>
      <c r="Y58">
        <f t="shared" si="16"/>
        <v>-120.24466103232309</v>
      </c>
      <c r="Z58">
        <f t="shared" si="35"/>
        <v>59.755338967676906</v>
      </c>
      <c r="AC58">
        <v>1</v>
      </c>
      <c r="AD58">
        <f t="shared" si="17"/>
        <v>3.2345837924400005</v>
      </c>
      <c r="AE58">
        <f t="shared" si="18"/>
        <v>-2.9265824644239264E-6</v>
      </c>
      <c r="AF58">
        <f t="shared" si="19"/>
        <v>2.4971891656320002E-4</v>
      </c>
      <c r="AG58">
        <f t="shared" si="36"/>
        <v>12904.19540850924</v>
      </c>
      <c r="AH58">
        <f t="shared" si="37"/>
        <v>-4155.7331990802559</v>
      </c>
      <c r="AJ58">
        <f t="shared" si="20"/>
        <v>18000</v>
      </c>
      <c r="AK58">
        <f t="shared" si="21"/>
        <v>1403.3117376432001</v>
      </c>
      <c r="AL58">
        <v>1</v>
      </c>
      <c r="AM58">
        <f t="shared" si="22"/>
        <v>3.0637314177624</v>
      </c>
      <c r="AN58">
        <f t="shared" si="38"/>
        <v>2146.9674267668761</v>
      </c>
      <c r="AO58">
        <f t="shared" si="39"/>
        <v>-5174.4198206549736</v>
      </c>
      <c r="AQ58">
        <f t="shared" si="23"/>
        <v>17.331022530329289</v>
      </c>
      <c r="AR58">
        <f t="shared" si="24"/>
        <v>-415.94454072790296</v>
      </c>
      <c r="AT58">
        <f t="shared" si="52"/>
        <v>-1504911.6355184906</v>
      </c>
      <c r="AU58">
        <f t="shared" si="53"/>
        <v>-5439452.7383587873</v>
      </c>
      <c r="AV58">
        <f t="shared" si="42"/>
        <v>-1.84071074467916</v>
      </c>
      <c r="AW58">
        <f t="shared" si="25"/>
        <v>-2098159.5714887818</v>
      </c>
      <c r="AX58">
        <f t="shared" si="26"/>
        <v>-1014630.5738046954</v>
      </c>
      <c r="AY58">
        <f t="shared" si="50"/>
        <v>-2.6911661296430345</v>
      </c>
      <c r="BA58">
        <f t="shared" si="27"/>
        <v>2.4215936955722657</v>
      </c>
      <c r="BB58">
        <f t="shared" si="43"/>
        <v>7.6820255459728042</v>
      </c>
      <c r="BC58">
        <f t="shared" si="44"/>
        <v>0.85045538496387452</v>
      </c>
      <c r="BD58">
        <f t="shared" si="28"/>
        <v>-131.27249572171701</v>
      </c>
      <c r="BF58">
        <f t="shared" si="29"/>
        <v>15.129339223803113</v>
      </c>
      <c r="BG58">
        <f t="shared" si="30"/>
        <v>-121.13174308022424</v>
      </c>
      <c r="BH58">
        <f t="shared" si="45"/>
        <v>58.86825691977576</v>
      </c>
      <c r="BI58">
        <f t="shared" si="46"/>
        <v>58.86825691977576</v>
      </c>
      <c r="BJ58">
        <f t="shared" si="31"/>
        <v>0</v>
      </c>
      <c r="BK58">
        <f t="shared" si="47"/>
        <v>0</v>
      </c>
      <c r="BM58">
        <f t="shared" si="48"/>
        <v>7.4473136778303086</v>
      </c>
      <c r="BN58">
        <f t="shared" si="32"/>
        <v>-169.85924735850728</v>
      </c>
      <c r="BQ58" s="56">
        <f t="shared" si="49"/>
        <v>24.583986346257941</v>
      </c>
      <c r="BR58" s="59"/>
      <c r="BS58" s="59"/>
      <c r="BT58" s="59">
        <v>301.995</v>
      </c>
      <c r="BU58" s="59">
        <v>24.917000000000002</v>
      </c>
      <c r="BV58" s="59">
        <v>-267.13580000000002</v>
      </c>
      <c r="BW58" s="61"/>
      <c r="BY58" s="59"/>
      <c r="BZ58" s="59"/>
      <c r="CA58" s="59"/>
      <c r="CC58" s="59"/>
    </row>
    <row r="59" spans="1:81" x14ac:dyDescent="0.25">
      <c r="A59">
        <f t="shared" si="54"/>
        <v>12500</v>
      </c>
      <c r="B59">
        <f t="shared" si="33"/>
        <v>12.5</v>
      </c>
      <c r="C59">
        <f t="shared" si="0"/>
        <v>1.0000562089014668</v>
      </c>
      <c r="D59">
        <f t="shared" si="1"/>
        <v>1.060247789207094E-2</v>
      </c>
      <c r="F59">
        <f t="shared" si="2"/>
        <v>0.14318095853002613</v>
      </c>
      <c r="G59">
        <f t="shared" si="3"/>
        <v>0.15826527920370861</v>
      </c>
      <c r="H59">
        <f t="shared" si="4"/>
        <v>-2.9833273707962915</v>
      </c>
      <c r="J59">
        <f t="shared" si="5"/>
        <v>15</v>
      </c>
      <c r="M59">
        <f t="shared" si="6"/>
        <v>0.21357346118324799</v>
      </c>
      <c r="N59">
        <f t="shared" si="7"/>
        <v>-1.5707963250000001</v>
      </c>
      <c r="O59">
        <f t="shared" si="8"/>
        <v>3.5146228988948627</v>
      </c>
      <c r="P59">
        <f t="shared" si="9"/>
        <v>1.2822848441512824</v>
      </c>
      <c r="Q59">
        <f t="shared" si="10"/>
        <v>3.3443908718957385</v>
      </c>
      <c r="R59">
        <f t="shared" si="11"/>
        <v>1.2671432842942048</v>
      </c>
      <c r="S59">
        <f t="shared" si="12"/>
        <v>0.99671867572913031</v>
      </c>
      <c r="T59">
        <f t="shared" si="13"/>
        <v>-8.1032343636257539E-2</v>
      </c>
      <c r="U59">
        <f t="shared" si="14"/>
        <v>0.99992549290218591</v>
      </c>
      <c r="V59">
        <f t="shared" si="15"/>
        <v>-1.2207212871935349E-2</v>
      </c>
      <c r="X59">
        <f t="shared" si="34"/>
        <v>14.605684425024599</v>
      </c>
      <c r="Y59">
        <f t="shared" si="16"/>
        <v>-119.59535119043736</v>
      </c>
      <c r="Z59">
        <f t="shared" si="35"/>
        <v>60.404648809562644</v>
      </c>
      <c r="AC59">
        <v>1</v>
      </c>
      <c r="AD59">
        <f t="shared" si="17"/>
        <v>3.3693581171250004</v>
      </c>
      <c r="AE59">
        <f t="shared" si="18"/>
        <v>-3.1755452087933222E-6</v>
      </c>
      <c r="AF59">
        <f t="shared" si="19"/>
        <v>2.6012387141999998E-4</v>
      </c>
      <c r="AG59">
        <f t="shared" si="36"/>
        <v>12904.044658114795</v>
      </c>
      <c r="AH59">
        <f t="shared" si="37"/>
        <v>-4001.8525462715165</v>
      </c>
      <c r="AJ59">
        <f t="shared" si="20"/>
        <v>18000</v>
      </c>
      <c r="AK59">
        <f t="shared" si="21"/>
        <v>1461.7830600450002</v>
      </c>
      <c r="AL59">
        <v>1</v>
      </c>
      <c r="AM59">
        <f t="shared" si="22"/>
        <v>3.1913868935025</v>
      </c>
      <c r="AN59">
        <f t="shared" si="38"/>
        <v>2026.3939206619832</v>
      </c>
      <c r="AO59">
        <f t="shared" si="39"/>
        <v>-5005.2239394287981</v>
      </c>
      <c r="AQ59">
        <f t="shared" si="23"/>
        <v>15.974440894568691</v>
      </c>
      <c r="AR59">
        <f t="shared" si="24"/>
        <v>-399.36102236421726</v>
      </c>
      <c r="AT59">
        <f t="shared" si="52"/>
        <v>-1392049.0255379092</v>
      </c>
      <c r="AU59">
        <f t="shared" si="53"/>
        <v>-5217299.8242674349</v>
      </c>
      <c r="AV59">
        <f t="shared" si="42"/>
        <v>-1.8315363351871561</v>
      </c>
      <c r="AW59">
        <f t="shared" si="25"/>
        <v>-1949763.3462043214</v>
      </c>
      <c r="AX59">
        <f t="shared" si="26"/>
        <v>-919933.59920717066</v>
      </c>
      <c r="AY59">
        <f t="shared" si="50"/>
        <v>-2.7007436776226812</v>
      </c>
      <c r="BA59">
        <f t="shared" si="27"/>
        <v>2.5046827062471646</v>
      </c>
      <c r="BB59">
        <f t="shared" si="43"/>
        <v>7.9750543433560752</v>
      </c>
      <c r="BC59">
        <f t="shared" si="44"/>
        <v>0.86920734243552511</v>
      </c>
      <c r="BD59">
        <f t="shared" si="28"/>
        <v>-130.19808769975492</v>
      </c>
      <c r="BF59">
        <f t="shared" si="29"/>
        <v>14.615073044892217</v>
      </c>
      <c r="BG59">
        <f t="shared" si="30"/>
        <v>-120.52267791127063</v>
      </c>
      <c r="BH59">
        <f t="shared" si="45"/>
        <v>59.477322088729366</v>
      </c>
      <c r="BI59">
        <f t="shared" si="46"/>
        <v>59.477322088729366</v>
      </c>
      <c r="BJ59">
        <f t="shared" si="31"/>
        <v>0</v>
      </c>
      <c r="BK59">
        <f t="shared" si="47"/>
        <v>0</v>
      </c>
      <c r="BM59">
        <f t="shared" si="48"/>
        <v>6.6400187015361443</v>
      </c>
      <c r="BN59">
        <f t="shared" si="32"/>
        <v>-170.3245902115157</v>
      </c>
      <c r="BQ59" s="56">
        <f t="shared" si="49"/>
        <v>24.877015143641209</v>
      </c>
      <c r="BR59" s="59"/>
      <c r="BS59" s="59"/>
      <c r="BT59" s="59">
        <v>309.02999999999997</v>
      </c>
      <c r="BU59" s="59">
        <v>24.825199999999999</v>
      </c>
      <c r="BV59" s="59">
        <v>-265.03610000000003</v>
      </c>
      <c r="BW59" s="61"/>
      <c r="BY59" s="59"/>
      <c r="BZ59" s="59"/>
      <c r="CA59" s="59"/>
      <c r="CC59" s="59"/>
    </row>
    <row r="60" spans="1:81" x14ac:dyDescent="0.25">
      <c r="A60">
        <f t="shared" si="54"/>
        <v>13000</v>
      </c>
      <c r="B60">
        <f t="shared" si="33"/>
        <v>13</v>
      </c>
      <c r="C60">
        <f t="shared" si="0"/>
        <v>1.0000607954084111</v>
      </c>
      <c r="D60">
        <f t="shared" si="1"/>
        <v>1.1026543293603693E-2</v>
      </c>
      <c r="F60">
        <f t="shared" si="2"/>
        <v>0.13106916012141628</v>
      </c>
      <c r="G60">
        <f t="shared" si="3"/>
        <v>0.15061314742455278</v>
      </c>
      <c r="H60">
        <f t="shared" si="4"/>
        <v>-2.9909795025754473</v>
      </c>
      <c r="J60">
        <f t="shared" si="5"/>
        <v>15</v>
      </c>
      <c r="M60">
        <f t="shared" si="6"/>
        <v>0.20535909729158461</v>
      </c>
      <c r="N60">
        <f t="shared" si="7"/>
        <v>-1.5707963250000001</v>
      </c>
      <c r="O60">
        <f t="shared" si="8"/>
        <v>3.6440285632449858</v>
      </c>
      <c r="P60">
        <f t="shared" si="9"/>
        <v>1.292808210104472</v>
      </c>
      <c r="Q60">
        <f t="shared" si="10"/>
        <v>3.4664163409532232</v>
      </c>
      <c r="R60">
        <f t="shared" si="11"/>
        <v>1.2781548854452274</v>
      </c>
      <c r="S60">
        <f t="shared" si="12"/>
        <v>0.99645234290692597</v>
      </c>
      <c r="T60">
        <f t="shared" si="13"/>
        <v>-8.4258610538527887E-2</v>
      </c>
      <c r="U60">
        <f t="shared" si="14"/>
        <v>0.99991941385790439</v>
      </c>
      <c r="V60">
        <f t="shared" si="15"/>
        <v>-1.2695449930852728E-2</v>
      </c>
      <c r="X60">
        <f t="shared" si="34"/>
        <v>14.120323068180127</v>
      </c>
      <c r="Y60">
        <f t="shared" si="16"/>
        <v>-118.98845156015835</v>
      </c>
      <c r="Z60">
        <f t="shared" si="35"/>
        <v>61.011548439841647</v>
      </c>
      <c r="AC60">
        <v>1</v>
      </c>
      <c r="AD60">
        <f t="shared" si="17"/>
        <v>3.5041324418099999</v>
      </c>
      <c r="AE60">
        <f t="shared" si="18"/>
        <v>-3.4346696978308576E-6</v>
      </c>
      <c r="AF60">
        <f t="shared" si="19"/>
        <v>2.7052882627679999E-4</v>
      </c>
      <c r="AG60">
        <f t="shared" si="36"/>
        <v>12903.887758383771</v>
      </c>
      <c r="AH60">
        <f t="shared" si="37"/>
        <v>-3860.2932140007965</v>
      </c>
      <c r="AJ60">
        <f t="shared" si="20"/>
        <v>18000</v>
      </c>
      <c r="AK60">
        <f t="shared" si="21"/>
        <v>1520.2543824468</v>
      </c>
      <c r="AL60">
        <v>1</v>
      </c>
      <c r="AM60">
        <f t="shared" si="22"/>
        <v>3.3190423692426001</v>
      </c>
      <c r="AN60">
        <f t="shared" si="38"/>
        <v>1917.9184152432863</v>
      </c>
      <c r="AO60">
        <f t="shared" si="39"/>
        <v>-4845.39809849629</v>
      </c>
      <c r="AQ60">
        <f t="shared" si="23"/>
        <v>14.771048744460856</v>
      </c>
      <c r="AR60">
        <f t="shared" si="24"/>
        <v>-384.04726735598229</v>
      </c>
      <c r="AT60">
        <f t="shared" si="52"/>
        <v>-1291931.1049577096</v>
      </c>
      <c r="AU60">
        <f t="shared" si="53"/>
        <v>-5012723.4111075159</v>
      </c>
      <c r="AV60">
        <f t="shared" si="42"/>
        <v>-1.8230373033949858</v>
      </c>
      <c r="AW60">
        <f t="shared" si="25"/>
        <v>-1815905.6368081283</v>
      </c>
      <c r="AX60">
        <f t="shared" si="26"/>
        <v>-837729.96689201565</v>
      </c>
      <c r="AY60">
        <f t="shared" si="50"/>
        <v>-2.709357553769971</v>
      </c>
      <c r="BA60">
        <f t="shared" si="27"/>
        <v>2.5884908804943829</v>
      </c>
      <c r="BB60">
        <f t="shared" si="43"/>
        <v>8.2609327851757772</v>
      </c>
      <c r="BC60">
        <f t="shared" si="44"/>
        <v>0.88632025037498519</v>
      </c>
      <c r="BD60">
        <f t="shared" si="28"/>
        <v>-129.21759029850756</v>
      </c>
      <c r="BF60">
        <f t="shared" si="29"/>
        <v>14.133296342862899</v>
      </c>
      <c r="BG60">
        <f t="shared" si="30"/>
        <v>-119.9563182079747</v>
      </c>
      <c r="BH60">
        <f t="shared" si="45"/>
        <v>60.043681792025296</v>
      </c>
      <c r="BI60">
        <f t="shared" si="46"/>
        <v>60.043681792025296</v>
      </c>
      <c r="BJ60">
        <f t="shared" si="31"/>
        <v>0</v>
      </c>
      <c r="BK60">
        <f t="shared" si="47"/>
        <v>0</v>
      </c>
      <c r="BM60">
        <f t="shared" si="48"/>
        <v>5.8723635576871214</v>
      </c>
      <c r="BN60">
        <f t="shared" si="32"/>
        <v>-170.73872790946714</v>
      </c>
      <c r="BQ60" s="56">
        <f t="shared" si="49"/>
        <v>25.162893585460914</v>
      </c>
      <c r="BR60" s="59"/>
      <c r="BS60" s="59"/>
      <c r="BT60" s="59">
        <v>316.22800000000001</v>
      </c>
      <c r="BU60" s="59">
        <v>24.722000000000001</v>
      </c>
      <c r="BV60" s="59">
        <v>-265.21839999999997</v>
      </c>
      <c r="BW60" s="61"/>
      <c r="BY60" s="59"/>
      <c r="BZ60" s="59"/>
      <c r="CA60" s="59"/>
      <c r="CC60" s="59"/>
    </row>
    <row r="61" spans="1:81" x14ac:dyDescent="0.25">
      <c r="A61">
        <f t="shared" si="54"/>
        <v>13500</v>
      </c>
      <c r="B61">
        <f t="shared" si="33"/>
        <v>13.5</v>
      </c>
      <c r="C61">
        <f t="shared" si="0"/>
        <v>1.0000655617560847</v>
      </c>
      <c r="D61">
        <f t="shared" si="1"/>
        <v>1.1450604729174177E-2</v>
      </c>
      <c r="F61">
        <f t="shared" si="2"/>
        <v>0.1204759614150247</v>
      </c>
      <c r="G61">
        <f t="shared" si="3"/>
        <v>0.1437163039645154</v>
      </c>
      <c r="H61">
        <f t="shared" si="4"/>
        <v>-2.9978763460354849</v>
      </c>
      <c r="J61">
        <f t="shared" si="5"/>
        <v>15</v>
      </c>
      <c r="M61">
        <f t="shared" si="6"/>
        <v>0.19775320479930369</v>
      </c>
      <c r="N61">
        <f t="shared" si="7"/>
        <v>-1.5707963250000001</v>
      </c>
      <c r="O61">
        <f t="shared" si="8"/>
        <v>3.7738100714321989</v>
      </c>
      <c r="P61">
        <f t="shared" si="9"/>
        <v>1.3026088019999285</v>
      </c>
      <c r="Q61">
        <f t="shared" si="10"/>
        <v>3.5888335200463657</v>
      </c>
      <c r="R61">
        <f t="shared" si="11"/>
        <v>1.2884164370700359</v>
      </c>
      <c r="S61">
        <f t="shared" si="12"/>
        <v>0.99617579175861981</v>
      </c>
      <c r="T61">
        <f t="shared" si="13"/>
        <v>-8.7483120179997875E-2</v>
      </c>
      <c r="U61">
        <f t="shared" si="14"/>
        <v>0.9999130965372075</v>
      </c>
      <c r="V61">
        <f t="shared" si="15"/>
        <v>-1.3183680936953867E-2</v>
      </c>
      <c r="X61">
        <f t="shared" si="34"/>
        <v>13.663505089738576</v>
      </c>
      <c r="Y61">
        <f t="shared" si="16"/>
        <v>-118.42256286905739</v>
      </c>
      <c r="Z61">
        <f t="shared" si="35"/>
        <v>61.577437130942613</v>
      </c>
      <c r="AC61">
        <v>1</v>
      </c>
      <c r="AD61">
        <f t="shared" si="17"/>
        <v>3.6389067664949999</v>
      </c>
      <c r="AE61">
        <f t="shared" si="18"/>
        <v>-3.7039559315365305E-6</v>
      </c>
      <c r="AF61">
        <f t="shared" si="19"/>
        <v>2.809337811336E-4</v>
      </c>
      <c r="AG61">
        <f t="shared" si="36"/>
        <v>12903.724709764916</v>
      </c>
      <c r="AH61">
        <f t="shared" si="37"/>
        <v>-3729.6861326170033</v>
      </c>
      <c r="AJ61">
        <f t="shared" si="20"/>
        <v>18000</v>
      </c>
      <c r="AK61">
        <f t="shared" si="21"/>
        <v>1578.7257048486001</v>
      </c>
      <c r="AL61">
        <v>1</v>
      </c>
      <c r="AM61">
        <f t="shared" si="22"/>
        <v>3.4466978449827002</v>
      </c>
      <c r="AN61">
        <f t="shared" si="38"/>
        <v>1820.0224462641845</v>
      </c>
      <c r="AO61">
        <f t="shared" si="39"/>
        <v>-4694.3417385103066</v>
      </c>
      <c r="AQ61">
        <f t="shared" si="23"/>
        <v>13.698630136986301</v>
      </c>
      <c r="AR61">
        <f t="shared" si="24"/>
        <v>-369.86301369863014</v>
      </c>
      <c r="AT61">
        <f t="shared" si="52"/>
        <v>-1202709.6009711532</v>
      </c>
      <c r="AU61">
        <f t="shared" si="53"/>
        <v>-4823702.0999489008</v>
      </c>
      <c r="AV61">
        <f t="shared" si="42"/>
        <v>-1.8151474166528885</v>
      </c>
      <c r="AW61">
        <f t="shared" si="25"/>
        <v>-1694823.1279488511</v>
      </c>
      <c r="AX61">
        <f t="shared" si="26"/>
        <v>-766004.28867292253</v>
      </c>
      <c r="AY61">
        <f t="shared" si="50"/>
        <v>-2.7171040929061787</v>
      </c>
      <c r="BA61">
        <f t="shared" si="27"/>
        <v>2.6729437417781829</v>
      </c>
      <c r="BB61">
        <f t="shared" si="43"/>
        <v>8.5397963626173485</v>
      </c>
      <c r="BC61">
        <f t="shared" si="44"/>
        <v>0.90195667625329023</v>
      </c>
      <c r="BD61">
        <f t="shared" si="28"/>
        <v>-128.32168908798783</v>
      </c>
      <c r="BF61">
        <f t="shared" si="29"/>
        <v>13.680199001597968</v>
      </c>
      <c r="BG61">
        <f t="shared" si="30"/>
        <v>-119.43128008958882</v>
      </c>
      <c r="BH61">
        <f t="shared" si="45"/>
        <v>60.568719910411176</v>
      </c>
      <c r="BI61">
        <f t="shared" si="46"/>
        <v>60.568719910411176</v>
      </c>
      <c r="BJ61">
        <f t="shared" si="31"/>
        <v>0</v>
      </c>
      <c r="BK61">
        <f t="shared" si="47"/>
        <v>0</v>
      </c>
      <c r="BM61">
        <f t="shared" si="48"/>
        <v>5.1404026389806177</v>
      </c>
      <c r="BN61">
        <f t="shared" si="32"/>
        <v>-171.10959100160102</v>
      </c>
      <c r="BQ61" s="56">
        <f t="shared" si="49"/>
        <v>25.441757162902483</v>
      </c>
      <c r="BR61" s="59"/>
      <c r="BS61" s="59"/>
      <c r="BT61" s="59">
        <v>323.59399999999999</v>
      </c>
      <c r="BU61" s="59">
        <v>24.5962</v>
      </c>
      <c r="BV61" s="59">
        <v>-266.99490000000003</v>
      </c>
      <c r="BW61" s="61"/>
      <c r="BY61" s="59"/>
      <c r="BZ61" s="59"/>
      <c r="CA61" s="59"/>
      <c r="CC61" s="59"/>
    </row>
    <row r="62" spans="1:81" x14ac:dyDescent="0.25">
      <c r="A62">
        <f t="shared" si="54"/>
        <v>14000</v>
      </c>
      <c r="B62">
        <f t="shared" si="33"/>
        <v>14</v>
      </c>
      <c r="C62">
        <f t="shared" si="0"/>
        <v>1.0000705079419161</v>
      </c>
      <c r="D62">
        <f t="shared" si="1"/>
        <v>1.1874662046323892E-2</v>
      </c>
      <c r="F62">
        <f t="shared" si="2"/>
        <v>0.11115182278746466</v>
      </c>
      <c r="G62">
        <f t="shared" si="3"/>
        <v>0.13746403186064585</v>
      </c>
      <c r="H62">
        <f t="shared" si="4"/>
        <v>-3.0041286181393545</v>
      </c>
      <c r="J62">
        <f t="shared" si="5"/>
        <v>15</v>
      </c>
      <c r="M62">
        <f t="shared" si="6"/>
        <v>0.19069059034218569</v>
      </c>
      <c r="N62">
        <f t="shared" si="7"/>
        <v>-1.5707963250000001</v>
      </c>
      <c r="O62">
        <f t="shared" si="8"/>
        <v>3.9039299401922518</v>
      </c>
      <c r="P62">
        <f t="shared" si="9"/>
        <v>1.3117569075648348</v>
      </c>
      <c r="Q62">
        <f t="shared" si="10"/>
        <v>3.7116036508983696</v>
      </c>
      <c r="R62">
        <f t="shared" si="11"/>
        <v>1.2980000924991653</v>
      </c>
      <c r="S62">
        <f t="shared" si="12"/>
        <v>0.99588904803455702</v>
      </c>
      <c r="T62">
        <f t="shared" si="13"/>
        <v>-9.0705806998680888E-2</v>
      </c>
      <c r="U62">
        <f t="shared" si="14"/>
        <v>0.99990654095364673</v>
      </c>
      <c r="V62">
        <f t="shared" si="15"/>
        <v>-1.3671905657596991E-2</v>
      </c>
      <c r="X62">
        <f t="shared" si="34"/>
        <v>13.232034115287401</v>
      </c>
      <c r="Y62">
        <f t="shared" si="16"/>
        <v>-117.89586369937413</v>
      </c>
      <c r="Z62">
        <f t="shared" si="35"/>
        <v>62.104136300625868</v>
      </c>
      <c r="AC62">
        <v>1</v>
      </c>
      <c r="AD62">
        <f t="shared" si="17"/>
        <v>3.7736810911800003</v>
      </c>
      <c r="AE62">
        <f t="shared" si="18"/>
        <v>-3.9834039099103431E-6</v>
      </c>
      <c r="AF62">
        <f t="shared" si="19"/>
        <v>2.9133873599039995E-4</v>
      </c>
      <c r="AG62">
        <f t="shared" si="36"/>
        <v>12903.555512724548</v>
      </c>
      <c r="AH62">
        <f t="shared" si="37"/>
        <v>-3608.8578125628214</v>
      </c>
      <c r="AJ62">
        <f t="shared" si="20"/>
        <v>18000</v>
      </c>
      <c r="AK62">
        <f t="shared" si="21"/>
        <v>1637.1970272504</v>
      </c>
      <c r="AL62">
        <v>1</v>
      </c>
      <c r="AM62">
        <f t="shared" si="22"/>
        <v>3.5743533207227998</v>
      </c>
      <c r="AN62">
        <f t="shared" si="38"/>
        <v>1731.4109868270443</v>
      </c>
      <c r="AO62">
        <f t="shared" si="39"/>
        <v>-4551.4775830507851</v>
      </c>
      <c r="AQ62">
        <f t="shared" si="23"/>
        <v>12.738853503184714</v>
      </c>
      <c r="AR62">
        <f t="shared" si="24"/>
        <v>-356.68789808917199</v>
      </c>
      <c r="AT62">
        <f t="shared" si="52"/>
        <v>-1122859.4043189101</v>
      </c>
      <c r="AU62">
        <f t="shared" si="53"/>
        <v>-4648514.804698729</v>
      </c>
      <c r="AV62">
        <f t="shared" si="42"/>
        <v>-1.8078085390032312</v>
      </c>
      <c r="AW62">
        <f t="shared" si="25"/>
        <v>-1584999.3144599947</v>
      </c>
      <c r="AX62">
        <f t="shared" si="26"/>
        <v>-703117.63694777375</v>
      </c>
      <c r="AY62">
        <f t="shared" si="50"/>
        <v>-2.724067404570826</v>
      </c>
      <c r="BA62">
        <f t="shared" si="27"/>
        <v>2.7579776184162288</v>
      </c>
      <c r="BB62">
        <f t="shared" si="43"/>
        <v>8.8118147492130898</v>
      </c>
      <c r="BC62">
        <f t="shared" si="44"/>
        <v>0.91625886556759473</v>
      </c>
      <c r="BD62">
        <f t="shared" si="28"/>
        <v>-127.50223400154471</v>
      </c>
      <c r="BF62">
        <f t="shared" si="29"/>
        <v>13.252584115393393</v>
      </c>
      <c r="BG62">
        <f t="shared" si="30"/>
        <v>-118.94575711290209</v>
      </c>
      <c r="BH62">
        <f t="shared" si="45"/>
        <v>61.054242887097914</v>
      </c>
      <c r="BI62">
        <f t="shared" si="46"/>
        <v>61.054242887097914</v>
      </c>
      <c r="BJ62">
        <f t="shared" si="31"/>
        <v>0</v>
      </c>
      <c r="BK62">
        <f t="shared" si="47"/>
        <v>0</v>
      </c>
      <c r="BM62">
        <f t="shared" si="48"/>
        <v>4.4407693661803034</v>
      </c>
      <c r="BN62">
        <f t="shared" si="32"/>
        <v>-171.44352311135736</v>
      </c>
      <c r="BQ62" s="56">
        <f t="shared" si="49"/>
        <v>25.713775549498227</v>
      </c>
      <c r="BR62" s="59"/>
      <c r="BS62" s="59"/>
      <c r="BT62" s="59">
        <v>331.13099999999997</v>
      </c>
      <c r="BU62" s="59">
        <v>24.386800000000001</v>
      </c>
      <c r="BV62" s="59">
        <v>-265.09339999999997</v>
      </c>
      <c r="BW62" s="61"/>
      <c r="BY62" s="59"/>
      <c r="BZ62" s="59"/>
      <c r="CA62" s="59"/>
      <c r="CC62" s="59"/>
    </row>
    <row r="63" spans="1:81" x14ac:dyDescent="0.25">
      <c r="A63">
        <f t="shared" si="54"/>
        <v>14500</v>
      </c>
      <c r="B63">
        <f t="shared" si="33"/>
        <v>14.5</v>
      </c>
      <c r="C63">
        <f t="shared" si="0"/>
        <v>1.0000756339632373</v>
      </c>
      <c r="D63">
        <f t="shared" si="1"/>
        <v>1.2298715092603231E-2</v>
      </c>
      <c r="F63">
        <f t="shared" si="2"/>
        <v>0.10289736041956589</v>
      </c>
      <c r="G63">
        <f t="shared" si="3"/>
        <v>0.13176665674348351</v>
      </c>
      <c r="H63">
        <f t="shared" si="4"/>
        <v>-3.0098259932565168</v>
      </c>
      <c r="J63">
        <f t="shared" si="5"/>
        <v>15</v>
      </c>
      <c r="M63">
        <f t="shared" si="6"/>
        <v>0.1841150527441793</v>
      </c>
      <c r="N63">
        <f t="shared" si="7"/>
        <v>-1.5707963250000001</v>
      </c>
      <c r="O63">
        <f t="shared" si="8"/>
        <v>4.034355430276868</v>
      </c>
      <c r="P63">
        <f t="shared" si="9"/>
        <v>1.3203141983942559</v>
      </c>
      <c r="Q63">
        <f t="shared" si="10"/>
        <v>3.8346928337337123</v>
      </c>
      <c r="R63">
        <f t="shared" si="11"/>
        <v>1.3069692798604426</v>
      </c>
      <c r="S63">
        <f t="shared" si="12"/>
        <v>0.99559213839378002</v>
      </c>
      <c r="T63">
        <f t="shared" si="13"/>
        <v>-9.3926605658138373E-2</v>
      </c>
      <c r="U63">
        <f t="shared" si="14"/>
        <v>0.99989974712128393</v>
      </c>
      <c r="V63">
        <f t="shared" si="15"/>
        <v>-1.4160123860158292E-2</v>
      </c>
      <c r="X63">
        <f t="shared" si="34"/>
        <v>12.82320584654026</v>
      </c>
      <c r="Y63">
        <f t="shared" si="16"/>
        <v>-117.40632057977092</v>
      </c>
      <c r="Z63">
        <f t="shared" si="35"/>
        <v>62.59367942022908</v>
      </c>
      <c r="AC63">
        <v>1</v>
      </c>
      <c r="AD63">
        <f t="shared" si="17"/>
        <v>3.9084554158650002</v>
      </c>
      <c r="AE63">
        <f t="shared" si="18"/>
        <v>-4.2730136329522953E-6</v>
      </c>
      <c r="AF63">
        <f t="shared" si="19"/>
        <v>3.0174369084719996E-4</v>
      </c>
      <c r="AG63">
        <f t="shared" si="36"/>
        <v>12903.380167746531</v>
      </c>
      <c r="AH63">
        <f t="shared" si="37"/>
        <v>-3496.7966236691186</v>
      </c>
      <c r="AJ63">
        <f t="shared" si="20"/>
        <v>18000</v>
      </c>
      <c r="AK63">
        <f t="shared" si="21"/>
        <v>1695.6683496522003</v>
      </c>
      <c r="AL63">
        <v>1</v>
      </c>
      <c r="AM63">
        <f t="shared" si="22"/>
        <v>3.7020087964628998</v>
      </c>
      <c r="AN63">
        <f t="shared" si="38"/>
        <v>1650.9755328778451</v>
      </c>
      <c r="AO63">
        <f t="shared" si="39"/>
        <v>-4416.2575958066063</v>
      </c>
      <c r="AQ63">
        <f t="shared" si="23"/>
        <v>11.876484560570072</v>
      </c>
      <c r="AR63">
        <f t="shared" si="24"/>
        <v>-344.41805225653206</v>
      </c>
      <c r="AT63">
        <f t="shared" si="52"/>
        <v>-1051113.0869199277</v>
      </c>
      <c r="AU63">
        <f t="shared" si="53"/>
        <v>-4485686.7160132835</v>
      </c>
      <c r="AV63">
        <f t="shared" si="42"/>
        <v>-1.8009694780561876</v>
      </c>
      <c r="AW63">
        <f t="shared" si="25"/>
        <v>-1485126.7146534163</v>
      </c>
      <c r="AX63">
        <f t="shared" si="26"/>
        <v>-647728.61605424725</v>
      </c>
      <c r="AY63">
        <f t="shared" si="50"/>
        <v>-2.7303212064179778</v>
      </c>
      <c r="BA63">
        <f t="shared" si="27"/>
        <v>2.8435377771778283</v>
      </c>
      <c r="BB63">
        <f t="shared" si="43"/>
        <v>9.0771800469519839</v>
      </c>
      <c r="BC63">
        <f t="shared" si="44"/>
        <v>0.92935172836179025</v>
      </c>
      <c r="BD63">
        <f t="shared" si="28"/>
        <v>-126.75206822083626</v>
      </c>
      <c r="BF63">
        <f t="shared" si="29"/>
        <v>12.847746834305493</v>
      </c>
      <c r="BG63">
        <f t="shared" si="30"/>
        <v>-118.49773043121364</v>
      </c>
      <c r="BH63">
        <f t="shared" si="45"/>
        <v>61.50226956878636</v>
      </c>
      <c r="BI63">
        <f t="shared" si="46"/>
        <v>61.50226956878636</v>
      </c>
      <c r="BJ63">
        <f t="shared" si="31"/>
        <v>0</v>
      </c>
      <c r="BK63">
        <f t="shared" si="47"/>
        <v>0</v>
      </c>
      <c r="BM63">
        <f t="shared" si="48"/>
        <v>3.7705667873535105</v>
      </c>
      <c r="BN63">
        <f t="shared" si="32"/>
        <v>-171.74566221037742</v>
      </c>
      <c r="BQ63" s="56">
        <f t="shared" si="49"/>
        <v>25.979140847237119</v>
      </c>
      <c r="BR63" s="59"/>
      <c r="BS63" s="59"/>
      <c r="BT63" s="59">
        <v>338.84399999999999</v>
      </c>
      <c r="BU63" s="59">
        <v>24.136900000000001</v>
      </c>
      <c r="BV63" s="59">
        <v>-266.42009999999999</v>
      </c>
      <c r="BW63" s="61"/>
      <c r="BY63" s="59"/>
      <c r="BZ63" s="59"/>
      <c r="CA63" s="59"/>
      <c r="CC63" s="59"/>
    </row>
    <row r="64" spans="1:81" x14ac:dyDescent="0.25">
      <c r="A64">
        <f t="shared" si="54"/>
        <v>15000</v>
      </c>
      <c r="B64">
        <f t="shared" si="33"/>
        <v>15</v>
      </c>
      <c r="C64">
        <f t="shared" si="0"/>
        <v>1.0000809398172823</v>
      </c>
      <c r="D64">
        <f t="shared" si="1"/>
        <v>1.27227637155718E-2</v>
      </c>
      <c r="F64">
        <f t="shared" si="2"/>
        <v>9.5551549962884619E-2</v>
      </c>
      <c r="G64">
        <f t="shared" si="3"/>
        <v>0.12655072910710935</v>
      </c>
      <c r="H64">
        <f t="shared" si="4"/>
        <v>-3.0150419208928909</v>
      </c>
      <c r="J64">
        <f t="shared" si="5"/>
        <v>15</v>
      </c>
      <c r="M64">
        <f t="shared" si="6"/>
        <v>0.17797788431937331</v>
      </c>
      <c r="N64">
        <f t="shared" si="7"/>
        <v>-1.5707963250000001</v>
      </c>
      <c r="O64">
        <f t="shared" si="8"/>
        <v>4.1650578309151989</v>
      </c>
      <c r="P64">
        <f t="shared" si="9"/>
        <v>1.3283349788275163</v>
      </c>
      <c r="Q64">
        <f t="shared" si="10"/>
        <v>3.9580713027670602</v>
      </c>
      <c r="R64">
        <f t="shared" si="11"/>
        <v>1.3153799455991557</v>
      </c>
      <c r="S64">
        <f t="shared" si="12"/>
        <v>0.99528509039721902</v>
      </c>
      <c r="T64">
        <f t="shared" si="13"/>
        <v>-9.7145451055158899E-2</v>
      </c>
      <c r="U64">
        <f t="shared" si="14"/>
        <v>0.99989271505469135</v>
      </c>
      <c r="V64">
        <f t="shared" si="15"/>
        <v>-1.4648335312032608E-2</v>
      </c>
      <c r="X64">
        <f t="shared" si="34"/>
        <v>12.434714747883993</v>
      </c>
      <c r="Y64">
        <f t="shared" si="16"/>
        <v>-116.95182121756329</v>
      </c>
      <c r="Z64">
        <f t="shared" si="35"/>
        <v>63.048178782436707</v>
      </c>
      <c r="AC64">
        <v>1</v>
      </c>
      <c r="AD64">
        <f t="shared" si="17"/>
        <v>4.0432297405500002</v>
      </c>
      <c r="AE64">
        <f t="shared" si="18"/>
        <v>-4.5727851006623834E-6</v>
      </c>
      <c r="AF64">
        <f t="shared" si="19"/>
        <v>3.1214864570400003E-4</v>
      </c>
      <c r="AG64">
        <f t="shared" si="36"/>
        <v>12903.198675332307</v>
      </c>
      <c r="AH64">
        <f t="shared" si="37"/>
        <v>-3392.6258185904903</v>
      </c>
      <c r="AJ64">
        <f t="shared" si="20"/>
        <v>18000</v>
      </c>
      <c r="AK64">
        <f t="shared" si="21"/>
        <v>1754.1396720540001</v>
      </c>
      <c r="AL64">
        <v>1</v>
      </c>
      <c r="AM64">
        <f t="shared" si="22"/>
        <v>3.8296642722030003</v>
      </c>
      <c r="AN64">
        <f t="shared" si="38"/>
        <v>1577.7638090937976</v>
      </c>
      <c r="AO64">
        <f t="shared" si="39"/>
        <v>-4288.166017607432</v>
      </c>
      <c r="AQ64">
        <f t="shared" si="23"/>
        <v>11.098779134295228</v>
      </c>
      <c r="AR64">
        <f t="shared" si="24"/>
        <v>-332.96337402885683</v>
      </c>
      <c r="AT64">
        <f t="shared" si="52"/>
        <v>-986410.38715185795</v>
      </c>
      <c r="AU64">
        <f t="shared" si="53"/>
        <v>-4333946.5713491645</v>
      </c>
      <c r="AV64">
        <f t="shared" si="42"/>
        <v>-1.7945850141960622</v>
      </c>
      <c r="AW64">
        <f t="shared" si="25"/>
        <v>-1394075.0634709031</v>
      </c>
      <c r="AX64">
        <f t="shared" si="26"/>
        <v>-598732.62366324791</v>
      </c>
      <c r="AY64">
        <f t="shared" si="50"/>
        <v>-2.7359303448763366</v>
      </c>
      <c r="BA64">
        <f t="shared" si="27"/>
        <v>2.9295769298983281</v>
      </c>
      <c r="BB64">
        <f t="shared" si="43"/>
        <v>9.3360981389796844</v>
      </c>
      <c r="BC64">
        <f t="shared" si="44"/>
        <v>0.94134533068027437</v>
      </c>
      <c r="BD64">
        <f t="shared" si="28"/>
        <v>-126.06488542604357</v>
      </c>
      <c r="BF64">
        <f t="shared" si="29"/>
        <v>12.463381050669033</v>
      </c>
      <c r="BG64">
        <f t="shared" si="30"/>
        <v>-118.08510208014015</v>
      </c>
      <c r="BH64">
        <f t="shared" si="45"/>
        <v>61.914897919859854</v>
      </c>
      <c r="BI64">
        <f t="shared" si="46"/>
        <v>61.914897919859854</v>
      </c>
      <c r="BJ64">
        <f t="shared" si="31"/>
        <v>0</v>
      </c>
      <c r="BK64">
        <f t="shared" si="47"/>
        <v>0</v>
      </c>
      <c r="BM64">
        <f t="shared" si="48"/>
        <v>3.1272829116893504</v>
      </c>
      <c r="BN64">
        <f t="shared" si="32"/>
        <v>-172.0202166540966</v>
      </c>
      <c r="BQ64" s="56">
        <f t="shared" si="49"/>
        <v>26.238058939264821</v>
      </c>
      <c r="BR64" s="59"/>
      <c r="BS64" s="59"/>
      <c r="BT64" s="59">
        <v>346.73700000000002</v>
      </c>
      <c r="BU64" s="59">
        <v>24.040400000000002</v>
      </c>
      <c r="BV64" s="59">
        <v>-265.87940000000003</v>
      </c>
      <c r="BW64" s="61"/>
      <c r="BY64" s="59"/>
      <c r="BZ64" s="59"/>
      <c r="CA64" s="59"/>
      <c r="CC64" s="59"/>
    </row>
    <row r="65" spans="1:81" x14ac:dyDescent="0.25">
      <c r="A65">
        <f t="shared" si="54"/>
        <v>15500</v>
      </c>
      <c r="B65">
        <f t="shared" si="33"/>
        <v>15.5</v>
      </c>
      <c r="C65">
        <f t="shared" si="0"/>
        <v>1.0000864255011896</v>
      </c>
      <c r="D65">
        <f t="shared" si="1"/>
        <v>1.3146807762798748E-2</v>
      </c>
      <c r="F65">
        <f t="shared" si="2"/>
        <v>8.8983078612094327E-2</v>
      </c>
      <c r="G65">
        <f t="shared" si="3"/>
        <v>0.12175547743064002</v>
      </c>
      <c r="H65">
        <f t="shared" si="4"/>
        <v>-3.01983717256936</v>
      </c>
      <c r="J65">
        <f t="shared" si="5"/>
        <v>15</v>
      </c>
      <c r="M65">
        <f t="shared" si="6"/>
        <v>0.17223666224455481</v>
      </c>
      <c r="N65">
        <f t="shared" si="7"/>
        <v>-1.5707963250000001</v>
      </c>
      <c r="O65">
        <f t="shared" si="8"/>
        <v>4.2960118678979677</v>
      </c>
      <c r="P65">
        <f t="shared" si="9"/>
        <v>1.3358672294621401</v>
      </c>
      <c r="Q65">
        <f t="shared" si="10"/>
        <v>4.0817128252071386</v>
      </c>
      <c r="R65">
        <f t="shared" si="11"/>
        <v>1.3232815977690402</v>
      </c>
      <c r="S65">
        <f t="shared" si="12"/>
        <v>0.99496793250066695</v>
      </c>
      <c r="T65">
        <f t="shared" si="13"/>
        <v>-0.10036227832736602</v>
      </c>
      <c r="U65">
        <f t="shared" si="14"/>
        <v>0.99988544476895158</v>
      </c>
      <c r="V65">
        <f t="shared" si="15"/>
        <v>-1.5136539780634079E-2</v>
      </c>
      <c r="X65">
        <f t="shared" si="34"/>
        <v>12.06458136618917</v>
      </c>
      <c r="Y65">
        <f t="shared" si="16"/>
        <v>-116.53025815520945</v>
      </c>
      <c r="Z65">
        <f t="shared" si="35"/>
        <v>63.469741844790548</v>
      </c>
      <c r="AC65">
        <v>1</v>
      </c>
      <c r="AD65">
        <f t="shared" si="17"/>
        <v>4.1780040652350001</v>
      </c>
      <c r="AE65">
        <f t="shared" si="18"/>
        <v>-4.8827183130406132E-6</v>
      </c>
      <c r="AF65">
        <f t="shared" si="19"/>
        <v>3.2255360056079998E-4</v>
      </c>
      <c r="AG65">
        <f t="shared" si="36"/>
        <v>12903.011036000884</v>
      </c>
      <c r="AH65">
        <f t="shared" si="37"/>
        <v>-3295.5817775113487</v>
      </c>
      <c r="AJ65">
        <f t="shared" si="20"/>
        <v>18000</v>
      </c>
      <c r="AK65">
        <f t="shared" si="21"/>
        <v>1812.6109944558</v>
      </c>
      <c r="AL65">
        <v>1</v>
      </c>
      <c r="AM65">
        <f t="shared" si="22"/>
        <v>3.9573197479430999</v>
      </c>
      <c r="AN65">
        <f t="shared" si="38"/>
        <v>1510.9548465897756</v>
      </c>
      <c r="AO65">
        <f t="shared" si="39"/>
        <v>-4166.720458204255</v>
      </c>
      <c r="AQ65">
        <f t="shared" si="23"/>
        <v>10.395010395010395</v>
      </c>
      <c r="AR65">
        <f t="shared" si="24"/>
        <v>-322.24532224532226</v>
      </c>
      <c r="AT65">
        <f t="shared" si="52"/>
        <v>-927858.8780337933</v>
      </c>
      <c r="AU65">
        <f t="shared" si="53"/>
        <v>-4192192.5560658914</v>
      </c>
      <c r="AV65">
        <f t="shared" si="42"/>
        <v>-1.7886150814730331</v>
      </c>
      <c r="AW65">
        <f t="shared" si="25"/>
        <v>-1310864.5955201227</v>
      </c>
      <c r="AX65">
        <f t="shared" si="26"/>
        <v>-555214.76363926171</v>
      </c>
      <c r="AY65">
        <f t="shared" si="50"/>
        <v>-2.7409520620875751</v>
      </c>
      <c r="BA65">
        <f t="shared" si="27"/>
        <v>3.0160540288970044</v>
      </c>
      <c r="BB65">
        <f t="shared" si="43"/>
        <v>9.5887823423742429</v>
      </c>
      <c r="BC65">
        <f t="shared" si="44"/>
        <v>0.95233698061454208</v>
      </c>
      <c r="BD65">
        <f t="shared" si="28"/>
        <v>-125.43511027420517</v>
      </c>
      <c r="BF65">
        <f t="shared" si="29"/>
        <v>12.09750671887722</v>
      </c>
      <c r="BG65">
        <f t="shared" si="30"/>
        <v>-117.7057786771189</v>
      </c>
      <c r="BH65">
        <f t="shared" si="45"/>
        <v>62.2942213228811</v>
      </c>
      <c r="BI65">
        <f t="shared" si="46"/>
        <v>62.2942213228811</v>
      </c>
      <c r="BJ65">
        <f t="shared" si="31"/>
        <v>0</v>
      </c>
      <c r="BK65">
        <f t="shared" si="47"/>
        <v>0</v>
      </c>
      <c r="BM65">
        <f t="shared" si="48"/>
        <v>2.5087243765029776</v>
      </c>
      <c r="BN65">
        <f t="shared" si="32"/>
        <v>-172.27066840291374</v>
      </c>
      <c r="BQ65" s="56">
        <f t="shared" si="49"/>
        <v>26.49074314265938</v>
      </c>
      <c r="BR65" s="59"/>
      <c r="BS65" s="59"/>
      <c r="BT65" s="59">
        <v>354.81299999999999</v>
      </c>
      <c r="BU65" s="59">
        <v>23.629000000000001</v>
      </c>
      <c r="BV65" s="59">
        <v>-265.95490000000001</v>
      </c>
      <c r="BW65" s="61"/>
      <c r="BY65" s="59"/>
      <c r="BZ65" s="59"/>
      <c r="CA65" s="59"/>
      <c r="CC65" s="59"/>
    </row>
    <row r="66" spans="1:81" x14ac:dyDescent="0.25">
      <c r="A66">
        <f t="shared" si="54"/>
        <v>16000</v>
      </c>
      <c r="B66">
        <f t="shared" si="33"/>
        <v>16</v>
      </c>
      <c r="C66">
        <f t="shared" si="0"/>
        <v>1.0000920910119997</v>
      </c>
      <c r="D66">
        <f t="shared" si="1"/>
        <v>1.3570847081863091E-2</v>
      </c>
      <c r="F66">
        <f t="shared" si="2"/>
        <v>8.3083913049891031E-2</v>
      </c>
      <c r="G66">
        <f t="shared" si="3"/>
        <v>0.11733015701874906</v>
      </c>
      <c r="H66">
        <f t="shared" si="4"/>
        <v>-3.0242624929812512</v>
      </c>
      <c r="J66">
        <f t="shared" si="5"/>
        <v>15</v>
      </c>
      <c r="M66">
        <f t="shared" si="6"/>
        <v>0.16685426654941249</v>
      </c>
      <c r="N66">
        <f t="shared" si="7"/>
        <v>-1.5707963250000001</v>
      </c>
      <c r="O66">
        <f t="shared" si="8"/>
        <v>4.4271952114810738</v>
      </c>
      <c r="P66">
        <f t="shared" si="9"/>
        <v>1.3429534824736313</v>
      </c>
      <c r="Q66">
        <f t="shared" si="10"/>
        <v>4.2055942003604683</v>
      </c>
      <c r="R66">
        <f t="shared" si="11"/>
        <v>1.3307181843785247</v>
      </c>
      <c r="S66">
        <f t="shared" si="12"/>
        <v>0.99464069404754551</v>
      </c>
      <c r="T66">
        <f t="shared" si="13"/>
        <v>-0.10357702286075292</v>
      </c>
      <c r="U66">
        <f t="shared" si="14"/>
        <v>0.99987793627965804</v>
      </c>
      <c r="V66">
        <f t="shared" si="15"/>
        <v>-1.5624737033396811E-2</v>
      </c>
      <c r="X66">
        <f t="shared" si="34"/>
        <v>11.711095133393254</v>
      </c>
      <c r="Y66">
        <f t="shared" si="16"/>
        <v>-116.13958019332927</v>
      </c>
      <c r="Z66">
        <f t="shared" si="35"/>
        <v>63.860419806670734</v>
      </c>
      <c r="AC66">
        <v>1</v>
      </c>
      <c r="AD66">
        <f t="shared" si="17"/>
        <v>4.3127783899200001</v>
      </c>
      <c r="AE66">
        <f t="shared" si="18"/>
        <v>-5.2028132700869789E-6</v>
      </c>
      <c r="AF66">
        <f t="shared" si="19"/>
        <v>3.3295855541759999E-4</v>
      </c>
      <c r="AG66">
        <f t="shared" si="36"/>
        <v>12902.817250288799</v>
      </c>
      <c r="AH66">
        <f t="shared" si="37"/>
        <v>-3204.9963319696153</v>
      </c>
      <c r="AJ66">
        <f t="shared" si="20"/>
        <v>18000</v>
      </c>
      <c r="AK66">
        <f t="shared" si="21"/>
        <v>1871.0823168576001</v>
      </c>
      <c r="AL66">
        <v>1</v>
      </c>
      <c r="AM66">
        <f t="shared" si="22"/>
        <v>4.0849752236832</v>
      </c>
      <c r="AN66">
        <f t="shared" si="38"/>
        <v>1449.8384220744074</v>
      </c>
      <c r="AO66">
        <f t="shared" si="39"/>
        <v>-4051.471715660301</v>
      </c>
      <c r="AQ66">
        <f t="shared" si="23"/>
        <v>9.7560975609756095</v>
      </c>
      <c r="AR66">
        <f t="shared" si="24"/>
        <v>-312.19512195121951</v>
      </c>
      <c r="AT66">
        <f t="shared" si="52"/>
        <v>-874703.07680720871</v>
      </c>
      <c r="AU66">
        <f t="shared" si="53"/>
        <v>-4059464.8618654748</v>
      </c>
      <c r="AV66">
        <f t="shared" si="42"/>
        <v>-1.7830240747192905</v>
      </c>
      <c r="AW66">
        <f t="shared" si="25"/>
        <v>-1234643.6184114884</v>
      </c>
      <c r="AX66">
        <f t="shared" si="26"/>
        <v>-516413.08364191419</v>
      </c>
      <c r="AY66">
        <f t="shared" si="50"/>
        <v>-2.7454370560743366</v>
      </c>
      <c r="BA66">
        <f t="shared" si="27"/>
        <v>3.1029332880353588</v>
      </c>
      <c r="BB66">
        <f t="shared" si="43"/>
        <v>9.8354487701456463</v>
      </c>
      <c r="BC66">
        <f t="shared" si="44"/>
        <v>0.96241298135504616</v>
      </c>
      <c r="BD66">
        <f t="shared" si="28"/>
        <v>-124.85779795674392</v>
      </c>
      <c r="BF66">
        <f t="shared" si="29"/>
        <v>11.748412657932848</v>
      </c>
      <c r="BG66">
        <f t="shared" si="30"/>
        <v>-117.35772287918407</v>
      </c>
      <c r="BH66">
        <f t="shared" si="45"/>
        <v>62.642277120815933</v>
      </c>
      <c r="BI66">
        <f t="shared" si="46"/>
        <v>62.642277120815933</v>
      </c>
      <c r="BJ66">
        <f t="shared" si="31"/>
        <v>0</v>
      </c>
      <c r="BK66">
        <f t="shared" si="47"/>
        <v>0</v>
      </c>
      <c r="BM66">
        <f t="shared" si="48"/>
        <v>1.9129638877872013</v>
      </c>
      <c r="BN66">
        <f t="shared" si="32"/>
        <v>-172.49992492244016</v>
      </c>
      <c r="BQ66" s="56">
        <f t="shared" si="49"/>
        <v>26.737409570430785</v>
      </c>
      <c r="BR66" s="59"/>
      <c r="BS66" s="59"/>
      <c r="BT66" s="59">
        <v>363.07799999999997</v>
      </c>
      <c r="BU66" s="59">
        <v>23.6126</v>
      </c>
      <c r="BV66" s="59">
        <v>-265.39159999999998</v>
      </c>
      <c r="BW66" s="61"/>
      <c r="BY66" s="59"/>
      <c r="BZ66" s="59"/>
      <c r="CA66" s="59"/>
      <c r="CC66" s="59"/>
    </row>
    <row r="67" spans="1:81" x14ac:dyDescent="0.25">
      <c r="A67">
        <f t="shared" si="54"/>
        <v>16500</v>
      </c>
      <c r="B67">
        <f t="shared" si="33"/>
        <v>16.5</v>
      </c>
      <c r="C67">
        <f t="shared" si="0"/>
        <v>1.0000979363466564</v>
      </c>
      <c r="D67">
        <f t="shared" si="1"/>
        <v>1.3994881520354056E-2</v>
      </c>
      <c r="F67">
        <f t="shared" si="2"/>
        <v>7.7764452156338718E-2</v>
      </c>
      <c r="G67">
        <f t="shared" si="3"/>
        <v>0.11323204085116839</v>
      </c>
      <c r="H67">
        <f t="shared" si="4"/>
        <v>-3.028360609148832</v>
      </c>
      <c r="J67">
        <f t="shared" si="5"/>
        <v>15</v>
      </c>
      <c r="M67">
        <f t="shared" si="6"/>
        <v>0.16179807665397572</v>
      </c>
      <c r="N67">
        <f t="shared" si="7"/>
        <v>-1.5707963250000001</v>
      </c>
      <c r="O67">
        <f t="shared" si="8"/>
        <v>4.5585880653103876</v>
      </c>
      <c r="P67">
        <f t="shared" si="9"/>
        <v>1.3496315586880649</v>
      </c>
      <c r="Q67">
        <f t="shared" si="10"/>
        <v>4.3296948402541764</v>
      </c>
      <c r="R67">
        <f t="shared" si="11"/>
        <v>1.3377288354586803</v>
      </c>
      <c r="S67">
        <f t="shared" si="12"/>
        <v>0.99430340526146377</v>
      </c>
      <c r="T67">
        <f t="shared" si="13"/>
        <v>-0.10678962029714141</v>
      </c>
      <c r="U67">
        <f t="shared" si="14"/>
        <v>0.99987018960291385</v>
      </c>
      <c r="V67">
        <f t="shared" si="15"/>
        <v>-1.6112926837775553E-2</v>
      </c>
      <c r="X67">
        <f t="shared" si="34"/>
        <v>11.372768921598164</v>
      </c>
      <c r="Y67">
        <f t="shared" si="16"/>
        <v>-115.77782275846515</v>
      </c>
      <c r="Z67">
        <f t="shared" si="35"/>
        <v>64.222177241534851</v>
      </c>
      <c r="AC67">
        <v>1</v>
      </c>
      <c r="AD67">
        <f t="shared" si="17"/>
        <v>4.447552714605</v>
      </c>
      <c r="AE67">
        <f t="shared" si="18"/>
        <v>-5.5330699718014846E-6</v>
      </c>
      <c r="AF67">
        <f t="shared" si="19"/>
        <v>3.433635102744E-4</v>
      </c>
      <c r="AG67">
        <f t="shared" si="36"/>
        <v>12902.617318750166</v>
      </c>
      <c r="AH67">
        <f t="shared" si="37"/>
        <v>-3120.2823025306816</v>
      </c>
      <c r="AJ67">
        <f t="shared" si="20"/>
        <v>18000</v>
      </c>
      <c r="AK67">
        <f t="shared" si="21"/>
        <v>1929.5536392594001</v>
      </c>
      <c r="AL67">
        <v>1</v>
      </c>
      <c r="AM67">
        <f t="shared" si="22"/>
        <v>4.2126306994233005</v>
      </c>
      <c r="AN67">
        <f t="shared" si="38"/>
        <v>1393.7980433030489</v>
      </c>
      <c r="AO67">
        <f t="shared" si="39"/>
        <v>-3942.0027867551503</v>
      </c>
      <c r="AQ67">
        <f t="shared" si="23"/>
        <v>9.1743119266055047</v>
      </c>
      <c r="AR67">
        <f t="shared" si="24"/>
        <v>-302.75229357798167</v>
      </c>
      <c r="AT67">
        <f t="shared" si="52"/>
        <v>-826299.98775011324</v>
      </c>
      <c r="AU67">
        <f t="shared" si="53"/>
        <v>-3934923.4295530845</v>
      </c>
      <c r="AV67">
        <f t="shared" si="42"/>
        <v>-1.7777802618207286</v>
      </c>
      <c r="AW67">
        <f t="shared" si="25"/>
        <v>-1164669.6809587574</v>
      </c>
      <c r="AX67">
        <f t="shared" si="26"/>
        <v>-481689.67948568694</v>
      </c>
      <c r="AY67">
        <f t="shared" si="50"/>
        <v>-2.749430371651953</v>
      </c>
      <c r="BA67">
        <f t="shared" si="27"/>
        <v>3.1901833815622265</v>
      </c>
      <c r="BB67">
        <f t="shared" si="43"/>
        <v>10.076312967171784</v>
      </c>
      <c r="BC67">
        <f t="shared" si="44"/>
        <v>0.97165010983122446</v>
      </c>
      <c r="BD67">
        <f t="shared" si="28"/>
        <v>-124.32854947963403</v>
      </c>
      <c r="BF67">
        <f t="shared" si="29"/>
        <v>11.414611106512675</v>
      </c>
      <c r="BG67">
        <f t="shared" si="30"/>
        <v>-117.03898377897771</v>
      </c>
      <c r="BH67">
        <f t="shared" si="45"/>
        <v>62.961016221022291</v>
      </c>
      <c r="BI67">
        <f t="shared" si="46"/>
        <v>62.961016221022291</v>
      </c>
      <c r="BJ67">
        <f t="shared" si="31"/>
        <v>0</v>
      </c>
      <c r="BK67">
        <f t="shared" si="47"/>
        <v>0</v>
      </c>
      <c r="BM67">
        <f t="shared" si="48"/>
        <v>1.338298139340891</v>
      </c>
      <c r="BN67">
        <f t="shared" si="32"/>
        <v>-172.71043429934366</v>
      </c>
      <c r="BQ67" s="56">
        <f t="shared" si="49"/>
        <v>26.978273767456923</v>
      </c>
      <c r="BR67" s="59"/>
      <c r="BS67" s="59"/>
      <c r="BT67" s="59">
        <v>371.53500000000003</v>
      </c>
      <c r="BU67" s="59">
        <v>23.315999999999999</v>
      </c>
      <c r="BV67" s="59">
        <v>-265.2439</v>
      </c>
      <c r="BW67" s="61"/>
      <c r="BY67" s="59"/>
      <c r="BZ67" s="59"/>
      <c r="CA67" s="59"/>
      <c r="CC67" s="59"/>
    </row>
    <row r="68" spans="1:81" x14ac:dyDescent="0.25">
      <c r="A68">
        <f t="shared" si="54"/>
        <v>17000</v>
      </c>
      <c r="B68">
        <f t="shared" si="33"/>
        <v>17</v>
      </c>
      <c r="C68">
        <f t="shared" si="0"/>
        <v>1.0001039615020066</v>
      </c>
      <c r="D68">
        <f t="shared" si="1"/>
        <v>1.4418910925871392E-2</v>
      </c>
      <c r="F68">
        <f t="shared" si="2"/>
        <v>7.2949829843948336E-2</v>
      </c>
      <c r="G68">
        <f t="shared" si="3"/>
        <v>0.10942487769083192</v>
      </c>
      <c r="H68">
        <f t="shared" si="4"/>
        <v>-3.0321677723091685</v>
      </c>
      <c r="J68">
        <f t="shared" si="5"/>
        <v>15</v>
      </c>
      <c r="M68">
        <f t="shared" si="6"/>
        <v>0.15703930969356469</v>
      </c>
      <c r="N68">
        <f t="shared" si="7"/>
        <v>-1.5707963250000001</v>
      </c>
      <c r="O68">
        <f t="shared" si="8"/>
        <v>4.6901728214436043</v>
      </c>
      <c r="P68">
        <f t="shared" si="9"/>
        <v>1.355935190603478</v>
      </c>
      <c r="Q68">
        <f t="shared" si="10"/>
        <v>4.4539964169624717</v>
      </c>
      <c r="R68">
        <f t="shared" si="11"/>
        <v>1.3443484921837279</v>
      </c>
      <c r="S68">
        <f t="shared" si="12"/>
        <v>0.99395609723857503</v>
      </c>
      <c r="T68">
        <f t="shared" si="13"/>
        <v>-0.11000000654156367</v>
      </c>
      <c r="U68">
        <f t="shared" si="14"/>
        <v>0.99986220475533305</v>
      </c>
      <c r="V68">
        <f t="shared" si="15"/>
        <v>-1.6601108961246343E-2</v>
      </c>
      <c r="X68">
        <f t="shared" si="34"/>
        <v>11.048302614884367</v>
      </c>
      <c r="Y68">
        <f t="shared" si="16"/>
        <v>-115.44312450495522</v>
      </c>
      <c r="Z68">
        <f t="shared" si="35"/>
        <v>64.556875495044778</v>
      </c>
      <c r="AC68">
        <v>1</v>
      </c>
      <c r="AD68">
        <f t="shared" si="17"/>
        <v>4.58232703929</v>
      </c>
      <c r="AE68">
        <f t="shared" si="18"/>
        <v>-5.8734884181841296E-6</v>
      </c>
      <c r="AF68">
        <f t="shared" si="19"/>
        <v>3.5376846513120001E-4</v>
      </c>
      <c r="AG68">
        <f t="shared" si="36"/>
        <v>12902.41124195663</v>
      </c>
      <c r="AH68">
        <f t="shared" si="37"/>
        <v>-3040.921588636545</v>
      </c>
      <c r="AJ68">
        <f t="shared" si="20"/>
        <v>18000</v>
      </c>
      <c r="AK68">
        <f t="shared" si="21"/>
        <v>1988.0249616612</v>
      </c>
      <c r="AL68">
        <v>1</v>
      </c>
      <c r="AM68">
        <f t="shared" si="22"/>
        <v>4.3402861751634001</v>
      </c>
      <c r="AN68">
        <f t="shared" si="38"/>
        <v>1342.296823951714</v>
      </c>
      <c r="AO68">
        <f t="shared" si="39"/>
        <v>-3837.927386302164</v>
      </c>
      <c r="AQ68">
        <f t="shared" si="23"/>
        <v>8.6430423509075194</v>
      </c>
      <c r="AR68">
        <f t="shared" si="24"/>
        <v>-293.86343993085563</v>
      </c>
      <c r="AT68">
        <f t="shared" si="52"/>
        <v>-782099.59180368099</v>
      </c>
      <c r="AU68">
        <f t="shared" si="53"/>
        <v>-3817829.7650402933</v>
      </c>
      <c r="AV68">
        <f t="shared" si="42"/>
        <v>-1.7728552837435565</v>
      </c>
      <c r="AW68">
        <f t="shared" si="25"/>
        <v>-1100293.743250008</v>
      </c>
      <c r="AX68">
        <f t="shared" si="26"/>
        <v>-450507.83615042939</v>
      </c>
      <c r="AY68">
        <f t="shared" si="50"/>
        <v>-2.7529721521867696</v>
      </c>
      <c r="BA68">
        <f t="shared" si="27"/>
        <v>3.2777767841494598</v>
      </c>
      <c r="BB68">
        <f t="shared" si="43"/>
        <v>10.311587497728459</v>
      </c>
      <c r="BC68">
        <f t="shared" si="44"/>
        <v>0.98011686844321311</v>
      </c>
      <c r="BD68">
        <f t="shared" si="28"/>
        <v>-123.84343994445672</v>
      </c>
      <c r="BF68">
        <f t="shared" si="29"/>
        <v>11.094801294747016</v>
      </c>
      <c r="BG68">
        <f t="shared" si="30"/>
        <v>-116.74771352970129</v>
      </c>
      <c r="BH68">
        <f t="shared" si="45"/>
        <v>63.252286470298714</v>
      </c>
      <c r="BI68">
        <f t="shared" si="46"/>
        <v>63.252286470298714</v>
      </c>
      <c r="BJ68">
        <f t="shared" si="31"/>
        <v>0</v>
      </c>
      <c r="BK68">
        <f t="shared" si="47"/>
        <v>0</v>
      </c>
      <c r="BM68">
        <f t="shared" si="48"/>
        <v>0.78321379701855887</v>
      </c>
      <c r="BN68">
        <f t="shared" si="32"/>
        <v>-172.90427358524454</v>
      </c>
      <c r="BQ68" s="56">
        <f t="shared" si="49"/>
        <v>27.213548298013595</v>
      </c>
      <c r="BR68" s="59"/>
      <c r="BS68" s="59"/>
      <c r="BT68" s="59">
        <v>380.18900000000002</v>
      </c>
      <c r="BU68" s="59">
        <v>23.2133</v>
      </c>
      <c r="BV68" s="59">
        <v>-265.49869999999999</v>
      </c>
      <c r="BW68" s="61"/>
      <c r="BY68" s="59"/>
      <c r="BZ68" s="59"/>
      <c r="CA68" s="59"/>
      <c r="CC68" s="59"/>
    </row>
    <row r="69" spans="1:81" x14ac:dyDescent="0.25">
      <c r="A69">
        <f t="shared" si="54"/>
        <v>17500</v>
      </c>
      <c r="B69">
        <f t="shared" si="33"/>
        <v>17.5</v>
      </c>
      <c r="C69">
        <f t="shared" si="0"/>
        <v>1.0001101664748007</v>
      </c>
      <c r="D69">
        <f t="shared" si="1"/>
        <v>1.48429351460257E-2</v>
      </c>
      <c r="F69">
        <f t="shared" si="2"/>
        <v>6.8577063860770962E-2</v>
      </c>
      <c r="G69">
        <f t="shared" si="3"/>
        <v>0.10587769506225611</v>
      </c>
      <c r="H69">
        <f t="shared" si="4"/>
        <v>-3.035714954937744</v>
      </c>
      <c r="J69">
        <f t="shared" si="5"/>
        <v>15</v>
      </c>
      <c r="M69">
        <f t="shared" si="6"/>
        <v>0.15255247227374857</v>
      </c>
      <c r="N69">
        <f t="shared" si="7"/>
        <v>-1.5707963250000001</v>
      </c>
      <c r="O69">
        <f t="shared" si="8"/>
        <v>4.8219337695591395</v>
      </c>
      <c r="P69">
        <f t="shared" si="9"/>
        <v>1.3618945509704139</v>
      </c>
      <c r="Q69">
        <f t="shared" si="10"/>
        <v>4.5784825647673149</v>
      </c>
      <c r="R69">
        <f t="shared" si="11"/>
        <v>1.3506084420755577</v>
      </c>
      <c r="S69">
        <f t="shared" si="12"/>
        <v>0.99359880193973293</v>
      </c>
      <c r="T69">
        <f t="shared" si="13"/>
        <v>-0.11320811776956438</v>
      </c>
      <c r="U69">
        <f t="shared" si="14"/>
        <v>0.9998539817540385</v>
      </c>
      <c r="V69">
        <f t="shared" si="15"/>
        <v>-1.7089283171307177E-2</v>
      </c>
      <c r="X69">
        <f t="shared" si="34"/>
        <v>10.7365536677833</v>
      </c>
      <c r="Y69">
        <f t="shared" si="16"/>
        <v>-115.1337349492434</v>
      </c>
      <c r="Z69">
        <f t="shared" si="35"/>
        <v>64.866265050756596</v>
      </c>
      <c r="AC69">
        <v>1</v>
      </c>
      <c r="AD69">
        <f t="shared" si="17"/>
        <v>4.7171013639750008</v>
      </c>
      <c r="AE69">
        <f t="shared" si="18"/>
        <v>-6.2240686092349104E-6</v>
      </c>
      <c r="AF69">
        <f t="shared" si="19"/>
        <v>3.6417341998799997E-4</v>
      </c>
      <c r="AG69">
        <f t="shared" si="36"/>
        <v>12902.199020497392</v>
      </c>
      <c r="AH69">
        <f t="shared" si="37"/>
        <v>-2966.4553001951017</v>
      </c>
      <c r="AJ69">
        <f t="shared" si="20"/>
        <v>18000</v>
      </c>
      <c r="AK69">
        <f t="shared" si="21"/>
        <v>2046.4962840630001</v>
      </c>
      <c r="AL69">
        <v>1</v>
      </c>
      <c r="AM69">
        <f t="shared" si="22"/>
        <v>4.4679416509034997</v>
      </c>
      <c r="AN69">
        <f t="shared" si="38"/>
        <v>1294.8657185293027</v>
      </c>
      <c r="AO69">
        <f t="shared" si="39"/>
        <v>-3738.8881920811596</v>
      </c>
      <c r="AQ69">
        <f t="shared" si="23"/>
        <v>8.1566068515497552</v>
      </c>
      <c r="AR69">
        <f t="shared" si="24"/>
        <v>-285.48123980424145</v>
      </c>
      <c r="AT69">
        <f t="shared" si="52"/>
        <v>-741629.17199291335</v>
      </c>
      <c r="AU69">
        <f t="shared" si="53"/>
        <v>-3707531.9821990523</v>
      </c>
      <c r="AV69">
        <f t="shared" si="42"/>
        <v>-1.7682237279519264</v>
      </c>
      <c r="AW69">
        <f t="shared" si="25"/>
        <v>-1040946.8492065438</v>
      </c>
      <c r="AX69">
        <f t="shared" si="26"/>
        <v>-422413.83271680737</v>
      </c>
      <c r="AY69">
        <f t="shared" si="50"/>
        <v>-2.7560982764609809</v>
      </c>
      <c r="BA69">
        <f t="shared" si="27"/>
        <v>3.3656892238852394</v>
      </c>
      <c r="BB69">
        <f t="shared" si="43"/>
        <v>10.541480244781772</v>
      </c>
      <c r="BC69">
        <f t="shared" si="44"/>
        <v>0.98787454850905454</v>
      </c>
      <c r="BD69">
        <f t="shared" si="28"/>
        <v>-123.39895761736335</v>
      </c>
      <c r="BF69">
        <f t="shared" si="29"/>
        <v>10.787840002656754</v>
      </c>
      <c r="BG69">
        <f t="shared" si="30"/>
        <v>-116.48217499836568</v>
      </c>
      <c r="BH69">
        <f t="shared" si="45"/>
        <v>63.517825001634321</v>
      </c>
      <c r="BI69">
        <f t="shared" si="46"/>
        <v>63.517825001634321</v>
      </c>
      <c r="BJ69">
        <f t="shared" si="31"/>
        <v>0</v>
      </c>
      <c r="BK69">
        <f t="shared" si="47"/>
        <v>0</v>
      </c>
      <c r="BM69">
        <f t="shared" si="48"/>
        <v>0.24635975787498471</v>
      </c>
      <c r="BN69">
        <f t="shared" si="32"/>
        <v>-173.08321738100236</v>
      </c>
      <c r="BQ69" s="56">
        <f t="shared" si="49"/>
        <v>27.443441045066908</v>
      </c>
      <c r="BR69" s="59"/>
      <c r="BS69" s="59"/>
      <c r="BT69" s="59">
        <v>389.04500000000002</v>
      </c>
      <c r="BU69" s="59">
        <v>22.955200000000001</v>
      </c>
      <c r="BV69" s="59">
        <v>-266.06720000000001</v>
      </c>
      <c r="BW69" s="61"/>
      <c r="BY69" s="59"/>
      <c r="BZ69" s="59"/>
      <c r="CA69" s="59"/>
      <c r="CC69" s="59"/>
    </row>
    <row r="70" spans="1:81" x14ac:dyDescent="0.25">
      <c r="A70">
        <f t="shared" si="54"/>
        <v>18000</v>
      </c>
      <c r="B70">
        <f t="shared" si="33"/>
        <v>18</v>
      </c>
      <c r="C70">
        <f t="shared" si="0"/>
        <v>1.0001165512616914</v>
      </c>
      <c r="D70">
        <f t="shared" si="1"/>
        <v>1.5266954028438778E-2</v>
      </c>
      <c r="F70">
        <f t="shared" si="2"/>
        <v>6.4592834563752616E-2</v>
      </c>
      <c r="G70">
        <f t="shared" si="3"/>
        <v>0.10256386006337843</v>
      </c>
      <c r="H70">
        <f t="shared" si="4"/>
        <v>-3.039028789936622</v>
      </c>
      <c r="J70">
        <f t="shared" si="5"/>
        <v>15</v>
      </c>
      <c r="M70">
        <f t="shared" si="6"/>
        <v>0.14831490359947777</v>
      </c>
      <c r="N70">
        <f t="shared" si="7"/>
        <v>-1.5707963250000001</v>
      </c>
      <c r="O70">
        <f t="shared" si="8"/>
        <v>4.9538568507991787</v>
      </c>
      <c r="P70">
        <f t="shared" si="9"/>
        <v>1.3675367028784295</v>
      </c>
      <c r="Q70">
        <f t="shared" si="10"/>
        <v>4.7031386275991176</v>
      </c>
      <c r="R70">
        <f t="shared" si="11"/>
        <v>1.3565367758573152</v>
      </c>
      <c r="S70">
        <f t="shared" si="12"/>
        <v>0.99323155218245229</v>
      </c>
      <c r="T70">
        <f t="shared" si="13"/>
        <v>-0.11641389043442152</v>
      </c>
      <c r="U70">
        <f t="shared" si="14"/>
        <v>0.99984552061666421</v>
      </c>
      <c r="V70">
        <f t="shared" si="15"/>
        <v>-1.7577449235478687E-2</v>
      </c>
      <c r="X70">
        <f t="shared" si="34"/>
        <v>10.436513127534859</v>
      </c>
      <c r="Y70">
        <f t="shared" si="16"/>
        <v>-114.848016317972</v>
      </c>
      <c r="Z70">
        <f t="shared" si="35"/>
        <v>65.151983682028003</v>
      </c>
      <c r="AC70">
        <v>1</v>
      </c>
      <c r="AD70">
        <f t="shared" si="17"/>
        <v>4.8518756886600007</v>
      </c>
      <c r="AE70">
        <f t="shared" si="18"/>
        <v>-6.584810544953833E-6</v>
      </c>
      <c r="AF70">
        <f t="shared" si="19"/>
        <v>3.7457837484479998E-4</v>
      </c>
      <c r="AG70">
        <f t="shared" si="36"/>
        <v>12901.98065497917</v>
      </c>
      <c r="AH70">
        <f t="shared" si="37"/>
        <v>-2896.4755339045673</v>
      </c>
      <c r="AJ70">
        <f t="shared" si="20"/>
        <v>18000</v>
      </c>
      <c r="AK70">
        <f t="shared" si="21"/>
        <v>2104.9676064648002</v>
      </c>
      <c r="AL70">
        <v>1</v>
      </c>
      <c r="AM70">
        <f t="shared" si="22"/>
        <v>4.5955971266436002</v>
      </c>
      <c r="AN70">
        <f t="shared" si="38"/>
        <v>1251.093690262669</v>
      </c>
      <c r="AO70">
        <f t="shared" si="39"/>
        <v>-3644.5549616682597</v>
      </c>
      <c r="AQ70">
        <f t="shared" si="23"/>
        <v>7.7101002313030067</v>
      </c>
      <c r="AR70">
        <f t="shared" si="24"/>
        <v>-277.56360832690825</v>
      </c>
      <c r="AT70">
        <f t="shared" si="52"/>
        <v>-704480.63658893795</v>
      </c>
      <c r="AU70">
        <f t="shared" si="53"/>
        <v>-3603452.4218439069</v>
      </c>
      <c r="AV70">
        <f t="shared" si="42"/>
        <v>-1.7638627633534212</v>
      </c>
      <c r="AW70">
        <f t="shared" si="25"/>
        <v>-986128.8843704029</v>
      </c>
      <c r="AX70">
        <f t="shared" si="26"/>
        <v>-397022.37423025444</v>
      </c>
      <c r="AY70">
        <f t="shared" si="50"/>
        <v>-2.7588409002786851</v>
      </c>
      <c r="BA70">
        <f t="shared" si="27"/>
        <v>3.4538992262645731</v>
      </c>
      <c r="BB70">
        <f t="shared" si="43"/>
        <v>10.766193241839693</v>
      </c>
      <c r="BC70">
        <f t="shared" si="44"/>
        <v>0.99497813692526393</v>
      </c>
      <c r="BD70">
        <f t="shared" si="28"/>
        <v>-122.99195198125145</v>
      </c>
      <c r="BF70">
        <f t="shared" si="29"/>
        <v>10.492717582374318</v>
      </c>
      <c r="BG70">
        <f t="shared" si="30"/>
        <v>-116.24074362948532</v>
      </c>
      <c r="BH70">
        <f t="shared" si="45"/>
        <v>63.759256370514677</v>
      </c>
      <c r="BI70">
        <f t="shared" si="46"/>
        <v>63.759256370514677</v>
      </c>
      <c r="BJ70">
        <f t="shared" si="31"/>
        <v>0</v>
      </c>
      <c r="BK70">
        <f t="shared" si="47"/>
        <v>0</v>
      </c>
      <c r="BM70">
        <f t="shared" si="48"/>
        <v>-0.27347565946537472</v>
      </c>
      <c r="BN70">
        <f t="shared" si="32"/>
        <v>-173.24879164823389</v>
      </c>
      <c r="BQ70" s="56">
        <f t="shared" si="49"/>
        <v>27.668154042124829</v>
      </c>
      <c r="BR70" s="59"/>
      <c r="BS70" s="59"/>
      <c r="BT70" s="59">
        <v>398.10700000000003</v>
      </c>
      <c r="BU70" s="59">
        <v>22.738499999999998</v>
      </c>
      <c r="BV70" s="59">
        <v>-265.2319</v>
      </c>
      <c r="BW70" s="61"/>
      <c r="BY70" s="59"/>
      <c r="BZ70" s="59"/>
      <c r="CA70" s="59"/>
      <c r="CC70" s="59"/>
    </row>
    <row r="71" spans="1:81" x14ac:dyDescent="0.25">
      <c r="A71">
        <f t="shared" si="54"/>
        <v>18500</v>
      </c>
      <c r="B71">
        <f t="shared" si="33"/>
        <v>18.5</v>
      </c>
      <c r="C71">
        <f t="shared" si="0"/>
        <v>1.000123115859235</v>
      </c>
      <c r="D71">
        <f t="shared" si="1"/>
        <v>1.5690967420743929E-2</v>
      </c>
      <c r="F71">
        <f t="shared" si="2"/>
        <v>6.0951738181336597E-2</v>
      </c>
      <c r="G71">
        <f t="shared" si="3"/>
        <v>9.9460335237565423E-2</v>
      </c>
      <c r="H71">
        <f t="shared" si="4"/>
        <v>-3.0421323147624348</v>
      </c>
      <c r="J71">
        <f t="shared" si="5"/>
        <v>15</v>
      </c>
      <c r="M71">
        <f t="shared" si="6"/>
        <v>0.14430639269138376</v>
      </c>
      <c r="N71">
        <f t="shared" si="7"/>
        <v>-1.5707963250000001</v>
      </c>
      <c r="O71">
        <f t="shared" si="8"/>
        <v>5.0859294485466169</v>
      </c>
      <c r="P71">
        <f t="shared" si="9"/>
        <v>1.3728859843612133</v>
      </c>
      <c r="Q71">
        <f t="shared" si="10"/>
        <v>4.8279514440313491</v>
      </c>
      <c r="R71">
        <f t="shared" si="11"/>
        <v>1.3621587787225706</v>
      </c>
      <c r="S71">
        <f t="shared" si="12"/>
        <v>0.99285438163268036</v>
      </c>
      <c r="T71">
        <f t="shared" si="13"/>
        <v>-0.11961726127428364</v>
      </c>
      <c r="U71">
        <f t="shared" si="14"/>
        <v>0.99983682136135354</v>
      </c>
      <c r="V71">
        <f t="shared" si="15"/>
        <v>-1.8065606921304784E-2</v>
      </c>
      <c r="X71">
        <f t="shared" si="34"/>
        <v>10.147285966067008</v>
      </c>
      <c r="Y71">
        <f t="shared" si="16"/>
        <v>-114.5844417294614</v>
      </c>
      <c r="Z71">
        <f t="shared" si="35"/>
        <v>65.415558270538597</v>
      </c>
      <c r="AC71">
        <v>1</v>
      </c>
      <c r="AD71">
        <f t="shared" si="17"/>
        <v>4.9866500133449998</v>
      </c>
      <c r="AE71">
        <f t="shared" si="18"/>
        <v>-6.9557142253408922E-6</v>
      </c>
      <c r="AF71">
        <f t="shared" si="19"/>
        <v>3.8498332970159999E-4</v>
      </c>
      <c r="AG71">
        <f t="shared" si="36"/>
        <v>12901.756146026237</v>
      </c>
      <c r="AH71">
        <f t="shared" si="37"/>
        <v>-2830.6184831469213</v>
      </c>
      <c r="AJ71">
        <f t="shared" si="20"/>
        <v>18000</v>
      </c>
      <c r="AK71">
        <f t="shared" si="21"/>
        <v>2163.4389288666002</v>
      </c>
      <c r="AL71">
        <v>1</v>
      </c>
      <c r="AM71">
        <f t="shared" si="22"/>
        <v>4.7232526023836998</v>
      </c>
      <c r="AN71">
        <f t="shared" si="38"/>
        <v>1210.6194668569985</v>
      </c>
      <c r="AO71">
        <f t="shared" si="39"/>
        <v>-3554.6226184620846</v>
      </c>
      <c r="AQ71">
        <f t="shared" si="23"/>
        <v>7.2992700729927007</v>
      </c>
      <c r="AR71">
        <f t="shared" si="24"/>
        <v>-270.07299270072991</v>
      </c>
      <c r="AT71">
        <f t="shared" si="52"/>
        <v>-670300.20241175068</v>
      </c>
      <c r="AU71">
        <f t="shared" si="53"/>
        <v>-3505077.3422344355</v>
      </c>
      <c r="AV71">
        <f t="shared" si="42"/>
        <v>-1.7597518269626198</v>
      </c>
      <c r="AW71">
        <f t="shared" si="25"/>
        <v>-935399.07195703045</v>
      </c>
      <c r="AX71">
        <f t="shared" si="26"/>
        <v>-374004.8617475811</v>
      </c>
      <c r="AY71">
        <f t="shared" si="50"/>
        <v>-2.7612289187715877</v>
      </c>
      <c r="BA71">
        <f t="shared" si="27"/>
        <v>3.5423877319638373</v>
      </c>
      <c r="BB71">
        <f t="shared" si="43"/>
        <v>10.985921902956118</v>
      </c>
      <c r="BC71">
        <f t="shared" si="44"/>
        <v>1.0014770918089679</v>
      </c>
      <c r="BD71">
        <f t="shared" si="28"/>
        <v>-122.61958929474379</v>
      </c>
      <c r="BF71">
        <f t="shared" si="29"/>
        <v>10.208538290085924</v>
      </c>
      <c r="BG71">
        <f t="shared" si="30"/>
        <v>-116.02190563945014</v>
      </c>
      <c r="BH71">
        <f t="shared" si="45"/>
        <v>63.978094360549861</v>
      </c>
      <c r="BI71">
        <f t="shared" si="46"/>
        <v>63.978094360549861</v>
      </c>
      <c r="BJ71">
        <f t="shared" si="31"/>
        <v>0</v>
      </c>
      <c r="BK71">
        <f t="shared" si="47"/>
        <v>0</v>
      </c>
      <c r="BM71">
        <f t="shared" si="48"/>
        <v>-0.7773836128701912</v>
      </c>
      <c r="BN71">
        <f t="shared" si="32"/>
        <v>-173.40231634470635</v>
      </c>
      <c r="BQ71" s="56">
        <f t="shared" si="49"/>
        <v>27.887882703241253</v>
      </c>
      <c r="BR71" s="59"/>
      <c r="BS71" s="59"/>
      <c r="BT71" s="59">
        <v>407.38</v>
      </c>
      <c r="BU71" s="59">
        <v>22.7593</v>
      </c>
      <c r="BV71" s="59">
        <v>-265.7319</v>
      </c>
      <c r="BW71" s="61"/>
      <c r="BY71" s="59"/>
      <c r="BZ71" s="59"/>
      <c r="CA71" s="59"/>
      <c r="CC71" s="59"/>
    </row>
    <row r="72" spans="1:81" x14ac:dyDescent="0.25">
      <c r="A72">
        <f t="shared" si="54"/>
        <v>19000</v>
      </c>
      <c r="B72">
        <f t="shared" si="33"/>
        <v>19</v>
      </c>
      <c r="C72">
        <f t="shared" si="0"/>
        <v>1.0001298602638906</v>
      </c>
      <c r="D72">
        <f t="shared" si="1"/>
        <v>1.6114975170586306E-2</v>
      </c>
      <c r="F72">
        <f t="shared" si="2"/>
        <v>5.7614901237613488E-2</v>
      </c>
      <c r="G72">
        <f t="shared" si="3"/>
        <v>9.6547083640290327E-2</v>
      </c>
      <c r="H72">
        <f t="shared" si="4"/>
        <v>-3.0450455663597098</v>
      </c>
      <c r="J72">
        <f t="shared" si="5"/>
        <v>15</v>
      </c>
      <c r="M72">
        <f t="shared" si="6"/>
        <v>0.14050885604161051</v>
      </c>
      <c r="N72">
        <f t="shared" si="7"/>
        <v>-1.5707963250000001</v>
      </c>
      <c r="O72">
        <f t="shared" si="8"/>
        <v>5.2181402098991203</v>
      </c>
      <c r="P72">
        <f t="shared" si="9"/>
        <v>1.3779643381763469</v>
      </c>
      <c r="Q72">
        <f t="shared" si="10"/>
        <v>4.9529091635529454</v>
      </c>
      <c r="R72">
        <f t="shared" si="11"/>
        <v>1.3674972665229319</v>
      </c>
      <c r="S72">
        <f t="shared" si="12"/>
        <v>0.99246732479637811</v>
      </c>
      <c r="T72">
        <f t="shared" si="13"/>
        <v>-0.1228181673192222</v>
      </c>
      <c r="U72">
        <f t="shared" si="14"/>
        <v>0.99982788400675981</v>
      </c>
      <c r="V72">
        <f t="shared" si="15"/>
        <v>-1.8553755996353331E-2</v>
      </c>
      <c r="X72">
        <f t="shared" si="34"/>
        <v>9.8680748387939552</v>
      </c>
      <c r="Y72">
        <f t="shared" si="16"/>
        <v>-114.34159112416295</v>
      </c>
      <c r="Z72">
        <f t="shared" si="35"/>
        <v>65.658408875837054</v>
      </c>
      <c r="AC72">
        <v>1</v>
      </c>
      <c r="AD72">
        <f t="shared" si="17"/>
        <v>5.1214243380299997</v>
      </c>
      <c r="AE72">
        <f t="shared" si="18"/>
        <v>-7.3367796503960915E-6</v>
      </c>
      <c r="AF72">
        <f t="shared" si="19"/>
        <v>3.9538828455839994E-4</v>
      </c>
      <c r="AG72">
        <f t="shared" si="36"/>
        <v>12901.525494280389</v>
      </c>
      <c r="AH72">
        <f t="shared" si="37"/>
        <v>-2768.5586357929101</v>
      </c>
      <c r="AJ72">
        <f t="shared" si="20"/>
        <v>18000</v>
      </c>
      <c r="AK72">
        <f t="shared" si="21"/>
        <v>2221.9102512683999</v>
      </c>
      <c r="AL72">
        <v>1</v>
      </c>
      <c r="AM72">
        <f t="shared" si="22"/>
        <v>4.8509080781237994</v>
      </c>
      <c r="AN72">
        <f t="shared" si="38"/>
        <v>1173.1246046738938</v>
      </c>
      <c r="AO72">
        <f t="shared" si="39"/>
        <v>-3468.8093701899807</v>
      </c>
      <c r="AQ72">
        <f t="shared" si="23"/>
        <v>6.9204152249134951</v>
      </c>
      <c r="AR72">
        <f t="shared" si="24"/>
        <v>-262.97577854671277</v>
      </c>
      <c r="AT72">
        <f t="shared" si="52"/>
        <v>-638779.94924463797</v>
      </c>
      <c r="AU72">
        <f t="shared" si="53"/>
        <v>-3411948.2866328559</v>
      </c>
      <c r="AV72">
        <f t="shared" si="42"/>
        <v>-1.7558723541568773</v>
      </c>
      <c r="AW72">
        <f t="shared" si="25"/>
        <v>-888367.91945650615</v>
      </c>
      <c r="AX72">
        <f t="shared" si="26"/>
        <v>-353079.89669071604</v>
      </c>
      <c r="AY72">
        <f t="shared" si="50"/>
        <v>-2.7632883624287139</v>
      </c>
      <c r="BA72">
        <f t="shared" si="27"/>
        <v>3.6311377748091362</v>
      </c>
      <c r="BB72">
        <f t="shared" si="43"/>
        <v>11.200854549748861</v>
      </c>
      <c r="BC72">
        <f t="shared" si="44"/>
        <v>1.0074160082718366</v>
      </c>
      <c r="BD72">
        <f t="shared" si="28"/>
        <v>-122.27931444615183</v>
      </c>
      <c r="BF72">
        <f t="shared" si="29"/>
        <v>9.9345040447915718</v>
      </c>
      <c r="BG72">
        <f t="shared" si="30"/>
        <v>-115.82425395765793</v>
      </c>
      <c r="BH72">
        <f t="shared" si="45"/>
        <v>64.17574604234207</v>
      </c>
      <c r="BI72">
        <f t="shared" si="46"/>
        <v>64.17574604234207</v>
      </c>
      <c r="BJ72">
        <f t="shared" si="31"/>
        <v>0</v>
      </c>
      <c r="BK72">
        <f t="shared" si="47"/>
        <v>0</v>
      </c>
      <c r="BM72">
        <f t="shared" si="48"/>
        <v>-1.2663505049572921</v>
      </c>
      <c r="BN72">
        <f t="shared" si="32"/>
        <v>-173.5449395115061</v>
      </c>
      <c r="BQ72" s="56">
        <f t="shared" si="49"/>
        <v>28.102815350034</v>
      </c>
      <c r="BR72" s="59"/>
      <c r="BS72" s="59"/>
      <c r="BT72" s="59">
        <v>416.86900000000003</v>
      </c>
      <c r="BU72" s="59">
        <v>22.4206</v>
      </c>
      <c r="BV72" s="59">
        <v>-265.24939999999998</v>
      </c>
      <c r="BW72" s="61"/>
      <c r="BY72" s="59"/>
      <c r="BZ72" s="59"/>
      <c r="CA72" s="59"/>
      <c r="CC72" s="59"/>
    </row>
    <row r="73" spans="1:81" x14ac:dyDescent="0.25">
      <c r="A73">
        <f t="shared" si="54"/>
        <v>19500</v>
      </c>
      <c r="B73">
        <f t="shared" si="33"/>
        <v>19.5</v>
      </c>
      <c r="C73">
        <f t="shared" ref="C73:C136" si="55">SQRT((A73/Fesr)^2+1)</f>
        <v>1.000136784472021</v>
      </c>
      <c r="D73">
        <f t="shared" ref="D73:D136" si="56">ATAN(A73/Fesr)</f>
        <v>1.6538977125623223E-2</v>
      </c>
      <c r="F73">
        <f t="shared" ref="F73:F136" si="57">(Ro/(Ro+Rdcr))/SQRT((A73/(Q*Fo))^2+(1-(A73^2/Fo^2))^2)</f>
        <v>5.4548872572739736E-2</v>
      </c>
      <c r="G73">
        <f t="shared" ref="G73:G136" si="58">-ATAN(A73*Fo/(Q*(Fo^2-A73^2)))</f>
        <v>9.3806589183456496E-2</v>
      </c>
      <c r="H73">
        <f t="shared" ref="H73:H136" si="59">IF(G73&gt;0,G73-Pi,G73)</f>
        <v>-3.0477860608165437</v>
      </c>
      <c r="J73">
        <f t="shared" ref="J73:J136" si="60">Vin/Vramp</f>
        <v>15</v>
      </c>
      <c r="M73">
        <f t="shared" ref="M73:M136" si="61">1/(2*Pi*_Rfb1*(Cc1ea_u+Cc2ea_u)*A73)</f>
        <v>0.13690606486105639</v>
      </c>
      <c r="N73">
        <f t="shared" ref="N73:N136" si="62">-Pi/2</f>
        <v>-1.5707963250000001</v>
      </c>
      <c r="O73">
        <f t="shared" ref="O73:O136" si="63">SQRT(1+(A73/Fz1_u)^2)</f>
        <v>5.3504788927652971</v>
      </c>
      <c r="P73">
        <f t="shared" ref="P73:P136" si="64">ATAN2(Fz1_u,A73)</f>
        <v>1.3827915955170929</v>
      </c>
      <c r="Q73">
        <f t="shared" ref="Q73:Q136" si="65">SQRT(1+(A73/Fz2_u)^2)</f>
        <v>5.0780010889977119</v>
      </c>
      <c r="R73">
        <f t="shared" ref="R73:R136" si="66">ATAN2(Fz2_u,A73)</f>
        <v>1.372572875541711</v>
      </c>
      <c r="S73">
        <f t="shared" ref="S73:S136" si="67">1/SQRT(1+(A73/Fp1_u)^2)</f>
        <v>0.99207041701091869</v>
      </c>
      <c r="T73">
        <f t="shared" ref="T73:T136" si="68">-ATAN2(Fp1_u,A73)</f>
        <v>-0.12601654589819655</v>
      </c>
      <c r="U73">
        <f t="shared" ref="U73:U136" si="69">1/SQRT(1+(A73/Fp2_u)^2)</f>
        <v>0.99981870857204536</v>
      </c>
      <c r="V73">
        <f t="shared" ref="V73:V136" si="70">-ATAN2(Fp2_u,A73)</f>
        <v>-1.9041896228216809E-2</v>
      </c>
      <c r="X73">
        <f t="shared" si="34"/>
        <v>9.5981665887601846</v>
      </c>
      <c r="Y73">
        <f t="shared" ref="Y73:Y136" si="71">(180/Pi)*(D73+H73+N73+P73+R73+T73+V73)</f>
        <v>-114.11814588900803</v>
      </c>
      <c r="Z73">
        <f t="shared" si="35"/>
        <v>65.881854110991966</v>
      </c>
      <c r="AC73">
        <v>1</v>
      </c>
      <c r="AD73">
        <f t="shared" ref="AD73:AD136" si="72">Rcea1_u*Cc1ea_u*A73*2*Pi</f>
        <v>5.2561986627150006</v>
      </c>
      <c r="AE73">
        <f t="shared" ref="AE73:AE136" si="73">-Rcea1_u*Cc1ea_u*Cc2ea_u*(A73*2*Pi)^2</f>
        <v>-7.7280068201194301E-6</v>
      </c>
      <c r="AF73">
        <f t="shared" ref="AF73:AF136" si="74">(Cc2ea_u+Cc1ea_u)*A73*2*Pi</f>
        <v>4.0579323941519995E-4</v>
      </c>
      <c r="AG73">
        <f t="shared" si="36"/>
        <v>12901.288700400952</v>
      </c>
      <c r="AH73">
        <f t="shared" si="37"/>
        <v>-2710.003864652449</v>
      </c>
      <c r="AJ73">
        <f t="shared" ref="AJ73:AJ136" si="75">_Rfb1</f>
        <v>18000</v>
      </c>
      <c r="AK73">
        <f t="shared" ref="AK73:AK136" si="76">_Rfb1*Rcea2_u*Cc3ea_u*A73*2*Pi</f>
        <v>2280.3815736702004</v>
      </c>
      <c r="AL73">
        <v>1</v>
      </c>
      <c r="AM73">
        <f t="shared" ref="AM73:AM136" si="77">(_Rfb1+Rcea2_u)*Cc3ea_u*A73*2*Pi</f>
        <v>4.9785635538638999</v>
      </c>
      <c r="AN73">
        <f t="shared" si="38"/>
        <v>1138.3276344648059</v>
      </c>
      <c r="AO73">
        <f t="shared" si="39"/>
        <v>-3386.8548996323902</v>
      </c>
      <c r="AQ73">
        <f t="shared" ref="AQ73:AQ136" si="78">Eadcg/(1+(Eadcg*A73/GBP)^2)</f>
        <v>6.5703022339027592</v>
      </c>
      <c r="AR73">
        <f t="shared" ref="AR73:AR136" si="79">-(A73*Eadcg*Eadcg/GBP)/(1+(Eadcg*A73/GBP)^2)</f>
        <v>-256.2417871222076</v>
      </c>
      <c r="AT73">
        <f t="shared" si="52"/>
        <v>-609650.86741816392</v>
      </c>
      <c r="AU73">
        <f t="shared" si="53"/>
        <v>-3323654.8172160941</v>
      </c>
      <c r="AV73">
        <f t="shared" si="42"/>
        <v>-1.7522075457792397</v>
      </c>
      <c r="AW73">
        <f t="shared" si="25"/>
        <v>-844690.37750717835</v>
      </c>
      <c r="AX73">
        <f t="shared" si="26"/>
        <v>-334005.55424651835</v>
      </c>
      <c r="AY73">
        <f t="shared" si="50"/>
        <v>-2.7650427375231694</v>
      </c>
      <c r="BA73">
        <f t="shared" ref="BA73:BA136" si="80">SQRT(AT73^2+AU73^2)/SQRT(AW73^2+AX73^2)</f>
        <v>3.7201342091354022</v>
      </c>
      <c r="BB73">
        <f t="shared" si="43"/>
        <v>11.411172159119312</v>
      </c>
      <c r="BC73">
        <f t="shared" si="44"/>
        <v>1.0128351917439298</v>
      </c>
      <c r="BD73">
        <f t="shared" ref="BD73:BD136" si="81">BC73*180/Pi-180</f>
        <v>-121.96881810443905</v>
      </c>
      <c r="BF73">
        <f t="shared" ref="BF73:BF136" si="82">20*LOG(BA73*J73*F73*C73)</f>
        <v>9.6699009324100746</v>
      </c>
      <c r="BG73">
        <f t="shared" ref="BG73:BG136" si="83">(180/Pi)*(D73+H73+BC73)</f>
        <v>-115.64648285972348</v>
      </c>
      <c r="BH73">
        <f t="shared" si="45"/>
        <v>64.353517140276523</v>
      </c>
      <c r="BI73">
        <f t="shared" si="46"/>
        <v>64.353517140276523</v>
      </c>
      <c r="BJ73">
        <f t="shared" ref="BJ73:BJ136" si="84">SUM((BF74&lt;0)*(BF73&gt;0))*A73</f>
        <v>0</v>
      </c>
      <c r="BK73">
        <f t="shared" si="47"/>
        <v>0</v>
      </c>
      <c r="BM73">
        <f t="shared" si="48"/>
        <v>-1.7412712267092376</v>
      </c>
      <c r="BN73">
        <f t="shared" ref="BN73:BN136" si="85">(H73+D73)*180/Pi</f>
        <v>-173.67766475528444</v>
      </c>
      <c r="BQ73" s="56">
        <f t="shared" si="49"/>
        <v>28.313132959404449</v>
      </c>
      <c r="BR73" s="59"/>
      <c r="BS73" s="59"/>
      <c r="BT73" s="59">
        <v>426.58</v>
      </c>
      <c r="BU73" s="59">
        <v>22.373699999999999</v>
      </c>
      <c r="BV73" s="59">
        <v>-265.14060000000001</v>
      </c>
      <c r="BW73" s="61"/>
      <c r="BY73" s="59"/>
      <c r="BZ73" s="59"/>
      <c r="CA73" s="59"/>
      <c r="CC73" s="59"/>
    </row>
    <row r="74" spans="1:81" x14ac:dyDescent="0.25">
      <c r="A74">
        <f t="shared" si="54"/>
        <v>20000</v>
      </c>
      <c r="B74">
        <f t="shared" ref="B74:B137" si="86">A74/1000</f>
        <v>20</v>
      </c>
      <c r="C74">
        <f t="shared" si="55"/>
        <v>1.0001438884798917</v>
      </c>
      <c r="D74">
        <f t="shared" si="56"/>
        <v>1.6962973133524496E-2</v>
      </c>
      <c r="F74">
        <f t="shared" si="57"/>
        <v>5.1724730673876992E-2</v>
      </c>
      <c r="G74">
        <f t="shared" si="58"/>
        <v>9.1223466894674088E-2</v>
      </c>
      <c r="H74">
        <f t="shared" si="59"/>
        <v>-3.0503691831053263</v>
      </c>
      <c r="J74">
        <f t="shared" si="60"/>
        <v>15</v>
      </c>
      <c r="M74">
        <f t="shared" si="61"/>
        <v>0.13348341323952997</v>
      </c>
      <c r="N74">
        <f t="shared" si="62"/>
        <v>-1.5707963250000001</v>
      </c>
      <c r="O74">
        <f t="shared" si="63"/>
        <v>5.4829362344346562</v>
      </c>
      <c r="P74">
        <f t="shared" si="64"/>
        <v>1.3873857208789737</v>
      </c>
      <c r="Q74">
        <f t="shared" si="65"/>
        <v>5.2032175409346486</v>
      </c>
      <c r="R74">
        <f t="shared" si="66"/>
        <v>1.3774043130295035</v>
      </c>
      <c r="S74">
        <f t="shared" si="67"/>
        <v>0.99166369443630775</v>
      </c>
      <c r="T74">
        <f t="shared" si="68"/>
        <v>-0.12921233464593046</v>
      </c>
      <c r="U74">
        <f t="shared" si="69"/>
        <v>0.99980929507688299</v>
      </c>
      <c r="V74">
        <f t="shared" si="70"/>
        <v>-1.9530027384512979E-2</v>
      </c>
      <c r="X74">
        <f t="shared" ref="X74:X137" si="87">20*LOG(C74*J74*O74*Q74*F74*M74*S74*U74)</f>
        <v>9.3369209657437242</v>
      </c>
      <c r="Y74">
        <f t="shared" si="71"/>
        <v>-113.91288280384735</v>
      </c>
      <c r="Z74">
        <f t="shared" ref="Z74:Z137" si="88">Y74+180</f>
        <v>66.087117196152647</v>
      </c>
      <c r="AC74">
        <v>1</v>
      </c>
      <c r="AD74">
        <f t="shared" si="72"/>
        <v>5.3909729874000005</v>
      </c>
      <c r="AE74">
        <f t="shared" si="73"/>
        <v>-8.1293957345109053E-6</v>
      </c>
      <c r="AF74">
        <f t="shared" si="74"/>
        <v>4.1619819427199996E-4</v>
      </c>
      <c r="AG74">
        <f t="shared" ref="AG74:AG137" si="89">AC74*AE74/(AE74^2+AF74^2)+AD74*AF74/(AE74^2+AF74^2)</f>
        <v>12901.045765064757</v>
      </c>
      <c r="AH74">
        <f t="shared" ref="AH74:AH137" si="90">AD74*AE74/(AE74^2+AF74^2)-AC74*AF74/(AE74^2+AF74^2)</f>
        <v>-2654.6912543574645</v>
      </c>
      <c r="AJ74">
        <f t="shared" si="75"/>
        <v>18000</v>
      </c>
      <c r="AK74">
        <f t="shared" si="76"/>
        <v>2338.852896072</v>
      </c>
      <c r="AL74">
        <v>1</v>
      </c>
      <c r="AM74">
        <f t="shared" si="77"/>
        <v>5.1062190296040004</v>
      </c>
      <c r="AN74">
        <f t="shared" ref="AN74:AN137" si="91">AJ74*AL74/(AL74^2+AM74^2)+AK74*AM74/(AL74^2+AM74^2)</f>
        <v>1105.9791039950387</v>
      </c>
      <c r="AO74">
        <f t="shared" ref="AO74:AO137" si="92">AK74*AL74/(AL74^2+AM74^2)-AJ74*AM74/(AL74^2+AM74^2)</f>
        <v>-3308.5186510918493</v>
      </c>
      <c r="AQ74">
        <f t="shared" si="78"/>
        <v>6.2460961898813245</v>
      </c>
      <c r="AR74">
        <f t="shared" si="79"/>
        <v>-249.84384759525295</v>
      </c>
      <c r="AT74">
        <f t="shared" si="52"/>
        <v>-582677.10436748166</v>
      </c>
      <c r="AU74">
        <f t="shared" si="53"/>
        <v>-3239828.3688753759</v>
      </c>
      <c r="AV74">
        <f t="shared" ref="AV74:AV137" si="93">ATAN2(AT74,AU74)</f>
        <v>-1.748742166476412</v>
      </c>
      <c r="AW74">
        <f t="shared" ref="AW74:AW137" si="94">AG74-AH74*AO74/_Rfb2+AG74*AN74/_Rfb2+AN74-AO74*AR74+AQ74*AN74</f>
        <v>-804060.01376199711</v>
      </c>
      <c r="AX74">
        <f t="shared" ref="AX74:AX137" si="95">AH74+AH74*AN74/_Rfb2+AG74*AO74/_Rfb2+AO74+AO74*AQ74+AN74*AR74</f>
        <v>-316573.06516942929</v>
      </c>
      <c r="AY74">
        <f t="shared" si="50"/>
        <v>-2.7665133197170029</v>
      </c>
      <c r="BA74">
        <f t="shared" si="80"/>
        <v>3.8093634778932821</v>
      </c>
      <c r="BB74">
        <f t="shared" ref="BB74:BB137" si="96">20*LOG(BA74)</f>
        <v>11.617048273969859</v>
      </c>
      <c r="BC74">
        <f t="shared" ref="BC74:BC137" si="97">AV74-AY74</f>
        <v>1.0177711532405909</v>
      </c>
      <c r="BD74">
        <f t="shared" si="81"/>
        <v>-121.68600834251814</v>
      </c>
      <c r="BF74">
        <f t="shared" si="82"/>
        <v>9.4140879248426028</v>
      </c>
      <c r="BG74">
        <f t="shared" si="83"/>
        <v>-115.48738192127423</v>
      </c>
      <c r="BH74">
        <f t="shared" ref="BH74:BH137" si="98">IF(BG74&gt;180,BG74-180,BG74+180)</f>
        <v>64.512618078725765</v>
      </c>
      <c r="BI74">
        <f t="shared" ref="BI74:BI137" si="99">IF(BH74&gt;180,BH74-360,BH74)</f>
        <v>64.512618078725765</v>
      </c>
      <c r="BJ74">
        <f t="shared" si="84"/>
        <v>0</v>
      </c>
      <c r="BK74">
        <f t="shared" ref="BK74:BK137" si="100">IF(BJ74&gt;0,BI74,0)</f>
        <v>0</v>
      </c>
      <c r="BM74">
        <f t="shared" ref="BM74:BM137" si="101">20*LOG(J74*F74*C74)</f>
        <v>-2.2029603491272565</v>
      </c>
      <c r="BN74">
        <f t="shared" si="85"/>
        <v>-173.80137357875608</v>
      </c>
      <c r="BQ74" s="56">
        <f t="shared" ref="BQ74:BQ137" si="102">20*LOG(BA74*7)</f>
        <v>28.519009074254996</v>
      </c>
      <c r="BR74" s="59"/>
      <c r="BS74" s="59"/>
      <c r="BT74" s="59">
        <v>436.51600000000002</v>
      </c>
      <c r="BU74" s="59">
        <v>22.074100000000001</v>
      </c>
      <c r="BV74" s="59">
        <v>-264.9151</v>
      </c>
      <c r="BW74" s="61"/>
      <c r="BY74" s="59"/>
      <c r="BZ74" s="59"/>
      <c r="CA74" s="59"/>
      <c r="CC74" s="59"/>
    </row>
    <row r="75" spans="1:81" x14ac:dyDescent="0.25">
      <c r="A75">
        <f t="shared" si="54"/>
        <v>20500</v>
      </c>
      <c r="B75">
        <f t="shared" si="86"/>
        <v>20.5</v>
      </c>
      <c r="C75">
        <f t="shared" si="55"/>
        <v>1.0001511722836711</v>
      </c>
      <c r="D75">
        <f t="shared" si="56"/>
        <v>1.7386963041972774E-2</v>
      </c>
      <c r="F75">
        <f t="shared" si="57"/>
        <v>4.911735942424135E-2</v>
      </c>
      <c r="G75">
        <f t="shared" si="58"/>
        <v>8.8784143927632675E-2</v>
      </c>
      <c r="H75">
        <f t="shared" si="59"/>
        <v>-3.0528085060723678</v>
      </c>
      <c r="J75">
        <f t="shared" si="60"/>
        <v>15</v>
      </c>
      <c r="M75">
        <f t="shared" si="61"/>
        <v>0.13022772023368778</v>
      </c>
      <c r="N75">
        <f t="shared" si="62"/>
        <v>-1.5707963250000001</v>
      </c>
      <c r="O75">
        <f t="shared" si="63"/>
        <v>5.6155038382156421</v>
      </c>
      <c r="P75">
        <f t="shared" si="64"/>
        <v>1.3917630240593342</v>
      </c>
      <c r="Q75">
        <f t="shared" si="65"/>
        <v>5.3285497405664657</v>
      </c>
      <c r="R75">
        <f t="shared" si="66"/>
        <v>1.3820085744615762</v>
      </c>
      <c r="S75">
        <f t="shared" si="67"/>
        <v>0.99124719404622641</v>
      </c>
      <c r="T75">
        <f t="shared" si="68"/>
        <v>-0.13240547150969773</v>
      </c>
      <c r="U75">
        <f t="shared" si="69"/>
        <v>0.99979964354145423</v>
      </c>
      <c r="V75">
        <f t="shared" si="70"/>
        <v>-2.0018149232885533E-2</v>
      </c>
      <c r="X75">
        <f t="shared" si="87"/>
        <v>9.0837611442881894</v>
      </c>
      <c r="Y75">
        <f t="shared" si="71"/>
        <v>-113.72466772398776</v>
      </c>
      <c r="Z75">
        <f t="shared" si="88"/>
        <v>66.275332276012236</v>
      </c>
      <c r="AC75">
        <v>1</v>
      </c>
      <c r="AD75">
        <f t="shared" si="72"/>
        <v>5.5257473120850005</v>
      </c>
      <c r="AE75">
        <f t="shared" si="73"/>
        <v>-8.5409463935705189E-6</v>
      </c>
      <c r="AF75">
        <f t="shared" si="74"/>
        <v>4.2660314912879997E-4</v>
      </c>
      <c r="AG75">
        <f t="shared" si="89"/>
        <v>12900.796688966166</v>
      </c>
      <c r="AH75">
        <f t="shared" si="90"/>
        <v>-2602.3835389448218</v>
      </c>
      <c r="AJ75">
        <f t="shared" si="75"/>
        <v>18000</v>
      </c>
      <c r="AK75">
        <f t="shared" si="76"/>
        <v>2397.3242184738001</v>
      </c>
      <c r="AL75">
        <v>1</v>
      </c>
      <c r="AM75">
        <f t="shared" si="77"/>
        <v>5.2338745053441</v>
      </c>
      <c r="AN75">
        <f t="shared" si="91"/>
        <v>1075.8573668105014</v>
      </c>
      <c r="AO75">
        <f t="shared" si="92"/>
        <v>-3233.5782250623192</v>
      </c>
      <c r="AQ75">
        <f t="shared" si="78"/>
        <v>5.9453032104637336</v>
      </c>
      <c r="AR75">
        <f t="shared" si="79"/>
        <v>-243.75743162901307</v>
      </c>
      <c r="AT75">
        <f t="shared" si="52"/>
        <v>-557651.17959436099</v>
      </c>
      <c r="AU75">
        <f t="shared" si="53"/>
        <v>-3160137.0260794149</v>
      </c>
      <c r="AV75">
        <f t="shared" si="93"/>
        <v>-1.745462369590626</v>
      </c>
      <c r="AW75">
        <f t="shared" si="94"/>
        <v>-766204.03833013889</v>
      </c>
      <c r="AX75">
        <f t="shared" si="95"/>
        <v>-300601.62480466854</v>
      </c>
      <c r="AY75">
        <f t="shared" ref="AY75:AY138" si="103">ATAN2(AW75,AX75)</f>
        <v>-2.7677194080966552</v>
      </c>
      <c r="BA75">
        <f t="shared" si="80"/>
        <v>3.8988134145468862</v>
      </c>
      <c r="BB75">
        <f t="shared" si="96"/>
        <v>11.818649033220304</v>
      </c>
      <c r="BC75">
        <f t="shared" si="97"/>
        <v>1.0222570385060292</v>
      </c>
      <c r="BD75">
        <f t="shared" si="81"/>
        <v>-121.42898604913489</v>
      </c>
      <c r="BF75">
        <f t="shared" si="82"/>
        <v>9.1664873979643726</v>
      </c>
      <c r="BG75">
        <f t="shared" si="83"/>
        <v>-115.34582970659349</v>
      </c>
      <c r="BH75">
        <f t="shared" si="98"/>
        <v>64.654170293406509</v>
      </c>
      <c r="BI75">
        <f t="shared" si="99"/>
        <v>64.654170293406509</v>
      </c>
      <c r="BJ75">
        <f t="shared" si="84"/>
        <v>0</v>
      </c>
      <c r="BK75">
        <f t="shared" si="100"/>
        <v>0</v>
      </c>
      <c r="BM75">
        <f t="shared" si="101"/>
        <v>-2.6521616352559314</v>
      </c>
      <c r="BN75">
        <f t="shared" si="85"/>
        <v>-173.91684365745857</v>
      </c>
      <c r="BQ75" s="56">
        <f t="shared" si="102"/>
        <v>28.720609833505439</v>
      </c>
      <c r="BR75" s="59"/>
      <c r="BS75" s="59"/>
      <c r="BT75" s="59">
        <v>446.68400000000003</v>
      </c>
      <c r="BU75" s="59">
        <v>21.761099999999999</v>
      </c>
      <c r="BV75" s="59">
        <v>-265.3082</v>
      </c>
      <c r="BW75" s="61"/>
      <c r="BY75" s="59"/>
      <c r="BZ75" s="59"/>
      <c r="CA75" s="59"/>
      <c r="CC75" s="59"/>
    </row>
    <row r="76" spans="1:81" x14ac:dyDescent="0.25">
      <c r="A76">
        <f t="shared" si="54"/>
        <v>21000</v>
      </c>
      <c r="B76">
        <f t="shared" si="86"/>
        <v>21</v>
      </c>
      <c r="C76">
        <f t="shared" si="55"/>
        <v>1.0001586358794314</v>
      </c>
      <c r="D76">
        <f t="shared" si="56"/>
        <v>1.7810946698663847E-2</v>
      </c>
      <c r="F76">
        <f t="shared" si="57"/>
        <v>4.6704856635233334E-2</v>
      </c>
      <c r="G76">
        <f t="shared" si="58"/>
        <v>8.6476596702545733E-2</v>
      </c>
      <c r="H76">
        <f t="shared" si="59"/>
        <v>-3.0551160532974544</v>
      </c>
      <c r="J76">
        <f t="shared" si="60"/>
        <v>15</v>
      </c>
      <c r="M76">
        <f t="shared" si="61"/>
        <v>0.12712706022812378</v>
      </c>
      <c r="N76">
        <f t="shared" si="62"/>
        <v>-1.5707963250000001</v>
      </c>
      <c r="O76">
        <f t="shared" si="63"/>
        <v>5.7481740753339512</v>
      </c>
      <c r="P76">
        <f t="shared" si="64"/>
        <v>1.395938344255292</v>
      </c>
      <c r="Q76">
        <f t="shared" si="65"/>
        <v>5.4539897082837205</v>
      </c>
      <c r="R76">
        <f t="shared" si="66"/>
        <v>1.3864011324829162</v>
      </c>
      <c r="S76">
        <f t="shared" si="67"/>
        <v>0.99082095361890532</v>
      </c>
      <c r="T76">
        <f t="shared" si="68"/>
        <v>-0.13559589475601583</v>
      </c>
      <c r="U76">
        <f t="shared" si="69"/>
        <v>0.99978975398644998</v>
      </c>
      <c r="V76">
        <f t="shared" si="70"/>
        <v>-2.0506261541004774E-2</v>
      </c>
      <c r="X76">
        <f t="shared" si="87"/>
        <v>8.8381657119299266</v>
      </c>
      <c r="Y76">
        <f t="shared" si="71"/>
        <v>-113.5524492675295</v>
      </c>
      <c r="Z76">
        <f t="shared" si="88"/>
        <v>66.447550732470503</v>
      </c>
      <c r="AC76">
        <v>1</v>
      </c>
      <c r="AD76">
        <f t="shared" si="72"/>
        <v>5.6605216367700004</v>
      </c>
      <c r="AE76">
        <f t="shared" si="73"/>
        <v>-8.9626587972982743E-6</v>
      </c>
      <c r="AF76">
        <f t="shared" si="74"/>
        <v>4.3700810398560004E-4</v>
      </c>
      <c r="AG76">
        <f t="shared" si="89"/>
        <v>12900.541472817049</v>
      </c>
      <c r="AH76">
        <f t="shared" si="90"/>
        <v>-2552.8660483559734</v>
      </c>
      <c r="AJ76">
        <f t="shared" si="75"/>
        <v>18000</v>
      </c>
      <c r="AK76">
        <f t="shared" si="76"/>
        <v>2455.7955408756002</v>
      </c>
      <c r="AL76">
        <v>1</v>
      </c>
      <c r="AM76">
        <f t="shared" si="77"/>
        <v>5.3615299810841996</v>
      </c>
      <c r="AN76">
        <f t="shared" si="91"/>
        <v>1047.7649937203</v>
      </c>
      <c r="AO76">
        <f t="shared" si="92"/>
        <v>-3161.8278860862861</v>
      </c>
      <c r="AQ76">
        <f t="shared" si="78"/>
        <v>5.6657223796033991</v>
      </c>
      <c r="AR76">
        <f t="shared" si="79"/>
        <v>-237.96033994334277</v>
      </c>
      <c r="AT76">
        <f t="shared" si="52"/>
        <v>-534389.98616506415</v>
      </c>
      <c r="AU76">
        <f t="shared" si="53"/>
        <v>-3084281.0646270369</v>
      </c>
      <c r="AV76">
        <f t="shared" si="93"/>
        <v>-1.742355544690436</v>
      </c>
      <c r="AW76">
        <f t="shared" si="94"/>
        <v>-730879.04528480489</v>
      </c>
      <c r="AX76">
        <f t="shared" si="95"/>
        <v>-285934.10887231852</v>
      </c>
      <c r="AY76">
        <f t="shared" si="103"/>
        <v>-2.76867854565173</v>
      </c>
      <c r="BA76">
        <f t="shared" si="80"/>
        <v>3.9884730731302986</v>
      </c>
      <c r="BB76">
        <f t="shared" si="96"/>
        <v>12.016133288003704</v>
      </c>
      <c r="BC76">
        <f t="shared" si="97"/>
        <v>1.026323000961294</v>
      </c>
      <c r="BD76">
        <f t="shared" si="81"/>
        <v>-121.19602356052339</v>
      </c>
      <c r="BF76">
        <f t="shared" si="82"/>
        <v>8.9265771198108226</v>
      </c>
      <c r="BG76">
        <f t="shared" si="83"/>
        <v>-115.22078746101896</v>
      </c>
      <c r="BH76">
        <f t="shared" si="98"/>
        <v>64.779212538981042</v>
      </c>
      <c r="BI76">
        <f t="shared" si="99"/>
        <v>64.779212538981042</v>
      </c>
      <c r="BJ76">
        <f t="shared" si="84"/>
        <v>0</v>
      </c>
      <c r="BK76">
        <f t="shared" si="100"/>
        <v>0</v>
      </c>
      <c r="BM76">
        <f t="shared" si="101"/>
        <v>-3.0895561681928836</v>
      </c>
      <c r="BN76">
        <f t="shared" si="85"/>
        <v>-174.0247639004956</v>
      </c>
      <c r="BQ76" s="56">
        <f t="shared" si="102"/>
        <v>28.918094088288843</v>
      </c>
      <c r="BR76" s="59"/>
      <c r="BS76" s="59"/>
      <c r="BT76" s="59">
        <v>457.08800000000002</v>
      </c>
      <c r="BU76" s="59">
        <v>21.6126</v>
      </c>
      <c r="BV76" s="59">
        <v>-265.65139999999997</v>
      </c>
      <c r="BW76" s="61"/>
      <c r="BY76" s="59"/>
      <c r="BZ76" s="59"/>
      <c r="CA76" s="59"/>
      <c r="CC76" s="59"/>
    </row>
    <row r="77" spans="1:81" x14ac:dyDescent="0.25">
      <c r="A77">
        <f t="shared" si="54"/>
        <v>21500</v>
      </c>
      <c r="B77">
        <f t="shared" si="86"/>
        <v>21.5</v>
      </c>
      <c r="C77">
        <f t="shared" si="55"/>
        <v>1.0001662792631474</v>
      </c>
      <c r="D77">
        <f t="shared" si="56"/>
        <v>1.8234923951306995E-2</v>
      </c>
      <c r="F77">
        <f t="shared" si="57"/>
        <v>4.4468048043603041E-2</v>
      </c>
      <c r="G77">
        <f t="shared" si="58"/>
        <v>8.4290132920089855E-2</v>
      </c>
      <c r="H77">
        <f t="shared" si="59"/>
        <v>-3.0573025170799104</v>
      </c>
      <c r="J77">
        <f t="shared" si="60"/>
        <v>15</v>
      </c>
      <c r="M77">
        <f t="shared" si="61"/>
        <v>0.12417061696700464</v>
      </c>
      <c r="N77">
        <f t="shared" si="62"/>
        <v>-1.5707963250000001</v>
      </c>
      <c r="O77">
        <f t="shared" si="63"/>
        <v>5.880939999766758</v>
      </c>
      <c r="P77">
        <f t="shared" si="64"/>
        <v>1.3999252103984947</v>
      </c>
      <c r="Q77">
        <f t="shared" si="65"/>
        <v>5.5795301755086335</v>
      </c>
      <c r="R77">
        <f t="shared" si="66"/>
        <v>1.3905961016917154</v>
      </c>
      <c r="S77">
        <f t="shared" si="67"/>
        <v>0.99038501172783111</v>
      </c>
      <c r="T77">
        <f t="shared" si="68"/>
        <v>-0.13878354297724574</v>
      </c>
      <c r="U77">
        <f t="shared" si="69"/>
        <v>0.99977962643307083</v>
      </c>
      <c r="V77">
        <f t="shared" si="70"/>
        <v>-2.0994364076568271E-2</v>
      </c>
      <c r="X77">
        <f t="shared" si="87"/>
        <v>8.5996618660631903</v>
      </c>
      <c r="Y77">
        <f t="shared" si="71"/>
        <v>-113.39525267752241</v>
      </c>
      <c r="Z77">
        <f t="shared" si="88"/>
        <v>66.604747322477593</v>
      </c>
      <c r="AC77">
        <v>1</v>
      </c>
      <c r="AD77">
        <f t="shared" si="72"/>
        <v>5.7952959614550004</v>
      </c>
      <c r="AE77">
        <f t="shared" si="73"/>
        <v>-9.3945329456941663E-6</v>
      </c>
      <c r="AF77">
        <f t="shared" si="74"/>
        <v>4.4741305884240005E-4</v>
      </c>
      <c r="AG77">
        <f t="shared" si="89"/>
        <v>12900.280117346778</v>
      </c>
      <c r="AH77">
        <f t="shared" si="90"/>
        <v>-2505.944081006438</v>
      </c>
      <c r="AJ77">
        <f t="shared" si="75"/>
        <v>18000</v>
      </c>
      <c r="AK77">
        <f t="shared" si="76"/>
        <v>2514.2668632774003</v>
      </c>
      <c r="AL77">
        <v>1</v>
      </c>
      <c r="AM77">
        <f t="shared" si="77"/>
        <v>5.4891854568243001</v>
      </c>
      <c r="AN77">
        <f t="shared" si="91"/>
        <v>1021.5257056301936</v>
      </c>
      <c r="AO77">
        <f t="shared" si="92"/>
        <v>-3093.0771838400392</v>
      </c>
      <c r="AQ77">
        <f t="shared" si="78"/>
        <v>5.4054054054054053</v>
      </c>
      <c r="AR77">
        <f t="shared" si="79"/>
        <v>-232.43243243243242</v>
      </c>
      <c r="AT77">
        <f t="shared" si="52"/>
        <v>-512731.4344104327</v>
      </c>
      <c r="AU77">
        <f t="shared" si="53"/>
        <v>-3011989.1304157721</v>
      </c>
      <c r="AV77">
        <f t="shared" si="93"/>
        <v>-1.7394101844574037</v>
      </c>
      <c r="AW77">
        <f t="shared" si="94"/>
        <v>-697867.35770685377</v>
      </c>
      <c r="AX77">
        <f t="shared" si="95"/>
        <v>-272433.52222923608</v>
      </c>
      <c r="AY77">
        <f t="shared" si="103"/>
        <v>-2.7694067112002991</v>
      </c>
      <c r="BA77">
        <f t="shared" si="80"/>
        <v>4.0783325818783291</v>
      </c>
      <c r="BB77">
        <f t="shared" si="96"/>
        <v>12.209652778940557</v>
      </c>
      <c r="BC77">
        <f t="shared" si="97"/>
        <v>1.0299965267428954</v>
      </c>
      <c r="BD77">
        <f t="shared" si="81"/>
        <v>-120.98554603706461</v>
      </c>
      <c r="BF77">
        <f t="shared" si="82"/>
        <v>8.693883447401209</v>
      </c>
      <c r="BG77">
        <f t="shared" si="83"/>
        <v>-115.11129297728253</v>
      </c>
      <c r="BH77">
        <f t="shared" si="98"/>
        <v>64.888707022717469</v>
      </c>
      <c r="BI77">
        <f t="shared" si="99"/>
        <v>64.888707022717469</v>
      </c>
      <c r="BJ77">
        <f t="shared" si="84"/>
        <v>0</v>
      </c>
      <c r="BK77">
        <f t="shared" si="100"/>
        <v>0</v>
      </c>
      <c r="BM77">
        <f t="shared" si="101"/>
        <v>-3.5157693315393477</v>
      </c>
      <c r="BN77">
        <f t="shared" si="85"/>
        <v>-174.12574694021788</v>
      </c>
      <c r="BQ77" s="56">
        <f t="shared" si="102"/>
        <v>29.111613579225693</v>
      </c>
      <c r="BR77" s="58"/>
      <c r="BS77" s="58"/>
      <c r="BT77" s="58">
        <v>467.73500000000001</v>
      </c>
      <c r="BU77" s="58">
        <v>21.3672</v>
      </c>
      <c r="BV77" s="58">
        <v>-265.05009999999999</v>
      </c>
      <c r="BW77" s="61"/>
      <c r="BY77" s="58"/>
      <c r="BZ77" s="58"/>
      <c r="CA77" s="58"/>
      <c r="CC77" s="58"/>
    </row>
    <row r="78" spans="1:81" x14ac:dyDescent="0.25">
      <c r="A78">
        <f t="shared" si="54"/>
        <v>22000</v>
      </c>
      <c r="B78">
        <f t="shared" si="86"/>
        <v>22</v>
      </c>
      <c r="C78">
        <f t="shared" si="55"/>
        <v>1.0001741024306969</v>
      </c>
      <c r="D78">
        <f t="shared" si="56"/>
        <v>1.865889464762531E-2</v>
      </c>
      <c r="F78">
        <f t="shared" si="57"/>
        <v>4.2390085659102759E-2</v>
      </c>
      <c r="G78">
        <f t="shared" si="58"/>
        <v>8.2215209708658213E-2</v>
      </c>
      <c r="H78">
        <f t="shared" si="59"/>
        <v>-3.0593774402913421</v>
      </c>
      <c r="J78">
        <f t="shared" si="60"/>
        <v>15</v>
      </c>
      <c r="M78">
        <f t="shared" si="61"/>
        <v>0.1213485574904818</v>
      </c>
      <c r="N78">
        <f t="shared" si="62"/>
        <v>-1.5707963250000001</v>
      </c>
      <c r="O78">
        <f t="shared" si="63"/>
        <v>6.0137952740811311</v>
      </c>
      <c r="P78">
        <f t="shared" si="64"/>
        <v>1.4037359811874912</v>
      </c>
      <c r="Q78">
        <f t="shared" si="65"/>
        <v>5.7051645078587274</v>
      </c>
      <c r="R78">
        <f t="shared" si="66"/>
        <v>1.3946063827416719</v>
      </c>
      <c r="S78">
        <f t="shared" si="67"/>
        <v>0.98993940773228983</v>
      </c>
      <c r="T78">
        <f t="shared" si="68"/>
        <v>-0.14196835509809622</v>
      </c>
      <c r="U78">
        <f t="shared" si="69"/>
        <v>0.99976926090302554</v>
      </c>
      <c r="V78">
        <f t="shared" si="70"/>
        <v>-2.1482456607301519E-2</v>
      </c>
      <c r="X78">
        <f t="shared" si="87"/>
        <v>8.3678196099722832</v>
      </c>
      <c r="Y78">
        <f t="shared" si="71"/>
        <v>-113.2521739620161</v>
      </c>
      <c r="Z78">
        <f t="shared" si="88"/>
        <v>66.747826037983899</v>
      </c>
      <c r="AC78">
        <v>1</v>
      </c>
      <c r="AD78">
        <f t="shared" si="72"/>
        <v>5.9300702861400003</v>
      </c>
      <c r="AE78">
        <f t="shared" si="73"/>
        <v>-9.8365688387581951E-6</v>
      </c>
      <c r="AF78">
        <f t="shared" si="74"/>
        <v>4.578180136992E-4</v>
      </c>
      <c r="AG78">
        <f t="shared" si="89"/>
        <v>12900.012623302233</v>
      </c>
      <c r="AH78">
        <f t="shared" si="90"/>
        <v>-2461.4406346412648</v>
      </c>
      <c r="AJ78">
        <f t="shared" si="75"/>
        <v>18000</v>
      </c>
      <c r="AK78">
        <f t="shared" si="76"/>
        <v>2572.7381856792003</v>
      </c>
      <c r="AL78">
        <v>1</v>
      </c>
      <c r="AM78">
        <f t="shared" si="77"/>
        <v>5.6168409325643998</v>
      </c>
      <c r="AN78">
        <f t="shared" si="91"/>
        <v>996.98174422442298</v>
      </c>
      <c r="AO78">
        <f t="shared" si="92"/>
        <v>-3027.1496842999891</v>
      </c>
      <c r="AQ78">
        <f t="shared" si="78"/>
        <v>5.1626226122870422</v>
      </c>
      <c r="AR78">
        <f t="shared" si="79"/>
        <v>-227.15539494062983</v>
      </c>
      <c r="AT78">
        <f t="shared" si="52"/>
        <v>-492531.62261700263</v>
      </c>
      <c r="AU78">
        <f t="shared" si="53"/>
        <v>-2943014.95126453</v>
      </c>
      <c r="AV78">
        <f t="shared" si="93"/>
        <v>-1.7366157681679624</v>
      </c>
      <c r="AW78">
        <f t="shared" si="94"/>
        <v>-666973.8826522585</v>
      </c>
      <c r="AX78">
        <f t="shared" si="95"/>
        <v>-259980.04290892836</v>
      </c>
      <c r="AY78">
        <f t="shared" si="103"/>
        <v>-2.7699184869388644</v>
      </c>
      <c r="BA78">
        <f t="shared" si="80"/>
        <v>4.1683830166803668</v>
      </c>
      <c r="BB78">
        <f t="shared" si="96"/>
        <v>12.399352355485128</v>
      </c>
      <c r="BC78">
        <f t="shared" si="97"/>
        <v>1.0333027187709021</v>
      </c>
      <c r="BD78">
        <f t="shared" si="81"/>
        <v>-120.79611518738358</v>
      </c>
      <c r="BF78">
        <f t="shared" si="82"/>
        <v>8.4679755227287536</v>
      </c>
      <c r="BG78">
        <f t="shared" si="83"/>
        <v>-115.01645473900207</v>
      </c>
      <c r="BH78">
        <f t="shared" si="98"/>
        <v>64.983545260997928</v>
      </c>
      <c r="BI78">
        <f t="shared" si="99"/>
        <v>64.983545260997928</v>
      </c>
      <c r="BJ78">
        <f t="shared" si="84"/>
        <v>0</v>
      </c>
      <c r="BK78">
        <f t="shared" si="100"/>
        <v>0</v>
      </c>
      <c r="BM78">
        <f t="shared" si="101"/>
        <v>-3.9313768327563725</v>
      </c>
      <c r="BN78">
        <f t="shared" si="85"/>
        <v>-174.22033955161851</v>
      </c>
      <c r="BQ78" s="56">
        <f t="shared" si="102"/>
        <v>29.301313155770259</v>
      </c>
      <c r="BR78" s="58"/>
      <c r="BS78" s="58"/>
      <c r="BT78" s="58">
        <v>478.63</v>
      </c>
      <c r="BU78" s="58">
        <v>21.195799999999998</v>
      </c>
      <c r="BV78" s="58">
        <v>-264.35129999999998</v>
      </c>
      <c r="BW78" s="61"/>
      <c r="BY78" s="58"/>
      <c r="BZ78" s="58"/>
      <c r="CA78" s="58"/>
      <c r="CC78" s="58"/>
    </row>
    <row r="79" spans="1:81" x14ac:dyDescent="0.25">
      <c r="A79">
        <f t="shared" si="54"/>
        <v>22500</v>
      </c>
      <c r="B79">
        <f t="shared" si="86"/>
        <v>22.5</v>
      </c>
      <c r="C79">
        <f t="shared" si="55"/>
        <v>1.0001821053778619</v>
      </c>
      <c r="D79">
        <f t="shared" si="56"/>
        <v>1.9082858635356019E-2</v>
      </c>
      <c r="F79">
        <f t="shared" si="57"/>
        <v>4.0456114016761788E-2</v>
      </c>
      <c r="G79">
        <f t="shared" si="58"/>
        <v>8.0243281064326002E-2</v>
      </c>
      <c r="H79">
        <f t="shared" si="59"/>
        <v>-3.0613493689356743</v>
      </c>
      <c r="J79">
        <f t="shared" si="60"/>
        <v>15</v>
      </c>
      <c r="M79">
        <f t="shared" si="61"/>
        <v>0.11865192287958222</v>
      </c>
      <c r="N79">
        <f t="shared" si="62"/>
        <v>-1.5707963250000001</v>
      </c>
      <c r="O79">
        <f t="shared" si="63"/>
        <v>6.1467341046650983</v>
      </c>
      <c r="P79">
        <f t="shared" si="64"/>
        <v>1.4073819677214374</v>
      </c>
      <c r="Q79">
        <f t="shared" si="65"/>
        <v>5.8308866379842526</v>
      </c>
      <c r="R79">
        <f t="shared" si="66"/>
        <v>1.3984437886904313</v>
      </c>
      <c r="S79">
        <f t="shared" si="67"/>
        <v>0.98948418176775399</v>
      </c>
      <c r="T79">
        <f t="shared" si="68"/>
        <v>-0.14515027038203121</v>
      </c>
      <c r="U79">
        <f t="shared" si="69"/>
        <v>0.99975865741853243</v>
      </c>
      <c r="V79">
        <f t="shared" si="70"/>
        <v>-2.1970538900958594E-2</v>
      </c>
      <c r="X79">
        <f t="shared" si="87"/>
        <v>8.1422467792349398</v>
      </c>
      <c r="Y79">
        <f t="shared" si="71"/>
        <v>-113.12237436984678</v>
      </c>
      <c r="Z79">
        <f t="shared" si="88"/>
        <v>66.877625630153219</v>
      </c>
      <c r="AC79">
        <v>1</v>
      </c>
      <c r="AD79">
        <f t="shared" si="72"/>
        <v>6.0648446108250003</v>
      </c>
      <c r="AE79">
        <f t="shared" si="73"/>
        <v>-1.0288766476490364E-5</v>
      </c>
      <c r="AF79">
        <f t="shared" si="74"/>
        <v>4.6822296855600001E-4</v>
      </c>
      <c r="AG79">
        <f t="shared" si="89"/>
        <v>12899.738991447779</v>
      </c>
      <c r="AH79">
        <f t="shared" si="90"/>
        <v>-2419.1944397430998</v>
      </c>
      <c r="AJ79">
        <f t="shared" si="75"/>
        <v>18000</v>
      </c>
      <c r="AK79">
        <f t="shared" si="76"/>
        <v>2631.209508081</v>
      </c>
      <c r="AL79">
        <v>1</v>
      </c>
      <c r="AM79">
        <f t="shared" si="77"/>
        <v>5.7444964083045003</v>
      </c>
      <c r="AN79">
        <f t="shared" si="91"/>
        <v>973.99161149622</v>
      </c>
      <c r="AO79">
        <f t="shared" si="92"/>
        <v>-2963.8818058777483</v>
      </c>
      <c r="AQ79">
        <f t="shared" si="78"/>
        <v>4.9358341559723593</v>
      </c>
      <c r="AR79">
        <f t="shared" si="79"/>
        <v>-222.11253701875617</v>
      </c>
      <c r="AT79">
        <f t="shared" si="52"/>
        <v>-473662.442235892</v>
      </c>
      <c r="AU79">
        <f t="shared" si="53"/>
        <v>-2877134.4968158598</v>
      </c>
      <c r="AV79">
        <f t="shared" si="93"/>
        <v>-1.7339626594425952</v>
      </c>
      <c r="AW79">
        <f t="shared" si="94"/>
        <v>-638023.39801562089</v>
      </c>
      <c r="AX79">
        <f t="shared" si="95"/>
        <v>-248468.55178600713</v>
      </c>
      <c r="AY79">
        <f t="shared" si="103"/>
        <v>-2.7702272051181835</v>
      </c>
      <c r="BA79">
        <f t="shared" si="80"/>
        <v>4.2586162912728982</v>
      </c>
      <c r="BB79">
        <f t="shared" si="96"/>
        <v>12.585370222982345</v>
      </c>
      <c r="BC79">
        <f t="shared" si="97"/>
        <v>1.0362645456755883</v>
      </c>
      <c r="BD79">
        <f t="shared" si="81"/>
        <v>-120.62641500590286</v>
      </c>
      <c r="BF79">
        <f t="shared" si="82"/>
        <v>8.2484602991215219</v>
      </c>
      <c r="BG79">
        <f t="shared" si="83"/>
        <v>-114.93544639928137</v>
      </c>
      <c r="BH79">
        <f t="shared" si="98"/>
        <v>65.064553600718625</v>
      </c>
      <c r="BI79">
        <f t="shared" si="99"/>
        <v>65.064553600718625</v>
      </c>
      <c r="BJ79">
        <f t="shared" si="84"/>
        <v>0</v>
      </c>
      <c r="BK79">
        <f t="shared" si="100"/>
        <v>0</v>
      </c>
      <c r="BM79">
        <f t="shared" si="101"/>
        <v>-4.3369099238608211</v>
      </c>
      <c r="BN79">
        <f t="shared" si="85"/>
        <v>-174.30903139337852</v>
      </c>
      <c r="BQ79" s="56">
        <f t="shared" si="102"/>
        <v>29.487331023267483</v>
      </c>
      <c r="BR79" s="59"/>
      <c r="BS79" s="59"/>
      <c r="BT79" s="59">
        <v>489.779</v>
      </c>
      <c r="BU79" s="59">
        <v>20.944800000000001</v>
      </c>
      <c r="BV79" s="59">
        <v>-263.91079999999999</v>
      </c>
      <c r="BW79" s="61"/>
      <c r="BY79" s="59"/>
      <c r="BZ79" s="59"/>
      <c r="CA79" s="59"/>
      <c r="CC79" s="59"/>
    </row>
    <row r="80" spans="1:81" x14ac:dyDescent="0.25">
      <c r="A80">
        <f t="shared" si="54"/>
        <v>23000</v>
      </c>
      <c r="B80">
        <f t="shared" si="86"/>
        <v>23</v>
      </c>
      <c r="C80">
        <f t="shared" si="55"/>
        <v>1.0001902881003266</v>
      </c>
      <c r="D80">
        <f t="shared" si="56"/>
        <v>1.9506815762250808E-2</v>
      </c>
      <c r="F80">
        <f t="shared" si="57"/>
        <v>3.8652991431198498E-2</v>
      </c>
      <c r="G80">
        <f t="shared" si="58"/>
        <v>7.8366669189388241E-2</v>
      </c>
      <c r="H80">
        <f t="shared" si="59"/>
        <v>-3.0632259808106119</v>
      </c>
      <c r="J80">
        <f t="shared" si="60"/>
        <v>15</v>
      </c>
      <c r="M80">
        <f t="shared" si="61"/>
        <v>0.1160725332517652</v>
      </c>
      <c r="N80">
        <f t="shared" si="62"/>
        <v>-1.5707963250000001</v>
      </c>
      <c r="O80">
        <f t="shared" si="63"/>
        <v>6.2797511850020102</v>
      </c>
      <c r="P80">
        <f t="shared" si="64"/>
        <v>1.4108735411793116</v>
      </c>
      <c r="Q80">
        <f t="shared" si="65"/>
        <v>5.9566910066989829</v>
      </c>
      <c r="R80">
        <f t="shared" si="66"/>
        <v>1.4021191560637827</v>
      </c>
      <c r="S80">
        <f t="shared" si="67"/>
        <v>0.98901937473611568</v>
      </c>
      <c r="T80">
        <f t="shared" si="68"/>
        <v>-0.14832922843757881</v>
      </c>
      <c r="U80">
        <f t="shared" si="69"/>
        <v>0.99974781600231855</v>
      </c>
      <c r="V80">
        <f t="shared" si="70"/>
        <v>-2.2458610725322844E-2</v>
      </c>
      <c r="X80">
        <f t="shared" si="87"/>
        <v>7.9225847616800982</v>
      </c>
      <c r="Y80">
        <f t="shared" si="71"/>
        <v>-113.00507522968334</v>
      </c>
      <c r="Z80">
        <f t="shared" si="88"/>
        <v>66.994924770316658</v>
      </c>
      <c r="AC80">
        <v>1</v>
      </c>
      <c r="AD80">
        <f t="shared" si="72"/>
        <v>6.1996189355100002</v>
      </c>
      <c r="AE80">
        <f t="shared" si="73"/>
        <v>-1.0751125858890673E-5</v>
      </c>
      <c r="AF80">
        <f t="shared" si="74"/>
        <v>4.7862792341280002E-4</v>
      </c>
      <c r="AG80">
        <f t="shared" si="89"/>
        <v>12899.459222565269</v>
      </c>
      <c r="AH80">
        <f t="shared" si="90"/>
        <v>-2379.0582494522619</v>
      </c>
      <c r="AJ80">
        <f t="shared" si="75"/>
        <v>18000</v>
      </c>
      <c r="AK80">
        <f t="shared" si="76"/>
        <v>2689.6808304828005</v>
      </c>
      <c r="AL80">
        <v>1</v>
      </c>
      <c r="AM80">
        <f t="shared" si="77"/>
        <v>5.8721518840445999</v>
      </c>
      <c r="AN80">
        <f t="shared" si="91"/>
        <v>952.42812093620842</v>
      </c>
      <c r="AO80">
        <f t="shared" si="92"/>
        <v>-2903.1217542898135</v>
      </c>
      <c r="AQ80">
        <f t="shared" si="78"/>
        <v>4.7236655644780345</v>
      </c>
      <c r="AR80">
        <f t="shared" si="79"/>
        <v>-217.28861596598961</v>
      </c>
      <c r="AT80">
        <f t="shared" si="52"/>
        <v>-456009.54299593187</v>
      </c>
      <c r="AU80">
        <f t="shared" si="53"/>
        <v>-2814143.5167097524</v>
      </c>
      <c r="AV80">
        <f t="shared" si="93"/>
        <v>-1.7314420162940118</v>
      </c>
      <c r="AW80">
        <f t="shared" si="94"/>
        <v>-610858.20611327991</v>
      </c>
      <c r="AX80">
        <f t="shared" si="95"/>
        <v>-237806.5601264117</v>
      </c>
      <c r="AY80">
        <f t="shared" si="103"/>
        <v>-2.77034507678882</v>
      </c>
      <c r="BA80">
        <f t="shared" si="80"/>
        <v>4.3490250616225357</v>
      </c>
      <c r="BB80">
        <f t="shared" si="96"/>
        <v>12.767838206620191</v>
      </c>
      <c r="BC80">
        <f t="shared" si="97"/>
        <v>1.0389030604948082</v>
      </c>
      <c r="BD80">
        <f t="shared" si="81"/>
        <v>-120.47523924240609</v>
      </c>
      <c r="BF80">
        <f t="shared" si="82"/>
        <v>8.0349782611573275</v>
      </c>
      <c r="BG80">
        <f t="shared" si="83"/>
        <v>-114.86750162203221</v>
      </c>
      <c r="BH80">
        <f t="shared" si="98"/>
        <v>65.132498377967792</v>
      </c>
      <c r="BI80">
        <f t="shared" si="99"/>
        <v>65.132498377967792</v>
      </c>
      <c r="BJ80">
        <f t="shared" si="84"/>
        <v>0</v>
      </c>
      <c r="BK80">
        <f t="shared" si="100"/>
        <v>0</v>
      </c>
      <c r="BM80">
        <f t="shared" si="101"/>
        <v>-4.7328599454628622</v>
      </c>
      <c r="BN80">
        <f t="shared" si="85"/>
        <v>-174.39226237962615</v>
      </c>
      <c r="BQ80" s="56">
        <f t="shared" si="102"/>
        <v>29.669799006905325</v>
      </c>
      <c r="BR80" s="59"/>
      <c r="BS80" s="59"/>
      <c r="BT80" s="59">
        <v>501.18700000000001</v>
      </c>
      <c r="BU80" s="59">
        <v>20.7819</v>
      </c>
      <c r="BV80" s="59">
        <v>-264.7826</v>
      </c>
      <c r="BW80" s="61"/>
      <c r="BY80" s="59"/>
      <c r="BZ80" s="59"/>
      <c r="CA80" s="59"/>
      <c r="CC80" s="59"/>
    </row>
    <row r="81" spans="1:81" x14ac:dyDescent="0.25">
      <c r="A81">
        <f t="shared" si="54"/>
        <v>23500</v>
      </c>
      <c r="B81">
        <f t="shared" si="86"/>
        <v>23.5</v>
      </c>
      <c r="C81">
        <f t="shared" si="55"/>
        <v>1.0001986505936786</v>
      </c>
      <c r="D81">
        <f t="shared" si="56"/>
        <v>1.993076587607617E-2</v>
      </c>
      <c r="F81">
        <f t="shared" si="57"/>
        <v>3.6969056060934806E-2</v>
      </c>
      <c r="G81">
        <f t="shared" si="58"/>
        <v>7.6578455445803301E-2</v>
      </c>
      <c r="H81">
        <f t="shared" si="59"/>
        <v>-3.0650141945541969</v>
      </c>
      <c r="J81">
        <f t="shared" si="60"/>
        <v>15</v>
      </c>
      <c r="M81">
        <f t="shared" si="61"/>
        <v>0.11360290488470637</v>
      </c>
      <c r="N81">
        <f t="shared" si="62"/>
        <v>-1.5707963250000001</v>
      </c>
      <c r="O81">
        <f t="shared" si="63"/>
        <v>6.4128416458543436</v>
      </c>
      <c r="P81">
        <f t="shared" si="64"/>
        <v>1.414220227608465</v>
      </c>
      <c r="Q81">
        <f t="shared" si="65"/>
        <v>6.0825725112428088</v>
      </c>
      <c r="R81">
        <f t="shared" si="66"/>
        <v>1.405642442725314</v>
      </c>
      <c r="S81">
        <f t="shared" si="67"/>
        <v>0.98854502829577007</v>
      </c>
      <c r="T81">
        <f t="shared" si="68"/>
        <v>-0.15150516922454055</v>
      </c>
      <c r="U81">
        <f t="shared" si="69"/>
        <v>0.9997367366776192</v>
      </c>
      <c r="V81">
        <f t="shared" si="70"/>
        <v>-2.294667184820751E-2</v>
      </c>
      <c r="X81">
        <f t="shared" si="87"/>
        <v>7.7085047993873399</v>
      </c>
      <c r="Y81">
        <f t="shared" si="71"/>
        <v>-112.89955315978858</v>
      </c>
      <c r="Z81">
        <f t="shared" si="88"/>
        <v>67.100446840211418</v>
      </c>
      <c r="AC81">
        <v>1</v>
      </c>
      <c r="AD81">
        <f t="shared" si="72"/>
        <v>6.3343932601949993</v>
      </c>
      <c r="AE81">
        <f t="shared" si="73"/>
        <v>-1.1223646985959118E-5</v>
      </c>
      <c r="AF81">
        <f t="shared" si="74"/>
        <v>4.8903287826959998E-4</v>
      </c>
      <c r="AG81">
        <f t="shared" si="89"/>
        <v>12899.173317454055</v>
      </c>
      <c r="AH81">
        <f t="shared" si="90"/>
        <v>-2340.8973477948889</v>
      </c>
      <c r="AJ81">
        <f t="shared" si="75"/>
        <v>18000</v>
      </c>
      <c r="AK81">
        <f t="shared" si="76"/>
        <v>2748.1521528846001</v>
      </c>
      <c r="AL81">
        <v>1</v>
      </c>
      <c r="AM81">
        <f t="shared" si="77"/>
        <v>5.9998073597847004</v>
      </c>
      <c r="AN81">
        <f t="shared" si="91"/>
        <v>932.17671283145307</v>
      </c>
      <c r="AO81">
        <f t="shared" si="92"/>
        <v>-2844.7285493814611</v>
      </c>
      <c r="AQ81">
        <f t="shared" si="78"/>
        <v>4.5248868778280542</v>
      </c>
      <c r="AR81">
        <f t="shared" si="79"/>
        <v>-212.66968325791856</v>
      </c>
      <c r="AT81">
        <f t="shared" si="52"/>
        <v>-439470.59741586307</v>
      </c>
      <c r="AU81">
        <f t="shared" si="53"/>
        <v>-2753855.3994033285</v>
      </c>
      <c r="AV81">
        <f t="shared" si="93"/>
        <v>-1.7290457118054745</v>
      </c>
      <c r="AW81">
        <f t="shared" si="94"/>
        <v>-585336.09942218428</v>
      </c>
      <c r="AX81">
        <f t="shared" si="95"/>
        <v>-227912.46449477784</v>
      </c>
      <c r="AY81">
        <f t="shared" si="103"/>
        <v>-2.7702833050997753</v>
      </c>
      <c r="BA81">
        <f t="shared" si="80"/>
        <v>4.4396026423851067</v>
      </c>
      <c r="BB81">
        <f t="shared" si="96"/>
        <v>12.946882024175128</v>
      </c>
      <c r="BC81">
        <f t="shared" si="97"/>
        <v>1.0412375932943008</v>
      </c>
      <c r="BD81">
        <f t="shared" si="81"/>
        <v>-120.34148036570747</v>
      </c>
      <c r="BF81">
        <f t="shared" si="82"/>
        <v>7.8271997266200142</v>
      </c>
      <c r="BG81">
        <f t="shared" si="83"/>
        <v>-114.81190929355134</v>
      </c>
      <c r="BH81">
        <f t="shared" si="98"/>
        <v>65.188090706448662</v>
      </c>
      <c r="BI81">
        <f t="shared" si="99"/>
        <v>65.188090706448662</v>
      </c>
      <c r="BJ81">
        <f t="shared" si="84"/>
        <v>0</v>
      </c>
      <c r="BK81">
        <f t="shared" si="100"/>
        <v>0</v>
      </c>
      <c r="BM81">
        <f t="shared" si="101"/>
        <v>-5.1196822975551139</v>
      </c>
      <c r="BN81">
        <f t="shared" si="85"/>
        <v>-174.47042892784387</v>
      </c>
      <c r="BQ81" s="56">
        <f t="shared" si="102"/>
        <v>29.848842824460267</v>
      </c>
      <c r="BR81" s="59"/>
      <c r="BS81" s="59"/>
      <c r="BT81" s="59">
        <v>512.86099999999999</v>
      </c>
      <c r="BU81" s="59">
        <v>20.634799999999998</v>
      </c>
      <c r="BV81" s="59">
        <v>-265.04300000000001</v>
      </c>
      <c r="BW81" s="61"/>
      <c r="BY81" s="59"/>
      <c r="BZ81" s="59"/>
      <c r="CA81" s="59"/>
      <c r="CC81" s="59"/>
    </row>
    <row r="82" spans="1:81" x14ac:dyDescent="0.25">
      <c r="A82">
        <f t="shared" si="54"/>
        <v>24000</v>
      </c>
      <c r="B82">
        <f t="shared" si="86"/>
        <v>24</v>
      </c>
      <c r="C82">
        <f t="shared" si="55"/>
        <v>1.0002071928534089</v>
      </c>
      <c r="D82">
        <f t="shared" si="56"/>
        <v>2.0354708824613703E-2</v>
      </c>
      <c r="F82">
        <f t="shared" si="57"/>
        <v>3.5393928679755965E-2</v>
      </c>
      <c r="G82">
        <f t="shared" si="58"/>
        <v>7.4872387499004087E-2</v>
      </c>
      <c r="H82">
        <f t="shared" si="59"/>
        <v>-3.0667202625009962</v>
      </c>
      <c r="J82">
        <f t="shared" si="60"/>
        <v>15</v>
      </c>
      <c r="M82">
        <f t="shared" si="61"/>
        <v>0.11123617769960834</v>
      </c>
      <c r="N82">
        <f t="shared" si="62"/>
        <v>-1.5707963250000001</v>
      </c>
      <c r="O82">
        <f t="shared" si="63"/>
        <v>6.5460010114009402</v>
      </c>
      <c r="P82">
        <f t="shared" si="64"/>
        <v>1.4174307915705244</v>
      </c>
      <c r="Q82">
        <f t="shared" si="65"/>
        <v>6.2085264596953778</v>
      </c>
      <c r="R82">
        <f t="shared" si="66"/>
        <v>1.4090228143249031</v>
      </c>
      <c r="S82">
        <f t="shared" si="67"/>
        <v>0.98806118485155525</v>
      </c>
      <c r="T82">
        <f t="shared" si="68"/>
        <v>-0.15467803306009906</v>
      </c>
      <c r="U82">
        <f t="shared" si="69"/>
        <v>0.9997254194681785</v>
      </c>
      <c r="V82">
        <f t="shared" si="70"/>
        <v>-2.3434722037456421E-2</v>
      </c>
      <c r="X82">
        <f t="shared" si="87"/>
        <v>7.4997047813587701</v>
      </c>
      <c r="Y82">
        <f t="shared" si="71"/>
        <v>-112.80513564294591</v>
      </c>
      <c r="Z82">
        <f t="shared" si="88"/>
        <v>67.194864357054087</v>
      </c>
      <c r="AC82">
        <v>1</v>
      </c>
      <c r="AD82">
        <f t="shared" si="72"/>
        <v>6.469167584880001</v>
      </c>
      <c r="AE82">
        <f t="shared" si="73"/>
        <v>-1.1706329857695706E-5</v>
      </c>
      <c r="AF82">
        <f t="shared" si="74"/>
        <v>4.9943783312640004E-4</v>
      </c>
      <c r="AG82">
        <f t="shared" si="89"/>
        <v>12898.881276930962</v>
      </c>
      <c r="AH82">
        <f t="shared" si="90"/>
        <v>-2304.5882443825776</v>
      </c>
      <c r="AJ82">
        <f t="shared" si="75"/>
        <v>18000</v>
      </c>
      <c r="AK82">
        <f t="shared" si="76"/>
        <v>2806.6234752864002</v>
      </c>
      <c r="AL82">
        <v>1</v>
      </c>
      <c r="AM82">
        <f t="shared" si="77"/>
        <v>6.1274628355248</v>
      </c>
      <c r="AN82">
        <f t="shared" si="91"/>
        <v>913.13399402653806</v>
      </c>
      <c r="AO82">
        <f t="shared" si="92"/>
        <v>-2788.5711369655364</v>
      </c>
      <c r="AQ82">
        <f t="shared" si="78"/>
        <v>4.3383947939262475</v>
      </c>
      <c r="AR82">
        <f t="shared" si="79"/>
        <v>-208.24295010845987</v>
      </c>
      <c r="AT82">
        <f t="shared" si="52"/>
        <v>-423953.81541619415</v>
      </c>
      <c r="AU82">
        <f t="shared" si="53"/>
        <v>-2696099.3038484547</v>
      </c>
      <c r="AV82">
        <f t="shared" si="93"/>
        <v>-1.7267662640205079</v>
      </c>
      <c r="AW82">
        <f t="shared" si="94"/>
        <v>-561328.59268946911</v>
      </c>
      <c r="AX82">
        <f t="shared" si="95"/>
        <v>-218714.07207218933</v>
      </c>
      <c r="AY82">
        <f t="shared" si="103"/>
        <v>-2.7700521852516955</v>
      </c>
      <c r="BA82">
        <f t="shared" si="80"/>
        <v>4.5303429336785594</v>
      </c>
      <c r="BB82">
        <f t="shared" si="96"/>
        <v>13.122621561524513</v>
      </c>
      <c r="BC82">
        <f t="shared" si="97"/>
        <v>1.0432859212311876</v>
      </c>
      <c r="BD82">
        <f t="shared" si="81"/>
        <v>-120.224119819731</v>
      </c>
      <c r="BF82">
        <f t="shared" si="82"/>
        <v>7.6248216391278323</v>
      </c>
      <c r="BG82">
        <f t="shared" si="83"/>
        <v>-114.76800909886741</v>
      </c>
      <c r="BH82">
        <f t="shared" si="98"/>
        <v>65.23199090113259</v>
      </c>
      <c r="BI82">
        <f t="shared" si="99"/>
        <v>65.23199090113259</v>
      </c>
      <c r="BJ82">
        <f t="shared" si="84"/>
        <v>0</v>
      </c>
      <c r="BK82">
        <f t="shared" si="100"/>
        <v>0</v>
      </c>
      <c r="BM82">
        <f t="shared" si="101"/>
        <v>-5.4977999223966814</v>
      </c>
      <c r="BN82">
        <f t="shared" si="85"/>
        <v>-174.54388927913644</v>
      </c>
      <c r="BQ82" s="56">
        <f t="shared" si="102"/>
        <v>30.024582361809649</v>
      </c>
      <c r="BR82" s="59"/>
      <c r="BS82" s="59"/>
      <c r="BT82" s="59">
        <v>524.80700000000002</v>
      </c>
      <c r="BU82" s="59">
        <v>20.243600000000001</v>
      </c>
      <c r="BV82" s="59">
        <v>-263.95569999999998</v>
      </c>
      <c r="BW82" s="61"/>
      <c r="BY82" s="59"/>
      <c r="BZ82" s="59"/>
      <c r="CA82" s="59"/>
      <c r="CC82" s="59"/>
    </row>
    <row r="83" spans="1:81" x14ac:dyDescent="0.25">
      <c r="A83">
        <f t="shared" si="54"/>
        <v>24500</v>
      </c>
      <c r="B83">
        <f t="shared" si="86"/>
        <v>24.5</v>
      </c>
      <c r="C83">
        <f t="shared" si="55"/>
        <v>1.0002159148749119</v>
      </c>
      <c r="D83">
        <f t="shared" si="56"/>
        <v>2.0778644455660463E-2</v>
      </c>
      <c r="F83">
        <f t="shared" si="57"/>
        <v>3.3918345673664363E-2</v>
      </c>
      <c r="G83">
        <f t="shared" si="58"/>
        <v>7.3242799897071234E-2</v>
      </c>
      <c r="H83">
        <f t="shared" si="59"/>
        <v>-3.0683498501029289</v>
      </c>
      <c r="J83">
        <f t="shared" si="60"/>
        <v>15</v>
      </c>
      <c r="M83">
        <f t="shared" si="61"/>
        <v>0.10896605162410611</v>
      </c>
      <c r="N83">
        <f t="shared" si="62"/>
        <v>-1.5707963250000001</v>
      </c>
      <c r="O83">
        <f t="shared" si="63"/>
        <v>6.6792251605189232</v>
      </c>
      <c r="P83">
        <f t="shared" si="64"/>
        <v>1.4205133101295919</v>
      </c>
      <c r="Q83">
        <f t="shared" si="65"/>
        <v>6.334548530710097</v>
      </c>
      <c r="R83">
        <f t="shared" si="66"/>
        <v>1.4122687208352709</v>
      </c>
      <c r="S83">
        <f t="shared" si="67"/>
        <v>0.98756788754455327</v>
      </c>
      <c r="T83">
        <f t="shared" si="68"/>
        <v>-0.15784776062482372</v>
      </c>
      <c r="U83">
        <f t="shared" si="69"/>
        <v>0.99971386439824883</v>
      </c>
      <c r="V83">
        <f t="shared" si="70"/>
        <v>-2.3922761060944635E-2</v>
      </c>
      <c r="X83">
        <f t="shared" si="87"/>
        <v>7.2959064516230967</v>
      </c>
      <c r="Y83">
        <f t="shared" si="71"/>
        <v>-112.72119695284852</v>
      </c>
      <c r="Z83">
        <f t="shared" si="88"/>
        <v>67.278803047151484</v>
      </c>
      <c r="AC83">
        <v>1</v>
      </c>
      <c r="AD83">
        <f t="shared" si="72"/>
        <v>6.6039419095650009</v>
      </c>
      <c r="AE83">
        <f t="shared" si="73"/>
        <v>-1.2199174474100425E-5</v>
      </c>
      <c r="AF83">
        <f t="shared" si="74"/>
        <v>5.098427879832E-4</v>
      </c>
      <c r="AG83">
        <f t="shared" si="89"/>
        <v>12898.583101830274</v>
      </c>
      <c r="AH83">
        <f t="shared" si="90"/>
        <v>-2270.0175289447216</v>
      </c>
      <c r="AJ83">
        <f t="shared" si="75"/>
        <v>18000</v>
      </c>
      <c r="AK83">
        <f t="shared" si="76"/>
        <v>2865.0947976882003</v>
      </c>
      <c r="AL83">
        <v>1</v>
      </c>
      <c r="AM83">
        <f t="shared" si="77"/>
        <v>6.2551183112648996</v>
      </c>
      <c r="AN83">
        <f t="shared" si="91"/>
        <v>895.20646898655673</v>
      </c>
      <c r="AO83">
        <f t="shared" si="92"/>
        <v>-2734.5275788324043</v>
      </c>
      <c r="AQ83">
        <f t="shared" si="78"/>
        <v>4.1631973355537051</v>
      </c>
      <c r="AR83">
        <f t="shared" si="79"/>
        <v>-203.99666944213155</v>
      </c>
      <c r="AT83">
        <f t="shared" si="52"/>
        <v>-409376.6686780228</v>
      </c>
      <c r="AU83">
        <f t="shared" si="53"/>
        <v>-2640718.5242240969</v>
      </c>
      <c r="AV83">
        <f t="shared" si="93"/>
        <v>-1.7245967738346077</v>
      </c>
      <c r="AW83">
        <f t="shared" si="94"/>
        <v>-538719.38290319394</v>
      </c>
      <c r="AX83">
        <f t="shared" si="95"/>
        <v>-210147.35020654922</v>
      </c>
      <c r="AY83">
        <f t="shared" si="103"/>
        <v>-2.7696611928885302</v>
      </c>
      <c r="BA83">
        <f t="shared" si="80"/>
        <v>4.6212403566952434</v>
      </c>
      <c r="BB83">
        <f t="shared" si="96"/>
        <v>13.295171146490832</v>
      </c>
      <c r="BC83">
        <f t="shared" si="97"/>
        <v>1.0450644190539224</v>
      </c>
      <c r="BD83">
        <f t="shared" si="81"/>
        <v>-120.12221940049866</v>
      </c>
      <c r="BF83">
        <f t="shared" si="82"/>
        <v>7.4275647761938579</v>
      </c>
      <c r="BG83">
        <f t="shared" si="83"/>
        <v>-114.73518744920743</v>
      </c>
      <c r="BH83">
        <f t="shared" si="98"/>
        <v>65.26481255079257</v>
      </c>
      <c r="BI83">
        <f t="shared" si="99"/>
        <v>65.26481255079257</v>
      </c>
      <c r="BJ83">
        <f t="shared" si="84"/>
        <v>0</v>
      </c>
      <c r="BK83">
        <f t="shared" si="100"/>
        <v>0</v>
      </c>
      <c r="BM83">
        <f t="shared" si="101"/>
        <v>-5.867606370296973</v>
      </c>
      <c r="BN83">
        <f t="shared" si="85"/>
        <v>-174.61296804870878</v>
      </c>
      <c r="BQ83" s="56">
        <f t="shared" si="102"/>
        <v>30.197131946775965</v>
      </c>
      <c r="BR83" s="59"/>
      <c r="BS83" s="59"/>
      <c r="BT83" s="59">
        <v>537.03200000000004</v>
      </c>
      <c r="BU83" s="59">
        <v>20.2926</v>
      </c>
      <c r="BV83" s="59">
        <v>-264.56819999999999</v>
      </c>
      <c r="BW83" s="61"/>
      <c r="BY83" s="59"/>
      <c r="BZ83" s="59"/>
      <c r="CA83" s="59"/>
      <c r="CC83" s="59"/>
    </row>
    <row r="84" spans="1:81" x14ac:dyDescent="0.25">
      <c r="A84">
        <f t="shared" si="54"/>
        <v>25000</v>
      </c>
      <c r="B84">
        <f t="shared" si="86"/>
        <v>25</v>
      </c>
      <c r="C84">
        <f t="shared" si="55"/>
        <v>1.0002248166534846</v>
      </c>
      <c r="D84">
        <f t="shared" si="56"/>
        <v>2.1202572617029278E-2</v>
      </c>
      <c r="F84">
        <f t="shared" si="57"/>
        <v>3.2534017048995341E-2</v>
      </c>
      <c r="G84">
        <f t="shared" si="58"/>
        <v>7.1684545855648166E-2</v>
      </c>
      <c r="H84">
        <f t="shared" si="59"/>
        <v>-3.0699081041443521</v>
      </c>
      <c r="J84">
        <f t="shared" si="60"/>
        <v>15</v>
      </c>
      <c r="M84">
        <f t="shared" si="61"/>
        <v>0.106786730591624</v>
      </c>
      <c r="N84">
        <f t="shared" si="62"/>
        <v>-1.5707963250000001</v>
      </c>
      <c r="O84">
        <f t="shared" si="63"/>
        <v>6.8125102925239318</v>
      </c>
      <c r="P84">
        <f t="shared" si="64"/>
        <v>1.4234752384478719</v>
      </c>
      <c r="Q84">
        <f t="shared" si="65"/>
        <v>6.4606347378626934</v>
      </c>
      <c r="R84">
        <f t="shared" si="66"/>
        <v>1.4153879644645879</v>
      </c>
      <c r="S84">
        <f t="shared" si="67"/>
        <v>0.98706518024175394</v>
      </c>
      <c r="T84">
        <f t="shared" si="68"/>
        <v>-0.16101429296857228</v>
      </c>
      <c r="U84">
        <f t="shared" si="69"/>
        <v>0.99970207149259083</v>
      </c>
      <c r="V84">
        <f t="shared" si="70"/>
        <v>-2.4410788686579109E-2</v>
      </c>
      <c r="X84">
        <f t="shared" si="87"/>
        <v>7.0968529705165455</v>
      </c>
      <c r="Y84">
        <f t="shared" si="71"/>
        <v>-112.64715441341596</v>
      </c>
      <c r="Z84">
        <f t="shared" si="88"/>
        <v>67.352845586584039</v>
      </c>
      <c r="AC84">
        <v>1</v>
      </c>
      <c r="AD84">
        <f t="shared" si="72"/>
        <v>6.7387162342500009</v>
      </c>
      <c r="AE84">
        <f t="shared" si="73"/>
        <v>-1.2702180835173289E-5</v>
      </c>
      <c r="AF84">
        <f t="shared" si="74"/>
        <v>5.2024774283999996E-4</v>
      </c>
      <c r="AG84">
        <f t="shared" si="89"/>
        <v>12898.278793003754</v>
      </c>
      <c r="AH84">
        <f t="shared" si="90"/>
        <v>-2237.080863316974</v>
      </c>
      <c r="AJ84">
        <f t="shared" si="75"/>
        <v>18000</v>
      </c>
      <c r="AK84">
        <f t="shared" si="76"/>
        <v>2923.5661200900004</v>
      </c>
      <c r="AL84">
        <v>1</v>
      </c>
      <c r="AM84">
        <f t="shared" si="77"/>
        <v>6.3827737870050001</v>
      </c>
      <c r="AN84">
        <f t="shared" si="91"/>
        <v>878.30943434787559</v>
      </c>
      <c r="AO84">
        <f t="shared" si="92"/>
        <v>-2682.4843143448088</v>
      </c>
      <c r="AQ84">
        <f t="shared" si="78"/>
        <v>3.9984006397441023</v>
      </c>
      <c r="AR84">
        <f t="shared" si="79"/>
        <v>-199.92003198720511</v>
      </c>
      <c r="AT84">
        <f t="shared" si="52"/>
        <v>-395664.79157474986</v>
      </c>
      <c r="AU84">
        <f t="shared" si="53"/>
        <v>-2587569.0544322459</v>
      </c>
      <c r="AV84">
        <f t="shared" si="93"/>
        <v>-1.7225308698553496</v>
      </c>
      <c r="AW84">
        <f t="shared" si="94"/>
        <v>-517403.00465665734</v>
      </c>
      <c r="AX84">
        <f t="shared" si="95"/>
        <v>-202155.36259540622</v>
      </c>
      <c r="AY84">
        <f t="shared" si="103"/>
        <v>-2.7691190624463733</v>
      </c>
      <c r="BA84">
        <f t="shared" si="80"/>
        <v>4.7122897969149031</v>
      </c>
      <c r="BB84">
        <f t="shared" si="96"/>
        <v>13.464639817800538</v>
      </c>
      <c r="BC84">
        <f t="shared" si="97"/>
        <v>1.0465881925910236</v>
      </c>
      <c r="BD84">
        <f t="shared" si="81"/>
        <v>-120.03491360778926</v>
      </c>
      <c r="BF84">
        <f t="shared" si="82"/>
        <v>7.2351713104631621</v>
      </c>
      <c r="BG84">
        <f t="shared" si="83"/>
        <v>-114.71287374209189</v>
      </c>
      <c r="BH84">
        <f t="shared" si="98"/>
        <v>65.287126257908113</v>
      </c>
      <c r="BI84">
        <f t="shared" si="99"/>
        <v>65.287126257908113</v>
      </c>
      <c r="BJ84">
        <f t="shared" si="84"/>
        <v>0</v>
      </c>
      <c r="BK84">
        <f t="shared" si="100"/>
        <v>0</v>
      </c>
      <c r="BM84">
        <f t="shared" si="101"/>
        <v>-6.2294685073373746</v>
      </c>
      <c r="BN84">
        <f t="shared" si="85"/>
        <v>-174.67796013430259</v>
      </c>
      <c r="BQ84" s="56">
        <f t="shared" si="102"/>
        <v>30.366600618085677</v>
      </c>
      <c r="BR84" s="59"/>
      <c r="BS84" s="59"/>
      <c r="BT84" s="59">
        <v>549.54100000000005</v>
      </c>
      <c r="BU84" s="59">
        <v>19.992000000000001</v>
      </c>
      <c r="BV84" s="59">
        <v>-264.47620000000001</v>
      </c>
      <c r="BW84" s="61"/>
      <c r="BY84" s="59"/>
      <c r="BZ84" s="59"/>
      <c r="CA84" s="59"/>
      <c r="CC84" s="59"/>
    </row>
    <row r="85" spans="1:81" x14ac:dyDescent="0.25">
      <c r="A85">
        <f t="shared" si="54"/>
        <v>25500</v>
      </c>
      <c r="B85">
        <f t="shared" si="86"/>
        <v>25.5</v>
      </c>
      <c r="C85">
        <f t="shared" si="55"/>
        <v>1.000233898184328</v>
      </c>
      <c r="D85">
        <f t="shared" si="56"/>
        <v>2.1626493156549076E-2</v>
      </c>
      <c r="F85">
        <f t="shared" si="57"/>
        <v>3.1233505233581808E-2</v>
      </c>
      <c r="G85">
        <f t="shared" si="58"/>
        <v>7.0192938433951177E-2</v>
      </c>
      <c r="H85">
        <f t="shared" si="59"/>
        <v>-3.0713997115660492</v>
      </c>
      <c r="J85">
        <f t="shared" si="60"/>
        <v>15</v>
      </c>
      <c r="M85">
        <f t="shared" si="61"/>
        <v>0.10469287312904313</v>
      </c>
      <c r="N85">
        <f t="shared" si="62"/>
        <v>-1.5707963250000001</v>
      </c>
      <c r="O85">
        <f t="shared" si="63"/>
        <v>6.9458528967844249</v>
      </c>
      <c r="P85">
        <f t="shared" si="64"/>
        <v>1.4263234680696211</v>
      </c>
      <c r="Q85">
        <f t="shared" si="65"/>
        <v>6.5867813980128185</v>
      </c>
      <c r="R85">
        <f t="shared" si="66"/>
        <v>1.4183877600472949</v>
      </c>
      <c r="S85">
        <f t="shared" si="67"/>
        <v>0.98655310752559022</v>
      </c>
      <c r="T85">
        <f t="shared" si="68"/>
        <v>-0.16417757151628734</v>
      </c>
      <c r="U85">
        <f t="shared" si="69"/>
        <v>0.99969004077647339</v>
      </c>
      <c r="V85">
        <f t="shared" si="70"/>
        <v>-2.4898804682299359E-2</v>
      </c>
      <c r="X85">
        <f t="shared" si="87"/>
        <v>6.9023067773943971</v>
      </c>
      <c r="Y85">
        <f t="shared" si="71"/>
        <v>-112.58246496992876</v>
      </c>
      <c r="Z85">
        <f t="shared" si="88"/>
        <v>67.417535030071235</v>
      </c>
      <c r="AC85">
        <v>1</v>
      </c>
      <c r="AD85">
        <f t="shared" si="72"/>
        <v>6.8734905589349999</v>
      </c>
      <c r="AE85">
        <f t="shared" si="73"/>
        <v>-1.3215348940914291E-5</v>
      </c>
      <c r="AF85">
        <f t="shared" si="74"/>
        <v>5.3065269769680002E-4</v>
      </c>
      <c r="AG85">
        <f t="shared" si="89"/>
        <v>12897.968351320627</v>
      </c>
      <c r="AH85">
        <f t="shared" si="90"/>
        <v>-2205.682092019315</v>
      </c>
      <c r="AJ85">
        <f t="shared" si="75"/>
        <v>18000</v>
      </c>
      <c r="AK85">
        <f t="shared" si="76"/>
        <v>2982.0374424918</v>
      </c>
      <c r="AL85">
        <v>1</v>
      </c>
      <c r="AM85">
        <f t="shared" si="77"/>
        <v>6.5104292627450997</v>
      </c>
      <c r="AN85">
        <f t="shared" si="91"/>
        <v>862.36601355998619</v>
      </c>
      <c r="AO85">
        <f t="shared" si="92"/>
        <v>-2632.3354873859716</v>
      </c>
      <c r="AQ85">
        <f t="shared" si="78"/>
        <v>3.8431975403535743</v>
      </c>
      <c r="AR85">
        <f t="shared" si="79"/>
        <v>-196.0030745580323</v>
      </c>
      <c r="AT85">
        <f t="shared" si="52"/>
        <v>-382751.03129002475</v>
      </c>
      <c r="AU85">
        <f t="shared" si="53"/>
        <v>-2536518.3244018885</v>
      </c>
      <c r="AV85">
        <f t="shared" si="93"/>
        <v>-1.7205626593452665</v>
      </c>
      <c r="AW85">
        <f t="shared" si="94"/>
        <v>-497283.65346702555</v>
      </c>
      <c r="AX85">
        <f t="shared" si="95"/>
        <v>-194687.36136318481</v>
      </c>
      <c r="AY85">
        <f t="shared" si="103"/>
        <v>-2.7684338567562579</v>
      </c>
      <c r="BA85">
        <f t="shared" si="80"/>
        <v>4.8034865538739693</v>
      </c>
      <c r="BB85">
        <f t="shared" si="96"/>
        <v>13.631131586872034</v>
      </c>
      <c r="BC85">
        <f t="shared" si="97"/>
        <v>1.0478711974109913</v>
      </c>
      <c r="BD85">
        <f t="shared" si="81"/>
        <v>-119.96140284642618</v>
      </c>
      <c r="BF85">
        <f t="shared" si="82"/>
        <v>7.0474026723804251</v>
      </c>
      <c r="BG85">
        <f t="shared" si="83"/>
        <v>-114.70053693298894</v>
      </c>
      <c r="BH85">
        <f t="shared" si="98"/>
        <v>65.299463067011061</v>
      </c>
      <c r="BI85">
        <f t="shared" si="99"/>
        <v>65.299463067011061</v>
      </c>
      <c r="BJ85">
        <f t="shared" si="84"/>
        <v>0</v>
      </c>
      <c r="BK85">
        <f t="shared" si="100"/>
        <v>0</v>
      </c>
      <c r="BM85">
        <f t="shared" si="101"/>
        <v>-6.5837289144916102</v>
      </c>
      <c r="BN85">
        <f t="shared" si="85"/>
        <v>-174.73913408656276</v>
      </c>
      <c r="BQ85" s="56">
        <f t="shared" si="102"/>
        <v>30.533092387157168</v>
      </c>
      <c r="BR85" s="59"/>
      <c r="BS85" s="59"/>
      <c r="BT85" s="59">
        <v>562.34100000000001</v>
      </c>
      <c r="BU85" s="59">
        <v>19.682300000000001</v>
      </c>
      <c r="BV85" s="59">
        <v>-264.60399999999998</v>
      </c>
      <c r="BW85" s="61"/>
      <c r="BY85" s="59"/>
      <c r="BZ85" s="59"/>
      <c r="CA85" s="59"/>
      <c r="CC85" s="59"/>
    </row>
    <row r="86" spans="1:81" x14ac:dyDescent="0.25">
      <c r="A86">
        <f t="shared" si="54"/>
        <v>26000</v>
      </c>
      <c r="B86">
        <f t="shared" si="86"/>
        <v>26</v>
      </c>
      <c r="C86">
        <f t="shared" si="55"/>
        <v>1.0002431594625458</v>
      </c>
      <c r="D86">
        <f t="shared" si="56"/>
        <v>2.2050405922065214E-2</v>
      </c>
      <c r="F86">
        <f t="shared" si="57"/>
        <v>3.0010121241028028E-2</v>
      </c>
      <c r="G86">
        <f t="shared" si="58"/>
        <v>6.8763699617029606E-2</v>
      </c>
      <c r="H86">
        <f t="shared" si="59"/>
        <v>-3.0728289503829704</v>
      </c>
      <c r="J86">
        <f t="shared" si="60"/>
        <v>15</v>
      </c>
      <c r="M86">
        <f t="shared" si="61"/>
        <v>0.1026795486457923</v>
      </c>
      <c r="N86">
        <f t="shared" si="62"/>
        <v>-1.5707963250000001</v>
      </c>
      <c r="O86">
        <f t="shared" si="63"/>
        <v>7.0792497257111409</v>
      </c>
      <c r="P86">
        <f t="shared" si="64"/>
        <v>1.4290643788194408</v>
      </c>
      <c r="Q86">
        <f t="shared" si="65"/>
        <v>6.7129851031646215</v>
      </c>
      <c r="R86">
        <f t="shared" si="66"/>
        <v>1.4212747888587733</v>
      </c>
      <c r="S86">
        <f t="shared" si="67"/>
        <v>0.98603171468334727</v>
      </c>
      <c r="T86">
        <f t="shared" si="68"/>
        <v>-0.16733753807368698</v>
      </c>
      <c r="U86">
        <f t="shared" si="69"/>
        <v>0.99967777227567278</v>
      </c>
      <c r="V86">
        <f t="shared" si="70"/>
        <v>-2.5386808816078115E-2</v>
      </c>
      <c r="X86">
        <f t="shared" si="87"/>
        <v>6.7120477115742876</v>
      </c>
      <c r="Y86">
        <f t="shared" si="71"/>
        <v>-112.52662204981985</v>
      </c>
      <c r="Z86">
        <f t="shared" si="88"/>
        <v>67.473377950180151</v>
      </c>
      <c r="AC86">
        <v>1</v>
      </c>
      <c r="AD86">
        <f t="shared" si="72"/>
        <v>7.0082648836199999</v>
      </c>
      <c r="AE86">
        <f t="shared" si="73"/>
        <v>-1.373867879132343E-5</v>
      </c>
      <c r="AF86">
        <f t="shared" si="74"/>
        <v>5.4105765255359998E-4</v>
      </c>
      <c r="AG86">
        <f t="shared" si="89"/>
        <v>12897.65177766757</v>
      </c>
      <c r="AH86">
        <f t="shared" si="90"/>
        <v>-2175.7324554597203</v>
      </c>
      <c r="AJ86">
        <f t="shared" si="75"/>
        <v>18000</v>
      </c>
      <c r="AK86">
        <f t="shared" si="76"/>
        <v>3040.5087648936001</v>
      </c>
      <c r="AL86">
        <v>1</v>
      </c>
      <c r="AM86">
        <f t="shared" si="77"/>
        <v>6.6380847384852002</v>
      </c>
      <c r="AN86">
        <f t="shared" si="91"/>
        <v>847.30631188260566</v>
      </c>
      <c r="AO86">
        <f t="shared" si="92"/>
        <v>-2583.9823328365055</v>
      </c>
      <c r="AQ86">
        <f t="shared" si="78"/>
        <v>3.6968576709796674</v>
      </c>
      <c r="AR86">
        <f t="shared" si="79"/>
        <v>-192.2365988909427</v>
      </c>
      <c r="AT86">
        <f t="shared" ref="AT86:AT149" si="104">-AR86*AH86+AG86*AQ86</f>
        <v>-370574.62442232121</v>
      </c>
      <c r="AU86">
        <f t="shared" ref="AU86:AU149" si="105">AQ86*AH86+AG86*AR86</f>
        <v>-2487444.0846365001</v>
      </c>
      <c r="AV86">
        <f t="shared" si="93"/>
        <v>-1.7186866844867232</v>
      </c>
      <c r="AW86">
        <f t="shared" si="94"/>
        <v>-478274.15380301821</v>
      </c>
      <c r="AX86">
        <f t="shared" si="95"/>
        <v>-187698.00980778088</v>
      </c>
      <c r="AY86">
        <f t="shared" si="103"/>
        <v>-2.7676130290112431</v>
      </c>
      <c r="BA86">
        <f t="shared" si="80"/>
        <v>4.8948262966074667</v>
      </c>
      <c r="BB86">
        <f t="shared" si="96"/>
        <v>13.794745690859145</v>
      </c>
      <c r="BC86">
        <f t="shared" si="97"/>
        <v>1.0489263445245198</v>
      </c>
      <c r="BD86">
        <f t="shared" si="81"/>
        <v>-119.90094736998651</v>
      </c>
      <c r="BF86">
        <f t="shared" si="82"/>
        <v>6.864037671089358</v>
      </c>
      <c r="BG86">
        <f t="shared" si="83"/>
        <v>-114.69768239639512</v>
      </c>
      <c r="BH86">
        <f t="shared" si="98"/>
        <v>65.302317603604877</v>
      </c>
      <c r="BI86">
        <f t="shared" si="99"/>
        <v>65.302317603604877</v>
      </c>
      <c r="BJ86">
        <f t="shared" si="84"/>
        <v>0</v>
      </c>
      <c r="BK86">
        <f t="shared" si="100"/>
        <v>0</v>
      </c>
      <c r="BM86">
        <f t="shared" si="101"/>
        <v>-6.9307080197697868</v>
      </c>
      <c r="BN86">
        <f t="shared" si="85"/>
        <v>-174.79673502640861</v>
      </c>
      <c r="BQ86" s="56">
        <f t="shared" si="102"/>
        <v>30.69670649114428</v>
      </c>
      <c r="BR86" s="59"/>
      <c r="BS86" s="59"/>
      <c r="BT86" s="59">
        <v>575.44000000000005</v>
      </c>
      <c r="BU86" s="59">
        <v>19.596</v>
      </c>
      <c r="BV86" s="59">
        <v>-264.9076</v>
      </c>
      <c r="BW86" s="61"/>
      <c r="BY86" s="59"/>
      <c r="BZ86" s="59"/>
      <c r="CA86" s="59"/>
      <c r="CC86" s="59"/>
    </row>
    <row r="87" spans="1:81" x14ac:dyDescent="0.25">
      <c r="A87">
        <f t="shared" si="54"/>
        <v>26500</v>
      </c>
      <c r="B87">
        <f t="shared" si="86"/>
        <v>26.5</v>
      </c>
      <c r="C87">
        <f t="shared" si="55"/>
        <v>1.0002526004831453</v>
      </c>
      <c r="D87">
        <f t="shared" si="56"/>
        <v>2.2474310761439815E-2</v>
      </c>
      <c r="F87">
        <f t="shared" si="57"/>
        <v>2.8857835395235735E-2</v>
      </c>
      <c r="G87">
        <f t="shared" si="58"/>
        <v>6.7392916083088047E-2</v>
      </c>
      <c r="H87">
        <f t="shared" si="59"/>
        <v>-3.0741997339169123</v>
      </c>
      <c r="J87">
        <f t="shared" si="60"/>
        <v>15</v>
      </c>
      <c r="M87">
        <f t="shared" si="61"/>
        <v>0.10074219867134337</v>
      </c>
      <c r="N87">
        <f t="shared" si="62"/>
        <v>-1.5707963250000001</v>
      </c>
      <c r="O87">
        <f t="shared" si="63"/>
        <v>7.2126977706945778</v>
      </c>
      <c r="P87">
        <f t="shared" si="64"/>
        <v>1.4317038851103645</v>
      </c>
      <c r="Q87">
        <f t="shared" si="65"/>
        <v>6.8392426953856083</v>
      </c>
      <c r="R87">
        <f t="shared" si="66"/>
        <v>1.4240552466672871</v>
      </c>
      <c r="S87">
        <f t="shared" si="67"/>
        <v>0.98550104769644986</v>
      </c>
      <c r="T87">
        <f t="shared" si="68"/>
        <v>-0.17049413483284784</v>
      </c>
      <c r="U87">
        <f t="shared" si="69"/>
        <v>0.99966526601647365</v>
      </c>
      <c r="V87">
        <f t="shared" si="70"/>
        <v>-2.5874800855921996E-2</v>
      </c>
      <c r="X87">
        <f t="shared" si="87"/>
        <v>6.5258713552978476</v>
      </c>
      <c r="Y87">
        <f t="shared" si="71"/>
        <v>-112.47915269090865</v>
      </c>
      <c r="Z87">
        <f t="shared" si="88"/>
        <v>67.520847309091351</v>
      </c>
      <c r="AC87">
        <v>1</v>
      </c>
      <c r="AD87">
        <f t="shared" si="72"/>
        <v>7.1430392083049998</v>
      </c>
      <c r="AE87">
        <f t="shared" si="73"/>
        <v>-1.427217038640071E-5</v>
      </c>
      <c r="AF87">
        <f t="shared" si="74"/>
        <v>5.5146260741039993E-4</v>
      </c>
      <c r="AG87">
        <f t="shared" si="89"/>
        <v>12897.329072948707</v>
      </c>
      <c r="AH87">
        <f t="shared" si="90"/>
        <v>-2147.1498922091255</v>
      </c>
      <c r="AJ87">
        <f t="shared" si="75"/>
        <v>18000</v>
      </c>
      <c r="AK87">
        <f t="shared" si="76"/>
        <v>3098.9800872954002</v>
      </c>
      <c r="AL87">
        <v>1</v>
      </c>
      <c r="AM87">
        <f t="shared" si="77"/>
        <v>6.7657402142252998</v>
      </c>
      <c r="AN87">
        <f t="shared" si="91"/>
        <v>833.06667504465565</v>
      </c>
      <c r="AO87">
        <f t="shared" si="92"/>
        <v>-2537.3326171851868</v>
      </c>
      <c r="AQ87">
        <f t="shared" si="78"/>
        <v>3.5587188612099645</v>
      </c>
      <c r="AR87">
        <f t="shared" si="79"/>
        <v>-188.61209964412811</v>
      </c>
      <c r="AT87">
        <f t="shared" si="104"/>
        <v>-359080.48118909233</v>
      </c>
      <c r="AU87">
        <f t="shared" si="105"/>
        <v>-2440233.4190693614</v>
      </c>
      <c r="AV87">
        <f t="shared" si="93"/>
        <v>-1.7168978833136797</v>
      </c>
      <c r="AW87">
        <f t="shared" si="94"/>
        <v>-460295.05208246119</v>
      </c>
      <c r="AX87">
        <f t="shared" si="95"/>
        <v>-181146.71503876938</v>
      </c>
      <c r="AY87">
        <f t="shared" si="103"/>
        <v>-2.7666634780510759</v>
      </c>
      <c r="BA87">
        <f t="shared" si="80"/>
        <v>4.9863050240131788</v>
      </c>
      <c r="BB87">
        <f t="shared" si="96"/>
        <v>13.955576835917991</v>
      </c>
      <c r="BC87">
        <f t="shared" si="97"/>
        <v>1.0497655947373963</v>
      </c>
      <c r="BD87">
        <f t="shared" si="81"/>
        <v>-119.85286187477828</v>
      </c>
      <c r="BF87">
        <f t="shared" si="82"/>
        <v>6.6848708373505765</v>
      </c>
      <c r="BG87">
        <f t="shared" si="83"/>
        <v>-114.70384905415844</v>
      </c>
      <c r="BH87">
        <f t="shared" si="98"/>
        <v>65.296150945841561</v>
      </c>
      <c r="BI87">
        <f t="shared" si="99"/>
        <v>65.296150945841561</v>
      </c>
      <c r="BJ87">
        <f t="shared" si="84"/>
        <v>0</v>
      </c>
      <c r="BK87">
        <f t="shared" si="100"/>
        <v>0</v>
      </c>
      <c r="BM87">
        <f t="shared" si="101"/>
        <v>-7.2707059985674132</v>
      </c>
      <c r="BN87">
        <f t="shared" si="85"/>
        <v>-174.85098717938016</v>
      </c>
      <c r="BQ87" s="56">
        <f t="shared" si="102"/>
        <v>30.857537636203126</v>
      </c>
      <c r="BR87" s="59"/>
      <c r="BS87" s="59"/>
      <c r="BT87" s="59">
        <v>588.84400000000005</v>
      </c>
      <c r="BU87" s="59">
        <v>19.373200000000001</v>
      </c>
      <c r="BV87" s="59">
        <v>-263.88170000000002</v>
      </c>
      <c r="BW87" s="61"/>
      <c r="BY87" s="59"/>
      <c r="BZ87" s="59"/>
      <c r="CA87" s="59"/>
      <c r="CC87" s="59"/>
    </row>
    <row r="88" spans="1:81" x14ac:dyDescent="0.25">
      <c r="A88">
        <f t="shared" si="54"/>
        <v>27000</v>
      </c>
      <c r="B88">
        <f t="shared" si="86"/>
        <v>27</v>
      </c>
      <c r="C88">
        <f t="shared" si="55"/>
        <v>1.000262221241037</v>
      </c>
      <c r="D88">
        <f t="shared" si="56"/>
        <v>2.2898207522552075E-2</v>
      </c>
      <c r="F88">
        <f t="shared" si="57"/>
        <v>2.7771200313959417E-2</v>
      </c>
      <c r="G88">
        <f t="shared" si="58"/>
        <v>6.6077000646645484E-2</v>
      </c>
      <c r="H88">
        <f t="shared" si="59"/>
        <v>-3.0755156493533549</v>
      </c>
      <c r="J88">
        <f t="shared" si="60"/>
        <v>15</v>
      </c>
      <c r="M88">
        <f t="shared" si="61"/>
        <v>9.8876602399651847E-2</v>
      </c>
      <c r="N88">
        <f t="shared" si="62"/>
        <v>-1.5707963250000001</v>
      </c>
      <c r="O88">
        <f t="shared" si="63"/>
        <v>7.3461942406236709</v>
      </c>
      <c r="P88">
        <f t="shared" si="64"/>
        <v>1.4342474773468037</v>
      </c>
      <c r="Q88">
        <f t="shared" si="65"/>
        <v>6.9655512444051082</v>
      </c>
      <c r="R88">
        <f t="shared" si="66"/>
        <v>1.4267348867246434</v>
      </c>
      <c r="S88">
        <f t="shared" si="67"/>
        <v>0.98496115322963518</v>
      </c>
      <c r="T88">
        <f t="shared" si="68"/>
        <v>-0.17364730437768008</v>
      </c>
      <c r="U88">
        <f t="shared" si="69"/>
        <v>0.99965252202566768</v>
      </c>
      <c r="V88">
        <f t="shared" si="70"/>
        <v>-2.6362780569872145E-2</v>
      </c>
      <c r="X88">
        <f t="shared" si="87"/>
        <v>6.3435875682320937</v>
      </c>
      <c r="Y88">
        <f t="shared" si="71"/>
        <v>-112.43961491546121</v>
      </c>
      <c r="Z88">
        <f t="shared" si="88"/>
        <v>67.560385084538794</v>
      </c>
      <c r="AC88">
        <v>1</v>
      </c>
      <c r="AD88">
        <f t="shared" si="72"/>
        <v>7.2778135329899998</v>
      </c>
      <c r="AE88">
        <f t="shared" si="73"/>
        <v>-1.4815823726146122E-5</v>
      </c>
      <c r="AF88">
        <f t="shared" si="74"/>
        <v>5.618675622672E-4</v>
      </c>
      <c r="AG88">
        <f t="shared" si="89"/>
        <v>12897.000238085593</v>
      </c>
      <c r="AH88">
        <f t="shared" si="90"/>
        <v>-2119.8584188013947</v>
      </c>
      <c r="AJ88">
        <f t="shared" si="75"/>
        <v>18000</v>
      </c>
      <c r="AK88">
        <f t="shared" si="76"/>
        <v>3157.4514096972002</v>
      </c>
      <c r="AL88">
        <v>1</v>
      </c>
      <c r="AM88">
        <f t="shared" si="77"/>
        <v>6.8933956899654003</v>
      </c>
      <c r="AN88">
        <f t="shared" si="91"/>
        <v>819.58903740742437</v>
      </c>
      <c r="AO88">
        <f t="shared" si="92"/>
        <v>-2492.3001283100302</v>
      </c>
      <c r="AQ88">
        <f t="shared" si="78"/>
        <v>3.4281796366129584</v>
      </c>
      <c r="AR88">
        <f t="shared" si="79"/>
        <v>-185.12170037709976</v>
      </c>
      <c r="AT88">
        <f t="shared" si="104"/>
        <v>-348218.56145762675</v>
      </c>
      <c r="AU88">
        <f t="shared" si="105"/>
        <v>-2394781.8693021028</v>
      </c>
      <c r="AV88">
        <f t="shared" si="93"/>
        <v>-1.7151915547448526</v>
      </c>
      <c r="AW88">
        <f t="shared" si="94"/>
        <v>-443273.81783819711</v>
      </c>
      <c r="AX88">
        <f t="shared" si="95"/>
        <v>-174997.05333123877</v>
      </c>
      <c r="AY88">
        <f t="shared" si="103"/>
        <v>-2.7655915977850651</v>
      </c>
      <c r="BA88">
        <f t="shared" si="80"/>
        <v>5.0779190294988599</v>
      </c>
      <c r="BB88">
        <f t="shared" si="96"/>
        <v>14.11371543007583</v>
      </c>
      <c r="BC88">
        <f t="shared" si="97"/>
        <v>1.0504000430402125</v>
      </c>
      <c r="BD88">
        <f t="shared" si="81"/>
        <v>-119.81651066466614</v>
      </c>
      <c r="BF88">
        <f t="shared" si="82"/>
        <v>6.5097109579992942</v>
      </c>
      <c r="BG88">
        <f t="shared" si="83"/>
        <v>-114.71860674944799</v>
      </c>
      <c r="BH88">
        <f t="shared" si="98"/>
        <v>65.281393250552014</v>
      </c>
      <c r="BI88">
        <f t="shared" si="99"/>
        <v>65.281393250552014</v>
      </c>
      <c r="BJ88">
        <f t="shared" si="84"/>
        <v>0</v>
      </c>
      <c r="BK88">
        <f t="shared" si="100"/>
        <v>0</v>
      </c>
      <c r="BM88">
        <f t="shared" si="101"/>
        <v>-7.6040044720765367</v>
      </c>
      <c r="BN88">
        <f t="shared" si="85"/>
        <v>-174.90209608478187</v>
      </c>
      <c r="BQ88" s="56">
        <f t="shared" si="102"/>
        <v>31.015676230360967</v>
      </c>
      <c r="BR88" s="59"/>
      <c r="BS88" s="59"/>
      <c r="BT88" s="59">
        <v>602.55999999999995</v>
      </c>
      <c r="BU88" s="59">
        <v>19.198</v>
      </c>
      <c r="BV88" s="59">
        <v>-264.00260000000003</v>
      </c>
      <c r="BW88" s="61"/>
      <c r="BY88" s="59"/>
      <c r="BZ88" s="59"/>
      <c r="CA88" s="59"/>
      <c r="CC88" s="59"/>
    </row>
    <row r="89" spans="1:81" x14ac:dyDescent="0.25">
      <c r="A89">
        <f t="shared" si="54"/>
        <v>27500</v>
      </c>
      <c r="B89">
        <f t="shared" si="86"/>
        <v>27.5</v>
      </c>
      <c r="C89">
        <f t="shared" si="55"/>
        <v>1.0002720217310346</v>
      </c>
      <c r="D89">
        <f t="shared" si="56"/>
        <v>2.3322096053298599E-2</v>
      </c>
      <c r="F89">
        <f t="shared" si="57"/>
        <v>2.6745284253529969E-2</v>
      </c>
      <c r="G89">
        <f t="shared" si="58"/>
        <v>6.4812658539619206E-2</v>
      </c>
      <c r="H89">
        <f t="shared" si="59"/>
        <v>-3.0767799914603811</v>
      </c>
      <c r="J89">
        <f t="shared" si="60"/>
        <v>15</v>
      </c>
      <c r="M89">
        <f t="shared" si="61"/>
        <v>9.7078845992385435E-2</v>
      </c>
      <c r="N89">
        <f t="shared" si="62"/>
        <v>-1.5707963250000001</v>
      </c>
      <c r="O89">
        <f t="shared" si="63"/>
        <v>7.4797365426698592</v>
      </c>
      <c r="P89">
        <f t="shared" si="64"/>
        <v>1.4367002590138198</v>
      </c>
      <c r="Q89">
        <f t="shared" si="65"/>
        <v>7.0919080275659638</v>
      </c>
      <c r="R89">
        <f t="shared" si="66"/>
        <v>1.4293190583019335</v>
      </c>
      <c r="S89">
        <f t="shared" si="67"/>
        <v>0.98441207862001334</v>
      </c>
      <c r="T89">
        <f t="shared" si="68"/>
        <v>-0.17679698968929292</v>
      </c>
      <c r="U89">
        <f t="shared" si="69"/>
        <v>0.99963954033055458</v>
      </c>
      <c r="V89">
        <f t="shared" si="70"/>
        <v>-2.6850747726004914E-2</v>
      </c>
      <c r="X89">
        <f t="shared" si="87"/>
        <v>6.1650191877604987</v>
      </c>
      <c r="Y89">
        <f t="shared" si="71"/>
        <v>-112.40759532945584</v>
      </c>
      <c r="Z89">
        <f t="shared" si="88"/>
        <v>67.592404670544155</v>
      </c>
      <c r="AC89">
        <v>1</v>
      </c>
      <c r="AD89">
        <f t="shared" si="72"/>
        <v>7.4125878576750006</v>
      </c>
      <c r="AE89">
        <f t="shared" si="73"/>
        <v>-1.5369638810559678E-5</v>
      </c>
      <c r="AF89">
        <f t="shared" si="74"/>
        <v>5.7227251712399995E-4</v>
      </c>
      <c r="AG89">
        <f t="shared" si="89"/>
        <v>12896.665274017247</v>
      </c>
      <c r="AH89">
        <f t="shared" si="90"/>
        <v>-2093.7875771914855</v>
      </c>
      <c r="AJ89">
        <f t="shared" si="75"/>
        <v>18000</v>
      </c>
      <c r="AK89">
        <f t="shared" si="76"/>
        <v>3215.9227320990003</v>
      </c>
      <c r="AL89">
        <v>1</v>
      </c>
      <c r="AM89">
        <f t="shared" si="77"/>
        <v>7.0210511657054999</v>
      </c>
      <c r="AN89">
        <f t="shared" si="91"/>
        <v>806.82034759336125</v>
      </c>
      <c r="AO89">
        <f t="shared" si="92"/>
        <v>-2448.8042098862848</v>
      </c>
      <c r="AQ89">
        <f t="shared" si="78"/>
        <v>3.3046926635822866</v>
      </c>
      <c r="AR89">
        <f t="shared" si="79"/>
        <v>-181.75809649702578</v>
      </c>
      <c r="AT89">
        <f t="shared" si="104"/>
        <v>-337943.32938372262</v>
      </c>
      <c r="AU89">
        <f t="shared" si="105"/>
        <v>-2350992.6558101126</v>
      </c>
      <c r="AV89">
        <f t="shared" si="93"/>
        <v>-1.7135633272290001</v>
      </c>
      <c r="AW89">
        <f t="shared" si="94"/>
        <v>-427144.13871799206</v>
      </c>
      <c r="AX89">
        <f t="shared" si="95"/>
        <v>-169216.27394743287</v>
      </c>
      <c r="AY89">
        <f t="shared" si="103"/>
        <v>-2.7644033214613728</v>
      </c>
      <c r="BA89">
        <f t="shared" si="80"/>
        <v>5.1696648693662954</v>
      </c>
      <c r="BB89">
        <f t="shared" si="96"/>
        <v>14.269247805389789</v>
      </c>
      <c r="BC89">
        <f t="shared" si="97"/>
        <v>1.0508399942323727</v>
      </c>
      <c r="BD89">
        <f t="shared" si="81"/>
        <v>-119.79130331813479</v>
      </c>
      <c r="BF89">
        <f t="shared" si="82"/>
        <v>6.3383797761929923</v>
      </c>
      <c r="BG89">
        <f t="shared" si="83"/>
        <v>-114.74155384576919</v>
      </c>
      <c r="BH89">
        <f t="shared" si="98"/>
        <v>65.258446154230811</v>
      </c>
      <c r="BI89">
        <f t="shared" si="99"/>
        <v>65.258446154230811</v>
      </c>
      <c r="BJ89">
        <f t="shared" si="84"/>
        <v>0</v>
      </c>
      <c r="BK89">
        <f t="shared" si="100"/>
        <v>0</v>
      </c>
      <c r="BM89">
        <f t="shared" si="101"/>
        <v>-7.9308680291967963</v>
      </c>
      <c r="BN89">
        <f t="shared" si="85"/>
        <v>-174.95025052763441</v>
      </c>
      <c r="BQ89" s="56">
        <f t="shared" si="102"/>
        <v>31.171208605674927</v>
      </c>
      <c r="BR89" s="59"/>
      <c r="BS89" s="59"/>
      <c r="BT89" s="59">
        <v>616.59500000000003</v>
      </c>
      <c r="BU89" s="59">
        <v>18.983699999999999</v>
      </c>
      <c r="BV89" s="59">
        <v>-264.13310000000001</v>
      </c>
      <c r="BW89" s="61"/>
      <c r="BY89" s="59"/>
      <c r="BZ89" s="59"/>
      <c r="CA89" s="59"/>
      <c r="CC89" s="59"/>
    </row>
    <row r="90" spans="1:81" x14ac:dyDescent="0.25">
      <c r="A90">
        <f t="shared" si="54"/>
        <v>28000</v>
      </c>
      <c r="B90">
        <f t="shared" si="86"/>
        <v>28</v>
      </c>
      <c r="C90">
        <f t="shared" si="55"/>
        <v>1.0002820019478551</v>
      </c>
      <c r="D90">
        <f t="shared" si="56"/>
        <v>2.3745976201593744E-2</v>
      </c>
      <c r="F90">
        <f t="shared" si="57"/>
        <v>2.5775613242831976E-2</v>
      </c>
      <c r="G90">
        <f t="shared" si="58"/>
        <v>6.3596857831585862E-2</v>
      </c>
      <c r="H90">
        <f t="shared" si="59"/>
        <v>-3.0779957921684145</v>
      </c>
      <c r="J90">
        <f t="shared" si="60"/>
        <v>15</v>
      </c>
      <c r="M90">
        <f t="shared" si="61"/>
        <v>9.5345295171092845E-2</v>
      </c>
      <c r="N90">
        <f t="shared" si="62"/>
        <v>-1.5707963250000001</v>
      </c>
      <c r="O90">
        <f t="shared" si="63"/>
        <v>7.6133222650639132</v>
      </c>
      <c r="P90">
        <f t="shared" si="64"/>
        <v>1.4390669799646494</v>
      </c>
      <c r="Q90">
        <f t="shared" si="65"/>
        <v>7.2183105118475215</v>
      </c>
      <c r="R90">
        <f t="shared" si="66"/>
        <v>1.4318127412957484</v>
      </c>
      <c r="S90">
        <f t="shared" si="67"/>
        <v>0.98385387186602036</v>
      </c>
      <c r="T90">
        <f t="shared" si="68"/>
        <v>-0.17994313415125007</v>
      </c>
      <c r="U90">
        <f t="shared" si="69"/>
        <v>0.99962632095894088</v>
      </c>
      <c r="V90">
        <f t="shared" si="70"/>
        <v>-2.7338702092432509E-2</v>
      </c>
      <c r="X90">
        <f t="shared" si="87"/>
        <v>5.9900008732291541</v>
      </c>
      <c r="Y90">
        <f t="shared" si="71"/>
        <v>-112.38270692765306</v>
      </c>
      <c r="Z90">
        <f t="shared" si="88"/>
        <v>67.617293072346939</v>
      </c>
      <c r="AC90">
        <v>1</v>
      </c>
      <c r="AD90">
        <f t="shared" si="72"/>
        <v>7.5473621823600006</v>
      </c>
      <c r="AE90">
        <f t="shared" si="73"/>
        <v>-1.5933615639641372E-5</v>
      </c>
      <c r="AF90">
        <f t="shared" si="74"/>
        <v>5.8267747198079991E-4</v>
      </c>
      <c r="AG90">
        <f t="shared" si="89"/>
        <v>12896.324181700085</v>
      </c>
      <c r="AH90">
        <f t="shared" si="90"/>
        <v>-2068.8719414145198</v>
      </c>
      <c r="AJ90">
        <f t="shared" si="75"/>
        <v>18000</v>
      </c>
      <c r="AK90">
        <f t="shared" si="76"/>
        <v>3274.3940545007999</v>
      </c>
      <c r="AL90">
        <v>1</v>
      </c>
      <c r="AM90">
        <f t="shared" si="77"/>
        <v>7.1487066414455995</v>
      </c>
      <c r="AN90">
        <f t="shared" si="91"/>
        <v>794.71206131778445</v>
      </c>
      <c r="AO90">
        <f t="shared" si="92"/>
        <v>-2406.7693362785681</v>
      </c>
      <c r="AQ90">
        <f t="shared" si="78"/>
        <v>3.1877590054191902</v>
      </c>
      <c r="AR90">
        <f t="shared" si="79"/>
        <v>-178.51450430347467</v>
      </c>
      <c r="AT90">
        <f t="shared" si="104"/>
        <v>-328213.27554196055</v>
      </c>
      <c r="AU90">
        <f t="shared" si="105"/>
        <v>-2308775.9837954077</v>
      </c>
      <c r="AV90">
        <f t="shared" si="93"/>
        <v>-1.7120091305780236</v>
      </c>
      <c r="AW90">
        <f t="shared" si="94"/>
        <v>-411845.29706081102</v>
      </c>
      <c r="AX90">
        <f t="shared" si="95"/>
        <v>-163774.86956771777</v>
      </c>
      <c r="AY90">
        <f t="shared" si="103"/>
        <v>-2.7631041613954568</v>
      </c>
      <c r="BA90">
        <f t="shared" si="80"/>
        <v>5.26153933446398</v>
      </c>
      <c r="BB90">
        <f t="shared" si="96"/>
        <v>14.422256429314466</v>
      </c>
      <c r="BC90">
        <f t="shared" si="97"/>
        <v>1.0510950308174332</v>
      </c>
      <c r="BD90">
        <f t="shared" si="81"/>
        <v>-119.77669079817272</v>
      </c>
      <c r="BF90">
        <f t="shared" si="82"/>
        <v>6.1707108356144067</v>
      </c>
      <c r="BG90">
        <f t="shared" si="83"/>
        <v>-114.77231503164158</v>
      </c>
      <c r="BH90">
        <f t="shared" si="98"/>
        <v>65.227684968358417</v>
      </c>
      <c r="BI90">
        <f t="shared" si="99"/>
        <v>65.227684968358417</v>
      </c>
      <c r="BJ90">
        <f t="shared" si="84"/>
        <v>0</v>
      </c>
      <c r="BK90">
        <f t="shared" si="100"/>
        <v>0</v>
      </c>
      <c r="BM90">
        <f t="shared" si="101"/>
        <v>-8.2515455937000581</v>
      </c>
      <c r="BN90">
        <f t="shared" si="85"/>
        <v>-174.99562423346887</v>
      </c>
      <c r="BQ90" s="56">
        <f t="shared" si="102"/>
        <v>31.324217229599604</v>
      </c>
      <c r="BR90" s="59"/>
      <c r="BS90" s="59"/>
      <c r="BT90" s="59">
        <v>630.95699999999999</v>
      </c>
      <c r="BU90" s="59">
        <v>18.802900000000001</v>
      </c>
      <c r="BV90" s="59">
        <v>-263.74850000000004</v>
      </c>
      <c r="BW90" s="61"/>
      <c r="BY90" s="59"/>
      <c r="BZ90" s="59"/>
      <c r="CA90" s="59"/>
      <c r="CC90" s="59"/>
    </row>
    <row r="91" spans="1:81" x14ac:dyDescent="0.25">
      <c r="A91">
        <f t="shared" si="54"/>
        <v>28500</v>
      </c>
      <c r="B91">
        <f t="shared" si="86"/>
        <v>28.5</v>
      </c>
      <c r="C91">
        <f t="shared" si="55"/>
        <v>1.0002921618861194</v>
      </c>
      <c r="D91">
        <f t="shared" si="56"/>
        <v>2.4169847815369912E-2</v>
      </c>
      <c r="F91">
        <f t="shared" si="57"/>
        <v>2.4858120699252858E-2</v>
      </c>
      <c r="G91">
        <f t="shared" si="58"/>
        <v>6.2426803404071585E-2</v>
      </c>
      <c r="H91">
        <f t="shared" si="59"/>
        <v>-3.0791658465959286</v>
      </c>
      <c r="J91">
        <f t="shared" si="60"/>
        <v>15</v>
      </c>
      <c r="M91">
        <f t="shared" si="61"/>
        <v>9.3672570694407001E-2</v>
      </c>
      <c r="N91">
        <f t="shared" si="62"/>
        <v>-1.5707963250000001</v>
      </c>
      <c r="O91">
        <f t="shared" si="63"/>
        <v>7.7469491616296002</v>
      </c>
      <c r="P91">
        <f t="shared" si="64"/>
        <v>1.4413520663505897</v>
      </c>
      <c r="Q91">
        <f t="shared" si="65"/>
        <v>7.3447563377157152</v>
      </c>
      <c r="R91">
        <f t="shared" si="66"/>
        <v>1.4342205773611847</v>
      </c>
      <c r="S91">
        <f t="shared" si="67"/>
        <v>0.98328658161627114</v>
      </c>
      <c r="T91">
        <f t="shared" si="68"/>
        <v>-0.1830856815547138</v>
      </c>
      <c r="U91">
        <f t="shared" si="69"/>
        <v>0.99961286393914062</v>
      </c>
      <c r="V91">
        <f t="shared" si="70"/>
        <v>-2.7826643437303653E-2</v>
      </c>
      <c r="X91">
        <f t="shared" si="87"/>
        <v>5.8183780755683792</v>
      </c>
      <c r="Y91">
        <f t="shared" si="71"/>
        <v>-112.36458708640798</v>
      </c>
      <c r="Z91">
        <f t="shared" si="88"/>
        <v>67.63541291359202</v>
      </c>
      <c r="AC91">
        <v>1</v>
      </c>
      <c r="AD91">
        <f t="shared" si="72"/>
        <v>7.6821365070450005</v>
      </c>
      <c r="AE91">
        <f t="shared" si="73"/>
        <v>-1.6507754213391207E-5</v>
      </c>
      <c r="AF91">
        <f t="shared" si="74"/>
        <v>5.9308242683759997E-4</v>
      </c>
      <c r="AG91">
        <f t="shared" si="89"/>
        <v>12895.976962107954</v>
      </c>
      <c r="AH91">
        <f t="shared" si="90"/>
        <v>-2045.0506761754887</v>
      </c>
      <c r="AJ91">
        <f t="shared" si="75"/>
        <v>18000</v>
      </c>
      <c r="AK91">
        <f t="shared" si="76"/>
        <v>3332.8653769026005</v>
      </c>
      <c r="AL91">
        <v>1</v>
      </c>
      <c r="AM91">
        <f t="shared" si="77"/>
        <v>7.2763621171857009</v>
      </c>
      <c r="AN91">
        <f t="shared" si="91"/>
        <v>783.21969265289692</v>
      </c>
      <c r="AO91">
        <f t="shared" si="92"/>
        <v>-2366.1247241507667</v>
      </c>
      <c r="AQ91">
        <f t="shared" si="78"/>
        <v>3.0769230769230771</v>
      </c>
      <c r="AR91">
        <f t="shared" si="79"/>
        <v>-175.38461538461539</v>
      </c>
      <c r="AT91">
        <f t="shared" si="104"/>
        <v>-318990.49716890737</v>
      </c>
      <c r="AU91">
        <f t="shared" si="105"/>
        <v>-2268048.423127166</v>
      </c>
      <c r="AV91">
        <f t="shared" si="93"/>
        <v>-1.7105251706191047</v>
      </c>
      <c r="AW91">
        <f t="shared" si="94"/>
        <v>-397321.61754399096</v>
      </c>
      <c r="AX91">
        <f t="shared" si="95"/>
        <v>-158646.20342903992</v>
      </c>
      <c r="AY91">
        <f t="shared" si="103"/>
        <v>-2.7616992446890478</v>
      </c>
      <c r="BA91">
        <f t="shared" si="80"/>
        <v>5.3535394247060228</v>
      </c>
      <c r="BB91">
        <f t="shared" si="96"/>
        <v>14.57282010536826</v>
      </c>
      <c r="BC91">
        <f t="shared" si="97"/>
        <v>1.0511740740699431</v>
      </c>
      <c r="BD91">
        <f t="shared" si="81"/>
        <v>-119.77216195339975</v>
      </c>
      <c r="BF91">
        <f t="shared" si="82"/>
        <v>6.0065484500504347</v>
      </c>
      <c r="BG91">
        <f t="shared" si="83"/>
        <v>-114.81053931288983</v>
      </c>
      <c r="BH91">
        <f t="shared" si="98"/>
        <v>65.18946068711017</v>
      </c>
      <c r="BI91">
        <f t="shared" si="99"/>
        <v>65.18946068711017</v>
      </c>
      <c r="BJ91">
        <f t="shared" si="84"/>
        <v>0</v>
      </c>
      <c r="BK91">
        <f t="shared" si="100"/>
        <v>0</v>
      </c>
      <c r="BM91">
        <f t="shared" si="101"/>
        <v>-8.5662716553178253</v>
      </c>
      <c r="BN91">
        <f t="shared" si="85"/>
        <v>-175.03837735949011</v>
      </c>
      <c r="BQ91" s="56">
        <f t="shared" si="102"/>
        <v>31.474780905653397</v>
      </c>
      <c r="BR91" s="59"/>
      <c r="BS91" s="59"/>
      <c r="BT91" s="59">
        <v>645.654</v>
      </c>
      <c r="BU91" s="59">
        <v>18.598600000000001</v>
      </c>
      <c r="BV91" s="59">
        <v>-263.7636</v>
      </c>
      <c r="BW91" s="61"/>
      <c r="BY91" s="59"/>
      <c r="BZ91" s="59"/>
      <c r="CA91" s="59"/>
      <c r="CC91" s="59"/>
    </row>
    <row r="92" spans="1:81" x14ac:dyDescent="0.25">
      <c r="A92">
        <f t="shared" si="54"/>
        <v>29000</v>
      </c>
      <c r="B92">
        <f t="shared" si="86"/>
        <v>29</v>
      </c>
      <c r="C92">
        <f t="shared" si="55"/>
        <v>1.0003025015403506</v>
      </c>
      <c r="D92">
        <f t="shared" si="56"/>
        <v>2.4593710742577903E-2</v>
      </c>
      <c r="F92">
        <f t="shared" si="57"/>
        <v>2.3989103435143024E-2</v>
      </c>
      <c r="G92">
        <f t="shared" si="58"/>
        <v>6.1299913986882087E-2</v>
      </c>
      <c r="H92">
        <f t="shared" si="59"/>
        <v>-3.080292736013118</v>
      </c>
      <c r="J92">
        <f t="shared" si="60"/>
        <v>15</v>
      </c>
      <c r="M92">
        <f t="shared" si="61"/>
        <v>9.2057526372089651E-2</v>
      </c>
      <c r="N92">
        <f t="shared" si="62"/>
        <v>-1.5707963250000001</v>
      </c>
      <c r="O92">
        <f t="shared" si="63"/>
        <v>7.8806151378694933</v>
      </c>
      <c r="P92">
        <f t="shared" si="64"/>
        <v>1.4435596475794261</v>
      </c>
      <c r="Q92">
        <f t="shared" si="65"/>
        <v>7.47124330458825</v>
      </c>
      <c r="R92">
        <f t="shared" si="66"/>
        <v>1.4365468979688125</v>
      </c>
      <c r="S92">
        <f t="shared" si="67"/>
        <v>0.98271025715831473</v>
      </c>
      <c r="T92">
        <f t="shared" si="68"/>
        <v>-0.18622457610347726</v>
      </c>
      <c r="U92">
        <f t="shared" si="69"/>
        <v>0.9995991692999745</v>
      </c>
      <c r="V92">
        <f t="shared" si="70"/>
        <v>-2.8314571528804247E-2</v>
      </c>
      <c r="X92">
        <f t="shared" si="87"/>
        <v>5.6500061164264288</v>
      </c>
      <c r="Y92">
        <f t="shared" si="71"/>
        <v>-112.35289572753007</v>
      </c>
      <c r="Z92">
        <f t="shared" si="88"/>
        <v>67.647104272469932</v>
      </c>
      <c r="AC92">
        <v>1</v>
      </c>
      <c r="AD92">
        <f t="shared" si="72"/>
        <v>7.8169108317300005</v>
      </c>
      <c r="AE92">
        <f t="shared" si="73"/>
        <v>-1.7092054531809181E-5</v>
      </c>
      <c r="AF92">
        <f t="shared" si="74"/>
        <v>6.0348738169439993E-4</v>
      </c>
      <c r="AG92">
        <f t="shared" si="89"/>
        <v>12895.623616232131</v>
      </c>
      <c r="AH92">
        <f t="shared" si="90"/>
        <v>-2022.2671411020999</v>
      </c>
      <c r="AJ92">
        <f t="shared" si="75"/>
        <v>18000</v>
      </c>
      <c r="AK92">
        <f t="shared" si="76"/>
        <v>3391.3366993044006</v>
      </c>
      <c r="AL92">
        <v>1</v>
      </c>
      <c r="AM92">
        <f t="shared" si="77"/>
        <v>7.4040175929257996</v>
      </c>
      <c r="AN92">
        <f t="shared" si="91"/>
        <v>772.30241621047594</v>
      </c>
      <c r="AO92">
        <f t="shared" si="92"/>
        <v>-2326.8039773770665</v>
      </c>
      <c r="AQ92">
        <f t="shared" si="78"/>
        <v>2.9717682020802378</v>
      </c>
      <c r="AR92">
        <f t="shared" si="79"/>
        <v>-172.3625557206538</v>
      </c>
      <c r="AT92">
        <f t="shared" si="104"/>
        <v>-310240.32858154434</v>
      </c>
      <c r="AU92">
        <f t="shared" si="105"/>
        <v>-2228732.3532914286</v>
      </c>
      <c r="AV92">
        <f t="shared" si="93"/>
        <v>-1.7091079063446415</v>
      </c>
      <c r="AW92">
        <f t="shared" si="94"/>
        <v>-383521.97687751107</v>
      </c>
      <c r="AX92">
        <f t="shared" si="95"/>
        <v>-153806.1848768974</v>
      </c>
      <c r="AY92">
        <f t="shared" si="103"/>
        <v>-2.7601933454015866</v>
      </c>
      <c r="BA92">
        <f t="shared" si="80"/>
        <v>5.4456623261102655</v>
      </c>
      <c r="BB92">
        <f t="shared" si="96"/>
        <v>14.721014163312026</v>
      </c>
      <c r="BC92">
        <f t="shared" si="97"/>
        <v>1.0510854390569451</v>
      </c>
      <c r="BD92">
        <f t="shared" si="81"/>
        <v>-119.77724036556742</v>
      </c>
      <c r="BF92">
        <f t="shared" si="82"/>
        <v>5.8457467824835518</v>
      </c>
      <c r="BG92">
        <f t="shared" si="83"/>
        <v>-114.85589817586536</v>
      </c>
      <c r="BH92">
        <f t="shared" si="98"/>
        <v>65.144101824134637</v>
      </c>
      <c r="BI92">
        <f t="shared" si="99"/>
        <v>65.144101824134637</v>
      </c>
      <c r="BJ92">
        <f t="shared" si="84"/>
        <v>0</v>
      </c>
      <c r="BK92">
        <f t="shared" si="100"/>
        <v>0</v>
      </c>
      <c r="BM92">
        <f t="shared" si="101"/>
        <v>-8.8752673808284719</v>
      </c>
      <c r="BN92">
        <f t="shared" si="85"/>
        <v>-175.07865781029795</v>
      </c>
      <c r="BQ92" s="56">
        <f t="shared" si="102"/>
        <v>31.622974963597162</v>
      </c>
      <c r="BR92" s="59"/>
      <c r="BS92" s="59"/>
      <c r="BT92" s="59">
        <v>660.69299999999998</v>
      </c>
      <c r="BU92" s="59">
        <v>18.468</v>
      </c>
      <c r="BV92" s="59">
        <v>-263.60980000000001</v>
      </c>
      <c r="BW92" s="61"/>
      <c r="BY92" s="59"/>
      <c r="BZ92" s="59"/>
      <c r="CA92" s="59"/>
      <c r="CC92" s="59"/>
    </row>
    <row r="93" spans="1:81" x14ac:dyDescent="0.25">
      <c r="A93">
        <f t="shared" si="54"/>
        <v>29500</v>
      </c>
      <c r="B93">
        <f t="shared" si="86"/>
        <v>29.5</v>
      </c>
      <c r="C93">
        <f t="shared" si="55"/>
        <v>1.0003130209049762</v>
      </c>
      <c r="D93">
        <f t="shared" si="56"/>
        <v>2.5017564831187247E-2</v>
      </c>
      <c r="F93">
        <f t="shared" si="57"/>
        <v>2.3165183140099806E-2</v>
      </c>
      <c r="G93">
        <f t="shared" si="58"/>
        <v>6.0213801841221479E-2</v>
      </c>
      <c r="H93">
        <f t="shared" si="59"/>
        <v>-3.0813788481587787</v>
      </c>
      <c r="J93">
        <f t="shared" si="60"/>
        <v>15</v>
      </c>
      <c r="M93">
        <f t="shared" si="61"/>
        <v>9.049722931493559E-2</v>
      </c>
      <c r="N93">
        <f t="shared" si="62"/>
        <v>-1.5707963250000001</v>
      </c>
      <c r="O93">
        <f t="shared" si="63"/>
        <v>8.0143182384249396</v>
      </c>
      <c r="P93">
        <f t="shared" si="64"/>
        <v>1.4456935806389581</v>
      </c>
      <c r="Q93">
        <f t="shared" si="65"/>
        <v>7.5977693577304137</v>
      </c>
      <c r="R93">
        <f t="shared" si="66"/>
        <v>1.4387957497320905</v>
      </c>
      <c r="S93">
        <f t="shared" si="67"/>
        <v>0.98212494840729803</v>
      </c>
      <c r="T93">
        <f t="shared" si="68"/>
        <v>-0.189359762418884</v>
      </c>
      <c r="U93">
        <f t="shared" si="69"/>
        <v>0.99958523707076985</v>
      </c>
      <c r="V93">
        <f t="shared" si="70"/>
        <v>-2.8802486135158029E-2</v>
      </c>
      <c r="X93">
        <f t="shared" si="87"/>
        <v>5.4847493632273387</v>
      </c>
      <c r="Y93">
        <f t="shared" si="71"/>
        <v>-112.34731363784711</v>
      </c>
      <c r="Z93">
        <f t="shared" si="88"/>
        <v>67.652686362152892</v>
      </c>
      <c r="AC93">
        <v>1</v>
      </c>
      <c r="AD93">
        <f t="shared" si="72"/>
        <v>7.9516851564150004</v>
      </c>
      <c r="AE93">
        <f t="shared" si="73"/>
        <v>-1.7686516594895286E-5</v>
      </c>
      <c r="AF93">
        <f t="shared" si="74"/>
        <v>6.1389233655119999E-4</v>
      </c>
      <c r="AG93">
        <f t="shared" si="89"/>
        <v>12895.264145081277</v>
      </c>
      <c r="AH93">
        <f t="shared" si="90"/>
        <v>-2000.468535243092</v>
      </c>
      <c r="AJ93">
        <f t="shared" si="75"/>
        <v>18000</v>
      </c>
      <c r="AK93">
        <f t="shared" si="76"/>
        <v>3449.8080217062002</v>
      </c>
      <c r="AL93">
        <v>1</v>
      </c>
      <c r="AM93">
        <f t="shared" si="77"/>
        <v>7.5316730686658993</v>
      </c>
      <c r="AN93">
        <f t="shared" si="91"/>
        <v>761.92271379119256</v>
      </c>
      <c r="AO93">
        <f t="shared" si="92"/>
        <v>-2288.7447621597607</v>
      </c>
      <c r="AQ93">
        <f t="shared" si="78"/>
        <v>2.8719126938541066</v>
      </c>
      <c r="AR93">
        <f t="shared" si="79"/>
        <v>-169.44284893739231</v>
      </c>
      <c r="AT93">
        <f t="shared" si="104"/>
        <v>-301931.01503234106</v>
      </c>
      <c r="AU93">
        <f t="shared" si="105"/>
        <v>-2190755.4655227987</v>
      </c>
      <c r="AV93">
        <f t="shared" si="93"/>
        <v>-1.7077540292795881</v>
      </c>
      <c r="AW93">
        <f t="shared" si="94"/>
        <v>-370399.36777732673</v>
      </c>
      <c r="AX93">
        <f t="shared" si="95"/>
        <v>-149232.98636252055</v>
      </c>
      <c r="AY93">
        <f t="shared" si="103"/>
        <v>-2.7585909135765552</v>
      </c>
      <c r="BA93">
        <f t="shared" si="80"/>
        <v>5.5379053900557533</v>
      </c>
      <c r="BB93">
        <f t="shared" si="96"/>
        <v>14.866910639142008</v>
      </c>
      <c r="BC93">
        <f t="shared" si="97"/>
        <v>1.0508368842969671</v>
      </c>
      <c r="BD93">
        <f t="shared" si="81"/>
        <v>-119.79148150430831</v>
      </c>
      <c r="BF93">
        <f t="shared" si="82"/>
        <v>5.688169020107936</v>
      </c>
      <c r="BG93">
        <f t="shared" si="83"/>
        <v>-114.90808390626721</v>
      </c>
      <c r="BH93">
        <f t="shared" si="98"/>
        <v>65.091916093732792</v>
      </c>
      <c r="BI93">
        <f t="shared" si="99"/>
        <v>65.091916093732792</v>
      </c>
      <c r="BJ93">
        <f t="shared" si="84"/>
        <v>0</v>
      </c>
      <c r="BK93">
        <f t="shared" si="100"/>
        <v>0</v>
      </c>
      <c r="BM93">
        <f t="shared" si="101"/>
        <v>-9.1787416190340707</v>
      </c>
      <c r="BN93">
        <f t="shared" si="85"/>
        <v>-175.11660240195891</v>
      </c>
      <c r="BQ93" s="56">
        <f t="shared" si="102"/>
        <v>31.768871439427144</v>
      </c>
      <c r="BR93" s="59"/>
      <c r="BS93" s="59"/>
      <c r="BT93" s="59">
        <v>676.08299999999997</v>
      </c>
      <c r="BU93" s="59">
        <v>18.2744</v>
      </c>
      <c r="BV93" s="59">
        <v>-263.3252</v>
      </c>
      <c r="BW93" s="61"/>
      <c r="BY93" s="59"/>
      <c r="BZ93" s="59"/>
      <c r="CA93" s="59"/>
      <c r="CC93" s="59"/>
    </row>
    <row r="94" spans="1:81" x14ac:dyDescent="0.25">
      <c r="A94">
        <f t="shared" si="54"/>
        <v>30000</v>
      </c>
      <c r="B94">
        <f t="shared" si="86"/>
        <v>30</v>
      </c>
      <c r="C94">
        <f t="shared" si="55"/>
        <v>1.0003237199743269</v>
      </c>
      <c r="D94">
        <f t="shared" si="56"/>
        <v>2.544140992918649E-2</v>
      </c>
      <c r="F94">
        <f t="shared" si="57"/>
        <v>2.2383272569776184E-2</v>
      </c>
      <c r="G94">
        <f t="shared" si="58"/>
        <v>5.9166254737826211E-2</v>
      </c>
      <c r="H94">
        <f t="shared" si="59"/>
        <v>-3.082426395262174</v>
      </c>
      <c r="J94">
        <f t="shared" si="60"/>
        <v>15</v>
      </c>
      <c r="M94">
        <f t="shared" si="61"/>
        <v>8.8988942159686654E-2</v>
      </c>
      <c r="N94">
        <f t="shared" si="62"/>
        <v>-1.5707963250000001</v>
      </c>
      <c r="O94">
        <f t="shared" si="63"/>
        <v>8.1480566357550614</v>
      </c>
      <c r="P94">
        <f t="shared" si="64"/>
        <v>1.4477574720795592</v>
      </c>
      <c r="Q94">
        <f t="shared" si="65"/>
        <v>7.7243325764206014</v>
      </c>
      <c r="R94">
        <f t="shared" si="66"/>
        <v>1.4409709173081025</v>
      </c>
      <c r="S94">
        <f t="shared" si="67"/>
        <v>0.98153070589453972</v>
      </c>
      <c r="T94">
        <f t="shared" si="68"/>
        <v>-0.19249118554463376</v>
      </c>
      <c r="U94">
        <f t="shared" si="69"/>
        <v>0.99957106728136136</v>
      </c>
      <c r="V94">
        <f t="shared" si="70"/>
        <v>-2.9290387024627221E-2</v>
      </c>
      <c r="X94">
        <f t="shared" si="87"/>
        <v>5.322480488477499</v>
      </c>
      <c r="Y94">
        <f t="shared" si="71"/>
        <v>-112.34754093043399</v>
      </c>
      <c r="Z94">
        <f t="shared" si="88"/>
        <v>67.652459069566007</v>
      </c>
      <c r="AC94">
        <v>1</v>
      </c>
      <c r="AD94">
        <f t="shared" si="72"/>
        <v>8.0864594811000003</v>
      </c>
      <c r="AE94">
        <f t="shared" si="73"/>
        <v>-1.8291140402649534E-5</v>
      </c>
      <c r="AF94">
        <f t="shared" si="74"/>
        <v>6.2429729140800006E-4</v>
      </c>
      <c r="AG94">
        <f t="shared" si="89"/>
        <v>12894.898549681468</v>
      </c>
      <c r="AH94">
        <f t="shared" si="90"/>
        <v>-1979.6055771167303</v>
      </c>
      <c r="AJ94">
        <f t="shared" si="75"/>
        <v>18000</v>
      </c>
      <c r="AK94">
        <f t="shared" si="76"/>
        <v>3508.2793441080003</v>
      </c>
      <c r="AL94">
        <v>1</v>
      </c>
      <c r="AM94">
        <f t="shared" si="77"/>
        <v>7.6593285444060006</v>
      </c>
      <c r="AN94">
        <f t="shared" si="91"/>
        <v>752.04605994734425</v>
      </c>
      <c r="AO94">
        <f t="shared" si="92"/>
        <v>-2251.8885095547594</v>
      </c>
      <c r="AQ94">
        <f t="shared" si="78"/>
        <v>2.7770063871146902</v>
      </c>
      <c r="AR94">
        <f t="shared" si="79"/>
        <v>-166.62038322688142</v>
      </c>
      <c r="AT94">
        <f t="shared" si="104"/>
        <v>-294033.42426359997</v>
      </c>
      <c r="AU94">
        <f t="shared" si="105"/>
        <v>-2154050.3153513046</v>
      </c>
      <c r="AV94">
        <f t="shared" si="93"/>
        <v>-1.7064604448209204</v>
      </c>
      <c r="AW94">
        <f t="shared" si="94"/>
        <v>-357910.51051644416</v>
      </c>
      <c r="AX94">
        <f t="shared" si="95"/>
        <v>-144906.79601352467</v>
      </c>
      <c r="AY94">
        <f t="shared" si="103"/>
        <v>-2.7568961014741094</v>
      </c>
      <c r="BA94">
        <f t="shared" si="80"/>
        <v>5.6302661144997188</v>
      </c>
      <c r="BB94">
        <f t="shared" si="96"/>
        <v>15.010578445259545</v>
      </c>
      <c r="BC94">
        <f t="shared" si="97"/>
        <v>1.0504356566531889</v>
      </c>
      <c r="BD94">
        <f t="shared" si="81"/>
        <v>-119.81447015494705</v>
      </c>
      <c r="BF94">
        <f t="shared" si="82"/>
        <v>5.533686633595007</v>
      </c>
      <c r="BG94">
        <f t="shared" si="83"/>
        <v>-114.96680804952982</v>
      </c>
      <c r="BH94">
        <f t="shared" si="98"/>
        <v>65.033191950470183</v>
      </c>
      <c r="BI94">
        <f t="shared" si="99"/>
        <v>65.033191950470183</v>
      </c>
      <c r="BJ94">
        <f t="shared" si="84"/>
        <v>0</v>
      </c>
      <c r="BK94">
        <f t="shared" si="100"/>
        <v>0</v>
      </c>
      <c r="BM94">
        <f t="shared" si="101"/>
        <v>-9.4768918116645384</v>
      </c>
      <c r="BN94">
        <f t="shared" si="85"/>
        <v>-175.15233789458279</v>
      </c>
      <c r="BQ94" s="56">
        <f t="shared" si="102"/>
        <v>31.912539245544682</v>
      </c>
      <c r="BR94" s="59"/>
      <c r="BS94" s="59"/>
      <c r="BT94" s="59">
        <v>691.83100000000002</v>
      </c>
      <c r="BU94" s="59">
        <v>18.092600000000001</v>
      </c>
      <c r="BV94" s="59">
        <v>-263.57819999999998</v>
      </c>
      <c r="BW94" s="61"/>
      <c r="BY94" s="59"/>
      <c r="BZ94" s="59"/>
      <c r="CA94" s="59"/>
      <c r="CC94" s="59"/>
    </row>
    <row r="95" spans="1:81" x14ac:dyDescent="0.25">
      <c r="A95">
        <f t="shared" si="54"/>
        <v>30500</v>
      </c>
      <c r="B95">
        <f t="shared" si="86"/>
        <v>30.5</v>
      </c>
      <c r="C95">
        <f t="shared" si="55"/>
        <v>1.0003345987426364</v>
      </c>
      <c r="D95">
        <f t="shared" si="56"/>
        <v>2.5865245884583579E-2</v>
      </c>
      <c r="F95">
        <f t="shared" si="57"/>
        <v>2.164054579196438E-2</v>
      </c>
      <c r="G95">
        <f t="shared" si="58"/>
        <v>5.8155219931064782E-2</v>
      </c>
      <c r="H95">
        <f t="shared" si="59"/>
        <v>-3.0834374300689356</v>
      </c>
      <c r="J95">
        <f t="shared" si="60"/>
        <v>15</v>
      </c>
      <c r="M95">
        <f t="shared" si="61"/>
        <v>8.7530107042314745E-2</v>
      </c>
      <c r="N95">
        <f t="shared" si="62"/>
        <v>-1.5707963250000001</v>
      </c>
      <c r="O95">
        <f t="shared" si="63"/>
        <v>8.2818286198992386</v>
      </c>
      <c r="P95">
        <f t="shared" si="64"/>
        <v>1.4497546979130462</v>
      </c>
      <c r="Q95">
        <f t="shared" si="65"/>
        <v>7.850931163244951</v>
      </c>
      <c r="R95">
        <f t="shared" si="66"/>
        <v>1.4430759441369463</v>
      </c>
      <c r="S95">
        <f t="shared" si="67"/>
        <v>0.98092758075602582</v>
      </c>
      <c r="T95">
        <f t="shared" si="68"/>
        <v>-0.19561879095147472</v>
      </c>
      <c r="U95">
        <f t="shared" si="69"/>
        <v>0.99955665996208898</v>
      </c>
      <c r="V95">
        <f t="shared" si="70"/>
        <v>-2.9778273965513212E-2</v>
      </c>
      <c r="X95">
        <f t="shared" si="87"/>
        <v>5.1630798032588556</v>
      </c>
      <c r="Y95">
        <f t="shared" si="71"/>
        <v>-112.35329563469746</v>
      </c>
      <c r="Z95">
        <f t="shared" si="88"/>
        <v>67.64670436530254</v>
      </c>
      <c r="AC95">
        <v>1</v>
      </c>
      <c r="AD95">
        <f t="shared" si="72"/>
        <v>8.2212338057849994</v>
      </c>
      <c r="AE95">
        <f t="shared" si="73"/>
        <v>-1.8905925955071921E-5</v>
      </c>
      <c r="AF95">
        <f t="shared" si="74"/>
        <v>6.3470224626480001E-4</v>
      </c>
      <c r="AG95">
        <f t="shared" si="89"/>
        <v>12894.526831076177</v>
      </c>
      <c r="AH95">
        <f t="shared" si="90"/>
        <v>-1959.632216229945</v>
      </c>
      <c r="AJ95">
        <f t="shared" si="75"/>
        <v>18000</v>
      </c>
      <c r="AK95">
        <f t="shared" si="76"/>
        <v>3566.7506665098008</v>
      </c>
      <c r="AL95">
        <v>1</v>
      </c>
      <c r="AM95">
        <f t="shared" si="77"/>
        <v>7.7869840201461002</v>
      </c>
      <c r="AN95">
        <f t="shared" si="91"/>
        <v>742.64064166862477</v>
      </c>
      <c r="AO95">
        <f t="shared" si="92"/>
        <v>-2216.1801428748263</v>
      </c>
      <c r="AQ95">
        <f t="shared" si="78"/>
        <v>2.6867275658248255</v>
      </c>
      <c r="AR95">
        <f t="shared" si="79"/>
        <v>-163.89038151531435</v>
      </c>
      <c r="AT95">
        <f t="shared" si="104"/>
        <v>-286520.79086230649</v>
      </c>
      <c r="AU95">
        <f t="shared" si="105"/>
        <v>-2118553.9196987553</v>
      </c>
      <c r="AV95">
        <f t="shared" si="93"/>
        <v>-1.7052242553342549</v>
      </c>
      <c r="AW95">
        <f t="shared" si="94"/>
        <v>-346015.50626050297</v>
      </c>
      <c r="AX95">
        <f t="shared" si="95"/>
        <v>-140809.60081620177</v>
      </c>
      <c r="AY95">
        <f t="shared" si="103"/>
        <v>-2.7551127873174894</v>
      </c>
      <c r="BA95">
        <f t="shared" si="80"/>
        <v>5.7227421269282637</v>
      </c>
      <c r="BB95">
        <f t="shared" si="96"/>
        <v>15.152083531219294</v>
      </c>
      <c r="BC95">
        <f t="shared" si="97"/>
        <v>1.0498885319832345</v>
      </c>
      <c r="BD95">
        <f t="shared" si="81"/>
        <v>-119.84581808943875</v>
      </c>
      <c r="BF95">
        <f t="shared" si="82"/>
        <v>5.3821787105463246</v>
      </c>
      <c r="BG95">
        <f t="shared" si="83"/>
        <v>-115.03179999997808</v>
      </c>
      <c r="BH95">
        <f t="shared" si="98"/>
        <v>64.968200000021923</v>
      </c>
      <c r="BI95">
        <f t="shared" si="99"/>
        <v>64.968200000021923</v>
      </c>
      <c r="BJ95">
        <f t="shared" si="84"/>
        <v>0</v>
      </c>
      <c r="BK95">
        <f t="shared" si="100"/>
        <v>0</v>
      </c>
      <c r="BM95">
        <f t="shared" si="101"/>
        <v>-9.7699048206729682</v>
      </c>
      <c r="BN95">
        <f t="shared" si="85"/>
        <v>-175.18598191053934</v>
      </c>
      <c r="BQ95" s="56">
        <f t="shared" si="102"/>
        <v>32.054044331504429</v>
      </c>
      <c r="BR95" s="59"/>
      <c r="BS95" s="59"/>
      <c r="BT95" s="59">
        <v>707.94600000000003</v>
      </c>
      <c r="BU95" s="59">
        <v>17.887</v>
      </c>
      <c r="BV95" s="59">
        <v>-262.84989999999999</v>
      </c>
      <c r="BW95" s="61"/>
      <c r="BY95" s="59"/>
      <c r="BZ95" s="59"/>
      <c r="CA95" s="59"/>
      <c r="CC95" s="59"/>
    </row>
    <row r="96" spans="1:81" x14ac:dyDescent="0.25">
      <c r="A96">
        <f t="shared" si="54"/>
        <v>31000</v>
      </c>
      <c r="B96">
        <f t="shared" si="86"/>
        <v>31</v>
      </c>
      <c r="C96">
        <f t="shared" si="55"/>
        <v>1.0003456572040419</v>
      </c>
      <c r="D96">
        <f t="shared" si="56"/>
        <v>2.6289072545406127E-2</v>
      </c>
      <c r="F96">
        <f t="shared" si="57"/>
        <v>2.0934411940207315E-2</v>
      </c>
      <c r="G96">
        <f t="shared" si="58"/>
        <v>5.7178789873915115E-2</v>
      </c>
      <c r="H96">
        <f t="shared" si="59"/>
        <v>-3.0844138601260851</v>
      </c>
      <c r="J96">
        <f t="shared" si="60"/>
        <v>15</v>
      </c>
      <c r="M96">
        <f t="shared" si="61"/>
        <v>8.6118331122277403E-2</v>
      </c>
      <c r="N96">
        <f t="shared" si="62"/>
        <v>-1.5707963250000001</v>
      </c>
      <c r="O96">
        <f t="shared" si="63"/>
        <v>8.4156325892044954</v>
      </c>
      <c r="P96">
        <f t="shared" si="64"/>
        <v>1.4516884216534907</v>
      </c>
      <c r="Q96">
        <f t="shared" si="65"/>
        <v>7.977563434397859</v>
      </c>
      <c r="R96">
        <f t="shared" si="66"/>
        <v>1.4451141512526564</v>
      </c>
      <c r="S96">
        <f t="shared" si="67"/>
        <v>0.98031562472082456</v>
      </c>
      <c r="T96">
        <f t="shared" si="68"/>
        <v>-0.19874252454178026</v>
      </c>
      <c r="U96">
        <f t="shared" si="69"/>
        <v>0.99954201514380026</v>
      </c>
      <c r="V96">
        <f t="shared" si="70"/>
        <v>-3.0266146726157187E-2</v>
      </c>
      <c r="X96">
        <f t="shared" si="87"/>
        <v>5.0064346562118613</v>
      </c>
      <c r="Y96">
        <f t="shared" si="71"/>
        <v>-112.36431240366075</v>
      </c>
      <c r="Z96">
        <f t="shared" si="88"/>
        <v>67.635687596339253</v>
      </c>
      <c r="AC96">
        <v>1</v>
      </c>
      <c r="AD96">
        <f t="shared" si="72"/>
        <v>8.3560081304700002</v>
      </c>
      <c r="AE96">
        <f t="shared" si="73"/>
        <v>-1.9530873252162453E-5</v>
      </c>
      <c r="AF96">
        <f t="shared" si="74"/>
        <v>6.4510720112159997E-4</v>
      </c>
      <c r="AG96">
        <f t="shared" si="89"/>
        <v>12894.148990326248</v>
      </c>
      <c r="AH96">
        <f t="shared" si="90"/>
        <v>-1940.5053725149708</v>
      </c>
      <c r="AJ96">
        <f t="shared" si="75"/>
        <v>18000</v>
      </c>
      <c r="AK96">
        <f t="shared" si="76"/>
        <v>3625.2219889116</v>
      </c>
      <c r="AL96">
        <v>1</v>
      </c>
      <c r="AM96">
        <f t="shared" si="77"/>
        <v>7.9146394958861999</v>
      </c>
      <c r="AN96">
        <f t="shared" si="91"/>
        <v>733.67710804955937</v>
      </c>
      <c r="AO96">
        <f t="shared" si="92"/>
        <v>-2181.5678276850099</v>
      </c>
      <c r="AQ96">
        <f t="shared" si="78"/>
        <v>2.6007802340702209</v>
      </c>
      <c r="AR96">
        <f t="shared" si="79"/>
        <v>-161.24837451235371</v>
      </c>
      <c r="AT96">
        <f t="shared" si="104"/>
        <v>-279368.48922133143</v>
      </c>
      <c r="AU96">
        <f t="shared" si="105"/>
        <v>-2084207.3934271582</v>
      </c>
      <c r="AV96">
        <f t="shared" si="93"/>
        <v>-1.7040427448188233</v>
      </c>
      <c r="AW96">
        <f t="shared" si="94"/>
        <v>-334677.52716937818</v>
      </c>
      <c r="AX96">
        <f t="shared" si="95"/>
        <v>-136924.99620494104</v>
      </c>
      <c r="AY96">
        <f t="shared" si="103"/>
        <v>-2.753244596822817</v>
      </c>
      <c r="BA96">
        <f t="shared" si="80"/>
        <v>5.8153311688441542</v>
      </c>
      <c r="BB96">
        <f t="shared" si="96"/>
        <v>15.291489035481201</v>
      </c>
      <c r="BC96">
        <f t="shared" si="97"/>
        <v>1.0492018520039936</v>
      </c>
      <c r="BD96">
        <f t="shared" si="81"/>
        <v>-119.88516195417034</v>
      </c>
      <c r="BF96">
        <f t="shared" si="82"/>
        <v>5.2335313544370816</v>
      </c>
      <c r="BG96">
        <f t="shared" si="83"/>
        <v>-115.10280570709998</v>
      </c>
      <c r="BH96">
        <f t="shared" si="98"/>
        <v>64.897194292900025</v>
      </c>
      <c r="BI96">
        <f t="shared" si="99"/>
        <v>64.897194292900025</v>
      </c>
      <c r="BJ96">
        <f t="shared" si="84"/>
        <v>0</v>
      </c>
      <c r="BK96">
        <f t="shared" si="100"/>
        <v>0</v>
      </c>
      <c r="BM96">
        <f t="shared" si="101"/>
        <v>-10.057957681044115</v>
      </c>
      <c r="BN96">
        <f t="shared" si="85"/>
        <v>-175.21764375292966</v>
      </c>
      <c r="BQ96" s="56">
        <f t="shared" si="102"/>
        <v>32.193449835766337</v>
      </c>
      <c r="BR96" s="59"/>
      <c r="BS96" s="59"/>
      <c r="BT96" s="59">
        <v>724.43600000000004</v>
      </c>
      <c r="BU96" s="59">
        <v>17.753599999999999</v>
      </c>
      <c r="BV96" s="59">
        <v>-262.81690000000003</v>
      </c>
      <c r="BW96" s="61"/>
      <c r="BY96" s="59"/>
      <c r="BZ96" s="59"/>
      <c r="CA96" s="59"/>
      <c r="CC96" s="59"/>
    </row>
    <row r="97" spans="1:81" x14ac:dyDescent="0.25">
      <c r="A97">
        <f t="shared" si="54"/>
        <v>31500</v>
      </c>
      <c r="B97">
        <f t="shared" si="86"/>
        <v>31.5</v>
      </c>
      <c r="C97">
        <f t="shared" si="55"/>
        <v>1.0003568953525843</v>
      </c>
      <c r="D97">
        <f t="shared" si="56"/>
        <v>2.6712889759701788E-2</v>
      </c>
      <c r="F97">
        <f t="shared" si="57"/>
        <v>2.0262492007964764E-2</v>
      </c>
      <c r="G97">
        <f t="shared" si="58"/>
        <v>5.6235189455525462E-2</v>
      </c>
      <c r="H97">
        <f t="shared" si="59"/>
        <v>-3.0853574605444747</v>
      </c>
      <c r="J97">
        <f t="shared" si="60"/>
        <v>15</v>
      </c>
      <c r="M97">
        <f t="shared" si="61"/>
        <v>8.4751373485415865E-2</v>
      </c>
      <c r="N97">
        <f t="shared" si="62"/>
        <v>-1.5707963250000001</v>
      </c>
      <c r="O97">
        <f t="shared" si="63"/>
        <v>8.5494670419136654</v>
      </c>
      <c r="P97">
        <f t="shared" si="64"/>
        <v>1.4535616106982554</v>
      </c>
      <c r="Q97">
        <f t="shared" si="65"/>
        <v>8.1042278108802979</v>
      </c>
      <c r="R97">
        <f t="shared" si="66"/>
        <v>1.4470886543704791</v>
      </c>
      <c r="S97">
        <f t="shared" si="67"/>
        <v>0.97969489009943012</v>
      </c>
      <c r="T97">
        <f t="shared" si="68"/>
        <v>-0.20186233265401096</v>
      </c>
      <c r="U97">
        <f t="shared" si="69"/>
        <v>0.99952713285784767</v>
      </c>
      <c r="V97">
        <f t="shared" si="70"/>
        <v>-3.0754005074940798E-2</v>
      </c>
      <c r="X97">
        <f t="shared" si="87"/>
        <v>4.85243889047032</v>
      </c>
      <c r="Y97">
        <f t="shared" si="71"/>
        <v>-112.38034132786066</v>
      </c>
      <c r="Z97">
        <f t="shared" si="88"/>
        <v>67.619658672139337</v>
      </c>
      <c r="AC97">
        <v>1</v>
      </c>
      <c r="AD97">
        <f t="shared" si="72"/>
        <v>8.4907824551550011</v>
      </c>
      <c r="AE97">
        <f t="shared" si="73"/>
        <v>-2.0165982293921114E-5</v>
      </c>
      <c r="AF97">
        <f t="shared" si="74"/>
        <v>6.5551215597840003E-4</v>
      </c>
      <c r="AG97">
        <f t="shared" si="89"/>
        <v>12893.76502850991</v>
      </c>
      <c r="AH97">
        <f t="shared" si="90"/>
        <v>-1922.1847005815546</v>
      </c>
      <c r="AJ97">
        <f t="shared" si="75"/>
        <v>18000</v>
      </c>
      <c r="AK97">
        <f t="shared" si="76"/>
        <v>3683.6933113134005</v>
      </c>
      <c r="AL97">
        <v>1</v>
      </c>
      <c r="AM97">
        <f t="shared" si="77"/>
        <v>8.0422949716262995</v>
      </c>
      <c r="AN97">
        <f t="shared" si="91"/>
        <v>725.12834635065678</v>
      </c>
      <c r="AO97">
        <f t="shared" si="92"/>
        <v>-2148.0027423261804</v>
      </c>
      <c r="AQ97">
        <f t="shared" si="78"/>
        <v>2.5188916876574305</v>
      </c>
      <c r="AR97">
        <f t="shared" si="79"/>
        <v>-158.69017632241813</v>
      </c>
      <c r="AT97">
        <f t="shared" si="104"/>
        <v>-272553.8315066197</v>
      </c>
      <c r="AU97">
        <f t="shared" si="105"/>
        <v>-2050955.6208985033</v>
      </c>
      <c r="AV97">
        <f t="shared" si="93"/>
        <v>-1.7029133649746884</v>
      </c>
      <c r="AW97">
        <f t="shared" si="94"/>
        <v>-323862.53890871553</v>
      </c>
      <c r="AX97">
        <f t="shared" si="95"/>
        <v>-133238.01848646314</v>
      </c>
      <c r="AY97">
        <f t="shared" si="103"/>
        <v>-2.751294922749163</v>
      </c>
      <c r="BA97">
        <f t="shared" si="80"/>
        <v>5.9080310816201358</v>
      </c>
      <c r="BB97">
        <f t="shared" si="96"/>
        <v>15.428855428602592</v>
      </c>
      <c r="BC97">
        <f t="shared" si="97"/>
        <v>1.0483815577744746</v>
      </c>
      <c r="BD97">
        <f t="shared" si="81"/>
        <v>-119.9321613515344</v>
      </c>
      <c r="BF97">
        <f t="shared" si="82"/>
        <v>5.0876371415124595</v>
      </c>
      <c r="BG97">
        <f t="shared" si="83"/>
        <v>-115.17958648835445</v>
      </c>
      <c r="BH97">
        <f t="shared" si="98"/>
        <v>64.820413511645555</v>
      </c>
      <c r="BI97">
        <f t="shared" si="99"/>
        <v>64.820413511645555</v>
      </c>
      <c r="BJ97">
        <f t="shared" si="84"/>
        <v>0</v>
      </c>
      <c r="BK97">
        <f t="shared" si="100"/>
        <v>0</v>
      </c>
      <c r="BM97">
        <f t="shared" si="101"/>
        <v>-10.341218287090131</v>
      </c>
      <c r="BN97">
        <f t="shared" si="85"/>
        <v>-175.24742513682003</v>
      </c>
      <c r="BQ97" s="56">
        <f t="shared" si="102"/>
        <v>32.330816228887727</v>
      </c>
      <c r="BR97" s="59"/>
      <c r="BS97" s="59"/>
      <c r="BT97" s="59">
        <v>741.31</v>
      </c>
      <c r="BU97" s="59">
        <v>17.416399999999999</v>
      </c>
      <c r="BV97" s="59">
        <v>-262.19720000000001</v>
      </c>
      <c r="BW97" s="61"/>
      <c r="BY97" s="59"/>
      <c r="BZ97" s="59"/>
      <c r="CA97" s="59"/>
      <c r="CC97" s="59"/>
    </row>
    <row r="98" spans="1:81" x14ac:dyDescent="0.25">
      <c r="A98">
        <f t="shared" si="54"/>
        <v>32000</v>
      </c>
      <c r="B98">
        <f t="shared" si="86"/>
        <v>32</v>
      </c>
      <c r="C98">
        <f t="shared" si="55"/>
        <v>1.0003683131822079</v>
      </c>
      <c r="D98">
        <f t="shared" si="56"/>
        <v>2.7136697375538563E-2</v>
      </c>
      <c r="F98">
        <f t="shared" si="57"/>
        <v>1.9622598285459789E-2</v>
      </c>
      <c r="G98">
        <f t="shared" si="58"/>
        <v>5.532276457396839E-2</v>
      </c>
      <c r="H98">
        <f t="shared" si="59"/>
        <v>-3.0862698854260318</v>
      </c>
      <c r="J98">
        <f t="shared" si="60"/>
        <v>15</v>
      </c>
      <c r="M98">
        <f t="shared" si="61"/>
        <v>8.3427133274706244E-2</v>
      </c>
      <c r="N98">
        <f t="shared" si="62"/>
        <v>-1.5707963250000001</v>
      </c>
      <c r="O98">
        <f t="shared" si="63"/>
        <v>8.6833305685228748</v>
      </c>
      <c r="P98">
        <f t="shared" si="64"/>
        <v>1.4553770512238471</v>
      </c>
      <c r="Q98">
        <f t="shared" si="65"/>
        <v>8.2309228105008021</v>
      </c>
      <c r="R98">
        <f t="shared" si="66"/>
        <v>1.4490023794309725</v>
      </c>
      <c r="S98">
        <f t="shared" si="67"/>
        <v>0.97906542977203659</v>
      </c>
      <c r="T98">
        <f t="shared" si="68"/>
        <v>-0.20497816206706054</v>
      </c>
      <c r="U98">
        <f t="shared" si="69"/>
        <v>0.99951201313609028</v>
      </c>
      <c r="V98">
        <f t="shared" si="70"/>
        <v>-3.1241848780286841E-2</v>
      </c>
      <c r="X98">
        <f t="shared" si="87"/>
        <v>4.7009923519971935</v>
      </c>
      <c r="Y98">
        <f t="shared" si="71"/>
        <v>-112.40114684624812</v>
      </c>
      <c r="Z98">
        <f t="shared" si="88"/>
        <v>67.598853153751875</v>
      </c>
      <c r="AC98">
        <v>1</v>
      </c>
      <c r="AD98">
        <f t="shared" si="72"/>
        <v>8.6255567798400001</v>
      </c>
      <c r="AE98">
        <f t="shared" si="73"/>
        <v>-2.0811253080347916E-5</v>
      </c>
      <c r="AF98">
        <f t="shared" si="74"/>
        <v>6.6591711083519999E-4</v>
      </c>
      <c r="AG98">
        <f t="shared" si="89"/>
        <v>12893.374946722761</v>
      </c>
      <c r="AH98">
        <f t="shared" si="90"/>
        <v>-1904.6323760705229</v>
      </c>
      <c r="AJ98">
        <f t="shared" si="75"/>
        <v>18000</v>
      </c>
      <c r="AK98">
        <f t="shared" si="76"/>
        <v>3742.1646337152001</v>
      </c>
      <c r="AL98">
        <v>1</v>
      </c>
      <c r="AM98">
        <f t="shared" si="77"/>
        <v>8.1699504473664</v>
      </c>
      <c r="AN98">
        <f t="shared" si="91"/>
        <v>716.96928133830681</v>
      </c>
      <c r="AO98">
        <f t="shared" si="92"/>
        <v>-2115.4388671026654</v>
      </c>
      <c r="AQ98">
        <f t="shared" si="78"/>
        <v>2.4408103490358801</v>
      </c>
      <c r="AR98">
        <f t="shared" si="79"/>
        <v>-156.21186233829633</v>
      </c>
      <c r="AT98">
        <f t="shared" si="104"/>
        <v>-266055.88753182994</v>
      </c>
      <c r="AU98">
        <f t="shared" si="105"/>
        <v>-2018746.9586681162</v>
      </c>
      <c r="AV98">
        <f t="shared" si="93"/>
        <v>-1.701833722525756</v>
      </c>
      <c r="AW98">
        <f t="shared" si="94"/>
        <v>-313539.05178282998</v>
      </c>
      <c r="AX98">
        <f t="shared" si="95"/>
        <v>-129734.99705579953</v>
      </c>
      <c r="AY98">
        <f t="shared" si="103"/>
        <v>-2.749266942677421</v>
      </c>
      <c r="BA98">
        <f t="shared" si="80"/>
        <v>6.0008397935676099</v>
      </c>
      <c r="BB98">
        <f t="shared" si="96"/>
        <v>15.564240648308761</v>
      </c>
      <c r="BC98">
        <f t="shared" si="97"/>
        <v>1.047433220151665</v>
      </c>
      <c r="BD98">
        <f t="shared" si="81"/>
        <v>-119.98649709493696</v>
      </c>
      <c r="BF98">
        <f t="shared" si="82"/>
        <v>4.9443946290860277</v>
      </c>
      <c r="BG98">
        <f t="shared" si="83"/>
        <v>-115.26191793891196</v>
      </c>
      <c r="BH98">
        <f t="shared" si="98"/>
        <v>64.738082061088036</v>
      </c>
      <c r="BI98">
        <f t="shared" si="99"/>
        <v>64.738082061088036</v>
      </c>
      <c r="BJ98">
        <f t="shared" si="84"/>
        <v>0</v>
      </c>
      <c r="BK98">
        <f t="shared" si="100"/>
        <v>0</v>
      </c>
      <c r="BM98">
        <f t="shared" si="101"/>
        <v>-10.619846019222734</v>
      </c>
      <c r="BN98">
        <f t="shared" si="85"/>
        <v>-175.27542084397501</v>
      </c>
      <c r="BQ98" s="56">
        <f t="shared" si="102"/>
        <v>32.4662014485939</v>
      </c>
      <c r="BR98" s="59"/>
      <c r="BS98" s="59"/>
      <c r="BT98" s="59">
        <v>758.57799999999997</v>
      </c>
      <c r="BU98" s="59">
        <v>17.283200000000001</v>
      </c>
      <c r="BV98" s="59">
        <v>-262.56690000000003</v>
      </c>
      <c r="BW98" s="61"/>
      <c r="BY98" s="59"/>
      <c r="BZ98" s="59"/>
      <c r="CA98" s="59"/>
      <c r="CC98" s="59"/>
    </row>
    <row r="99" spans="1:81" x14ac:dyDescent="0.25">
      <c r="A99">
        <f t="shared" si="54"/>
        <v>32500</v>
      </c>
      <c r="B99">
        <f t="shared" si="86"/>
        <v>32.5</v>
      </c>
      <c r="C99">
        <f t="shared" si="55"/>
        <v>1.0003799106867599</v>
      </c>
      <c r="D99">
        <f t="shared" si="56"/>
        <v>2.7560495241005123E-2</v>
      </c>
      <c r="F99">
        <f t="shared" si="57"/>
        <v>1.9012716099208519E-2</v>
      </c>
      <c r="G99">
        <f t="shared" si="58"/>
        <v>5.4439971882845453E-2</v>
      </c>
      <c r="H99">
        <f t="shared" si="59"/>
        <v>-3.0871526781171545</v>
      </c>
      <c r="J99">
        <f t="shared" si="60"/>
        <v>15</v>
      </c>
      <c r="M99">
        <f t="shared" si="61"/>
        <v>8.2143638916633843E-2</v>
      </c>
      <c r="N99">
        <f t="shared" si="62"/>
        <v>-1.5707963250000001</v>
      </c>
      <c r="O99">
        <f t="shared" si="63"/>
        <v>8.817221844827781</v>
      </c>
      <c r="P99">
        <f t="shared" si="64"/>
        <v>1.4571373617505985</v>
      </c>
      <c r="Q99">
        <f t="shared" si="65"/>
        <v>8.3576470405953422</v>
      </c>
      <c r="R99">
        <f t="shared" si="66"/>
        <v>1.4508580767602453</v>
      </c>
      <c r="S99">
        <f t="shared" si="67"/>
        <v>0.97842729717675159</v>
      </c>
      <c r="T99">
        <f t="shared" si="68"/>
        <v>-0.2080899600044856</v>
      </c>
      <c r="U99">
        <f t="shared" si="69"/>
        <v>0.99949665601089233</v>
      </c>
      <c r="V99">
        <f t="shared" si="70"/>
        <v>-3.1729677610659868E-2</v>
      </c>
      <c r="X99">
        <f t="shared" si="87"/>
        <v>4.5520004436135482</v>
      </c>
      <c r="Y99">
        <f t="shared" si="71"/>
        <v>-112.42650674538632</v>
      </c>
      <c r="Z99">
        <f t="shared" si="88"/>
        <v>67.57349325461368</v>
      </c>
      <c r="AC99">
        <v>1</v>
      </c>
      <c r="AD99">
        <f t="shared" si="72"/>
        <v>8.760331104525001</v>
      </c>
      <c r="AE99">
        <f t="shared" si="73"/>
        <v>-2.1466685611442857E-5</v>
      </c>
      <c r="AF99">
        <f t="shared" si="74"/>
        <v>6.7632206569200005E-4</v>
      </c>
      <c r="AG99">
        <f t="shared" si="89"/>
        <v>12892.978746077768</v>
      </c>
      <c r="AH99">
        <f t="shared" si="90"/>
        <v>-1887.8129017285569</v>
      </c>
      <c r="AJ99">
        <f t="shared" si="75"/>
        <v>18000</v>
      </c>
      <c r="AK99">
        <f t="shared" si="76"/>
        <v>3800.6359561170002</v>
      </c>
      <c r="AL99">
        <v>1</v>
      </c>
      <c r="AM99">
        <f t="shared" si="77"/>
        <v>8.2976059231065005</v>
      </c>
      <c r="AN99">
        <f t="shared" si="91"/>
        <v>709.17669519361039</v>
      </c>
      <c r="AO99">
        <f t="shared" si="92"/>
        <v>-2083.8327904505936</v>
      </c>
      <c r="AQ99">
        <f t="shared" si="78"/>
        <v>2.3663038334122102</v>
      </c>
      <c r="AR99">
        <f t="shared" si="79"/>
        <v>-153.80974917179367</v>
      </c>
      <c r="AT99">
        <f t="shared" si="104"/>
        <v>-259855.32386719933</v>
      </c>
      <c r="AU99">
        <f t="shared" si="105"/>
        <v>-1987532.9659176136</v>
      </c>
      <c r="AV99">
        <f t="shared" si="93"/>
        <v>-1.7008015676692594</v>
      </c>
      <c r="AW99">
        <f t="shared" si="94"/>
        <v>-303677.89718764316</v>
      </c>
      <c r="AX99">
        <f t="shared" si="95"/>
        <v>-126403.42380525796</v>
      </c>
      <c r="AY99">
        <f t="shared" si="103"/>
        <v>-2.7471636352019089</v>
      </c>
      <c r="BA99">
        <f t="shared" si="80"/>
        <v>6.0937553080891078</v>
      </c>
      <c r="BB99">
        <f t="shared" si="96"/>
        <v>15.697700226875806</v>
      </c>
      <c r="BC99">
        <f t="shared" si="97"/>
        <v>1.0463620675326495</v>
      </c>
      <c r="BD99">
        <f t="shared" si="81"/>
        <v>-120.04786961929108</v>
      </c>
      <c r="BF99">
        <f t="shared" si="82"/>
        <v>4.8037079095324025</v>
      </c>
      <c r="BG99">
        <f t="shared" si="83"/>
        <v>-115.34958892962456</v>
      </c>
      <c r="BH99">
        <f t="shared" si="98"/>
        <v>64.650411070375441</v>
      </c>
      <c r="BI99">
        <f t="shared" si="99"/>
        <v>64.650411070375441</v>
      </c>
      <c r="BJ99">
        <f t="shared" si="84"/>
        <v>0</v>
      </c>
      <c r="BK99">
        <f t="shared" si="100"/>
        <v>0</v>
      </c>
      <c r="BM99">
        <f t="shared" si="101"/>
        <v>-10.893992317343404</v>
      </c>
      <c r="BN99">
        <f t="shared" si="85"/>
        <v>-175.30171931033351</v>
      </c>
      <c r="BQ99" s="56">
        <f t="shared" si="102"/>
        <v>32.599661027160941</v>
      </c>
      <c r="BR99" s="59"/>
      <c r="BS99" s="59"/>
      <c r="BT99" s="59">
        <v>776.24699999999996</v>
      </c>
      <c r="BU99" s="59">
        <v>17.007100000000001</v>
      </c>
      <c r="BV99" s="59">
        <v>-262.71769999999998</v>
      </c>
      <c r="BW99" s="61"/>
      <c r="BY99" s="59"/>
      <c r="BZ99" s="59"/>
      <c r="CA99" s="59"/>
      <c r="CC99" s="59"/>
    </row>
    <row r="100" spans="1:81" x14ac:dyDescent="0.25">
      <c r="A100">
        <f t="shared" si="54"/>
        <v>33000</v>
      </c>
      <c r="B100">
        <f t="shared" si="86"/>
        <v>33</v>
      </c>
      <c r="C100">
        <f t="shared" si="55"/>
        <v>1.0003916878599919</v>
      </c>
      <c r="D100">
        <f t="shared" si="56"/>
        <v>2.7984283204211126E-2</v>
      </c>
      <c r="F100">
        <f t="shared" si="57"/>
        <v>1.8430987562871887E-2</v>
      </c>
      <c r="G100">
        <f t="shared" si="58"/>
        <v>5.3585369572426385E-2</v>
      </c>
      <c r="H100">
        <f t="shared" si="59"/>
        <v>-3.0880072804275738</v>
      </c>
      <c r="J100">
        <f t="shared" si="60"/>
        <v>15</v>
      </c>
      <c r="M100">
        <f t="shared" si="61"/>
        <v>8.089903832698786E-2</v>
      </c>
      <c r="N100">
        <f t="shared" si="62"/>
        <v>-1.5707963250000001</v>
      </c>
      <c r="O100">
        <f t="shared" si="63"/>
        <v>8.951139625587416</v>
      </c>
      <c r="P100">
        <f t="shared" si="64"/>
        <v>1.4588450055122977</v>
      </c>
      <c r="Q100">
        <f t="shared" si="65"/>
        <v>8.4843991913920789</v>
      </c>
      <c r="R100">
        <f t="shared" si="66"/>
        <v>1.452658333987229</v>
      </c>
      <c r="S100">
        <f t="shared" si="67"/>
        <v>0.97778054629774869</v>
      </c>
      <c r="T100">
        <f t="shared" si="68"/>
        <v>-0.21119767413861851</v>
      </c>
      <c r="U100">
        <f t="shared" si="69"/>
        <v>0.99948106151512417</v>
      </c>
      <c r="V100">
        <f t="shared" si="70"/>
        <v>-3.2217491334566889E-2</v>
      </c>
      <c r="X100">
        <f t="shared" si="87"/>
        <v>4.4053737197345697</v>
      </c>
      <c r="Y100">
        <f t="shared" si="71"/>
        <v>-112.45621123905539</v>
      </c>
      <c r="Z100">
        <f t="shared" si="88"/>
        <v>67.543788760944608</v>
      </c>
      <c r="AC100">
        <v>1</v>
      </c>
      <c r="AD100">
        <f t="shared" si="72"/>
        <v>8.89510542921</v>
      </c>
      <c r="AE100">
        <f t="shared" si="73"/>
        <v>-2.2132279887205939E-5</v>
      </c>
      <c r="AF100">
        <f t="shared" si="74"/>
        <v>6.8672702054880001E-4</v>
      </c>
      <c r="AG100">
        <f t="shared" si="89"/>
        <v>12892.576427705242</v>
      </c>
      <c r="AH100">
        <f t="shared" si="90"/>
        <v>-1871.6929311125414</v>
      </c>
      <c r="AJ100">
        <f t="shared" si="75"/>
        <v>18000</v>
      </c>
      <c r="AK100">
        <f t="shared" si="76"/>
        <v>3859.1072785188003</v>
      </c>
      <c r="AL100">
        <v>1</v>
      </c>
      <c r="AM100">
        <f t="shared" si="77"/>
        <v>8.425261398846601</v>
      </c>
      <c r="AN100">
        <f t="shared" si="91"/>
        <v>701.72906562809749</v>
      </c>
      <c r="AO100">
        <f t="shared" si="92"/>
        <v>-2053.1435305663031</v>
      </c>
      <c r="AQ100">
        <f t="shared" si="78"/>
        <v>2.2951572182694515</v>
      </c>
      <c r="AR100">
        <f t="shared" si="79"/>
        <v>-151.4803764057838</v>
      </c>
      <c r="AT100">
        <f t="shared" si="104"/>
        <v>-253934.2598708343</v>
      </c>
      <c r="AU100">
        <f t="shared" si="105"/>
        <v>-1957268.1596503523</v>
      </c>
      <c r="AV100">
        <f t="shared" si="93"/>
        <v>-1.6998147835372925</v>
      </c>
      <c r="AW100">
        <f t="shared" si="94"/>
        <v>-294252.02650149894</v>
      </c>
      <c r="AX100">
        <f t="shared" si="95"/>
        <v>-123231.83750161601</v>
      </c>
      <c r="AY100">
        <f t="shared" si="103"/>
        <v>-2.7449877946972241</v>
      </c>
      <c r="BA100">
        <f t="shared" si="80"/>
        <v>6.1867756927989097</v>
      </c>
      <c r="BB100">
        <f t="shared" si="96"/>
        <v>15.829287411249846</v>
      </c>
      <c r="BC100">
        <f t="shared" si="97"/>
        <v>1.0451730111599316</v>
      </c>
      <c r="BD100">
        <f t="shared" si="81"/>
        <v>-120.11599753112878</v>
      </c>
      <c r="BF100">
        <f t="shared" si="82"/>
        <v>4.6654862049883237</v>
      </c>
      <c r="BG100">
        <f t="shared" si="83"/>
        <v>-115.44240068533949</v>
      </c>
      <c r="BH100">
        <f t="shared" si="98"/>
        <v>64.557599314660507</v>
      </c>
      <c r="BI100">
        <f t="shared" si="99"/>
        <v>64.557599314660507</v>
      </c>
      <c r="BJ100">
        <f t="shared" si="84"/>
        <v>0</v>
      </c>
      <c r="BK100">
        <f t="shared" si="100"/>
        <v>0</v>
      </c>
      <c r="BM100">
        <f t="shared" si="101"/>
        <v>-11.163801206261523</v>
      </c>
      <c r="BN100">
        <f t="shared" si="85"/>
        <v>-175.32640315421071</v>
      </c>
      <c r="BQ100" s="56">
        <f t="shared" si="102"/>
        <v>32.731248211534982</v>
      </c>
      <c r="BR100" s="59"/>
      <c r="BS100" s="59"/>
      <c r="BT100" s="59">
        <v>794.32799999999997</v>
      </c>
      <c r="BU100" s="59">
        <v>16.8354</v>
      </c>
      <c r="BV100" s="59">
        <v>-262.79380000000003</v>
      </c>
      <c r="BW100" s="61"/>
      <c r="BY100" s="59"/>
      <c r="BZ100" s="59"/>
      <c r="CA100" s="59"/>
      <c r="CC100" s="59"/>
    </row>
    <row r="101" spans="1:81" x14ac:dyDescent="0.25">
      <c r="A101">
        <f t="shared" si="54"/>
        <v>33500</v>
      </c>
      <c r="B101">
        <f t="shared" si="86"/>
        <v>33.5</v>
      </c>
      <c r="C101">
        <f t="shared" si="55"/>
        <v>1.0004036446955582</v>
      </c>
      <c r="D101">
        <f t="shared" si="56"/>
        <v>2.8408061113287579E-2</v>
      </c>
      <c r="F101">
        <f t="shared" si="57"/>
        <v>1.7875697089065157E-2</v>
      </c>
      <c r="G101">
        <f t="shared" si="58"/>
        <v>5.2757609064693359E-2</v>
      </c>
      <c r="H101">
        <f t="shared" si="59"/>
        <v>-3.0888350409353067</v>
      </c>
      <c r="J101">
        <f t="shared" si="60"/>
        <v>15</v>
      </c>
      <c r="M101">
        <f t="shared" si="61"/>
        <v>7.9691589993749243E-2</v>
      </c>
      <c r="N101">
        <f t="shared" si="62"/>
        <v>-1.5707963250000001</v>
      </c>
      <c r="O101">
        <f t="shared" si="63"/>
        <v>9.085082738742825</v>
      </c>
      <c r="P101">
        <f t="shared" si="64"/>
        <v>1.4605023017512726</v>
      </c>
      <c r="Q101">
        <f t="shared" si="65"/>
        <v>8.6111780299555942</v>
      </c>
      <c r="R101">
        <f t="shared" si="66"/>
        <v>1.4544055878428059</v>
      </c>
      <c r="S101">
        <f t="shared" si="67"/>
        <v>0.97712523165336862</v>
      </c>
      <c r="T101">
        <f t="shared" si="68"/>
        <v>-0.21430125259456351</v>
      </c>
      <c r="U101">
        <f t="shared" si="69"/>
        <v>0.999465229682161</v>
      </c>
      <c r="V101">
        <f t="shared" si="70"/>
        <v>-3.2705289720558001E-2</v>
      </c>
      <c r="X101">
        <f t="shared" si="87"/>
        <v>4.2610275174468963</v>
      </c>
      <c r="Y101">
        <f t="shared" si="71"/>
        <v>-112.4900621211191</v>
      </c>
      <c r="Z101">
        <f t="shared" si="88"/>
        <v>67.509937878880905</v>
      </c>
      <c r="AC101">
        <v>1</v>
      </c>
      <c r="AD101">
        <f t="shared" si="72"/>
        <v>9.0298797538950009</v>
      </c>
      <c r="AE101">
        <f t="shared" si="73"/>
        <v>-2.2808035907637157E-5</v>
      </c>
      <c r="AF101">
        <f t="shared" si="74"/>
        <v>6.9713197540559996E-4</v>
      </c>
      <c r="AG101">
        <f t="shared" si="89"/>
        <v>12892.167992752851</v>
      </c>
      <c r="AH101">
        <f t="shared" si="90"/>
        <v>-1856.2411080815882</v>
      </c>
      <c r="AJ101">
        <f t="shared" si="75"/>
        <v>18000</v>
      </c>
      <c r="AK101">
        <f t="shared" si="76"/>
        <v>3917.5786009205999</v>
      </c>
      <c r="AL101">
        <v>1</v>
      </c>
      <c r="AM101">
        <f t="shared" si="77"/>
        <v>8.5529168745866997</v>
      </c>
      <c r="AN101">
        <f t="shared" si="91"/>
        <v>694.60642014347548</v>
      </c>
      <c r="AO101">
        <f t="shared" si="92"/>
        <v>-2023.3323711207904</v>
      </c>
      <c r="AQ101">
        <f t="shared" si="78"/>
        <v>2.2271714922048997</v>
      </c>
      <c r="AR101">
        <f t="shared" si="79"/>
        <v>-149.22048997772828</v>
      </c>
      <c r="AT101">
        <f t="shared" si="104"/>
        <v>-248276.13863856022</v>
      </c>
      <c r="AU101">
        <f t="shared" si="105"/>
        <v>-1927909.7920323443</v>
      </c>
      <c r="AV101">
        <f t="shared" si="93"/>
        <v>-1.6988713765689933</v>
      </c>
      <c r="AW101">
        <f t="shared" si="94"/>
        <v>-285236.32989300799</v>
      </c>
      <c r="AX101">
        <f t="shared" si="95"/>
        <v>-120209.7212224371</v>
      </c>
      <c r="AY101">
        <f t="shared" si="103"/>
        <v>-2.7427420448042255</v>
      </c>
      <c r="BA101">
        <f t="shared" si="80"/>
        <v>6.2798990695100718</v>
      </c>
      <c r="BB101">
        <f t="shared" si="96"/>
        <v>15.959053276313744</v>
      </c>
      <c r="BC101">
        <f t="shared" si="97"/>
        <v>1.0438706682352321</v>
      </c>
      <c r="BD101">
        <f t="shared" si="81"/>
        <v>-120.19061628427805</v>
      </c>
      <c r="BF101">
        <f t="shared" si="82"/>
        <v>4.5296434983963838</v>
      </c>
      <c r="BG101">
        <f t="shared" si="83"/>
        <v>-115.54016593641497</v>
      </c>
      <c r="BH101">
        <f t="shared" si="98"/>
        <v>64.459834063585035</v>
      </c>
      <c r="BI101">
        <f t="shared" si="99"/>
        <v>64.459834063585035</v>
      </c>
      <c r="BJ101">
        <f t="shared" si="84"/>
        <v>0</v>
      </c>
      <c r="BK101">
        <f t="shared" si="100"/>
        <v>0</v>
      </c>
      <c r="BM101">
        <f t="shared" si="101"/>
        <v>-11.42940977791736</v>
      </c>
      <c r="BN101">
        <f t="shared" si="85"/>
        <v>-175.34954965213691</v>
      </c>
      <c r="BQ101" s="56">
        <f t="shared" si="102"/>
        <v>32.861014076598877</v>
      </c>
      <c r="BR101" s="59"/>
      <c r="BS101" s="59"/>
      <c r="BT101" s="59">
        <v>812.83100000000002</v>
      </c>
      <c r="BU101" s="59">
        <v>16.6614</v>
      </c>
      <c r="BV101" s="59">
        <v>-262.23689999999999</v>
      </c>
      <c r="BW101" s="61"/>
      <c r="BY101" s="59"/>
      <c r="BZ101" s="59"/>
      <c r="CA101" s="59"/>
      <c r="CC101" s="59"/>
    </row>
    <row r="102" spans="1:81" x14ac:dyDescent="0.25">
      <c r="A102">
        <f t="shared" ref="A102:A165" si="106">A101+500</f>
        <v>34000</v>
      </c>
      <c r="B102">
        <f t="shared" si="86"/>
        <v>34</v>
      </c>
      <c r="C102">
        <f t="shared" si="55"/>
        <v>1.0004157811870171</v>
      </c>
      <c r="D102">
        <f t="shared" si="56"/>
        <v>2.8831828816387128E-2</v>
      </c>
      <c r="F102">
        <f t="shared" si="57"/>
        <v>1.7345258446423685E-2</v>
      </c>
      <c r="G102">
        <f t="shared" si="58"/>
        <v>5.1955427517561638E-2</v>
      </c>
      <c r="H102">
        <f t="shared" si="59"/>
        <v>-3.0896372224824384</v>
      </c>
      <c r="J102">
        <f t="shared" si="60"/>
        <v>15</v>
      </c>
      <c r="M102">
        <f t="shared" si="61"/>
        <v>7.8519654846782347E-2</v>
      </c>
      <c r="N102">
        <f t="shared" si="62"/>
        <v>-1.5707963250000001</v>
      </c>
      <c r="O102">
        <f t="shared" si="63"/>
        <v>9.2190500801347763</v>
      </c>
      <c r="P102">
        <f t="shared" si="64"/>
        <v>1.4621114360458169</v>
      </c>
      <c r="Q102">
        <f t="shared" si="65"/>
        <v>8.7379823946525637</v>
      </c>
      <c r="R102">
        <f t="shared" si="66"/>
        <v>1.4561021349515566</v>
      </c>
      <c r="S102">
        <f t="shared" si="67"/>
        <v>0.97646140828416994</v>
      </c>
      <c r="T102">
        <f t="shared" si="68"/>
        <v>-0.21740064395407546</v>
      </c>
      <c r="U102">
        <f t="shared" si="69"/>
        <v>0.99944916054588284</v>
      </c>
      <c r="V102">
        <f t="shared" si="70"/>
        <v>-3.3193072537227052E-2</v>
      </c>
      <c r="X102">
        <f t="shared" si="87"/>
        <v>4.1188816200954133</v>
      </c>
      <c r="Y102">
        <f t="shared" si="71"/>
        <v>-112.52787198518445</v>
      </c>
      <c r="Z102">
        <f t="shared" si="88"/>
        <v>67.472128014815553</v>
      </c>
      <c r="AC102">
        <v>1</v>
      </c>
      <c r="AD102">
        <f t="shared" si="72"/>
        <v>9.1646540785799999</v>
      </c>
      <c r="AE102">
        <f t="shared" si="73"/>
        <v>-2.3493953672736518E-5</v>
      </c>
      <c r="AF102">
        <f t="shared" si="74"/>
        <v>7.0753693026240003E-4</v>
      </c>
      <c r="AG102">
        <f t="shared" si="89"/>
        <v>12891.753442385589</v>
      </c>
      <c r="AH102">
        <f t="shared" si="90"/>
        <v>-1841.4279204515269</v>
      </c>
      <c r="AJ102">
        <f t="shared" si="75"/>
        <v>18000</v>
      </c>
      <c r="AK102">
        <f t="shared" si="76"/>
        <v>3976.0499233224</v>
      </c>
      <c r="AL102">
        <v>1</v>
      </c>
      <c r="AM102">
        <f t="shared" si="77"/>
        <v>8.6805723503268002</v>
      </c>
      <c r="AN102">
        <f t="shared" si="91"/>
        <v>687.790204630424</v>
      </c>
      <c r="AO102">
        <f t="shared" si="92"/>
        <v>-1994.3627098180705</v>
      </c>
      <c r="AQ102">
        <f t="shared" si="78"/>
        <v>2.1621621621621623</v>
      </c>
      <c r="AR102">
        <f t="shared" si="79"/>
        <v>-147.02702702702703</v>
      </c>
      <c r="AT102">
        <f t="shared" si="104"/>
        <v>-242865.61113149888</v>
      </c>
      <c r="AU102">
        <f t="shared" si="105"/>
        <v>-1899417.6475733439</v>
      </c>
      <c r="AV102">
        <f t="shared" si="93"/>
        <v>-1.6979694677033517</v>
      </c>
      <c r="AW102">
        <f t="shared" si="94"/>
        <v>-276607.47283712088</v>
      </c>
      <c r="AX102">
        <f t="shared" si="95"/>
        <v>-117327.41120948535</v>
      </c>
      <c r="AY102">
        <f t="shared" si="103"/>
        <v>-2.7404288507627217</v>
      </c>
      <c r="BA102">
        <f t="shared" si="80"/>
        <v>6.3731236049981472</v>
      </c>
      <c r="BB102">
        <f t="shared" si="96"/>
        <v>16.087046831697002</v>
      </c>
      <c r="BC102">
        <f t="shared" si="97"/>
        <v>1.04245938305937</v>
      </c>
      <c r="BD102">
        <f t="shared" si="81"/>
        <v>-120.27147696863673</v>
      </c>
      <c r="BF102">
        <f t="shared" si="82"/>
        <v>4.3960981970598425</v>
      </c>
      <c r="BG102">
        <f t="shared" si="83"/>
        <v>-115.64270813697077</v>
      </c>
      <c r="BH102">
        <f t="shared" si="98"/>
        <v>64.357291863029232</v>
      </c>
      <c r="BI102">
        <f t="shared" si="99"/>
        <v>64.357291863029232</v>
      </c>
      <c r="BJ102">
        <f t="shared" si="84"/>
        <v>0</v>
      </c>
      <c r="BK102">
        <f t="shared" si="100"/>
        <v>0</v>
      </c>
      <c r="BM102">
        <f t="shared" si="101"/>
        <v>-11.690948634637158</v>
      </c>
      <c r="BN102">
        <f t="shared" si="85"/>
        <v>-175.37123116833405</v>
      </c>
      <c r="BQ102" s="56">
        <f t="shared" si="102"/>
        <v>32.989007631982133</v>
      </c>
      <c r="BR102" s="59"/>
      <c r="BS102" s="59"/>
      <c r="BT102" s="59">
        <v>831.76400000000001</v>
      </c>
      <c r="BU102" s="59">
        <v>16.509799999999998</v>
      </c>
      <c r="BV102" s="59">
        <v>-262.34320000000002</v>
      </c>
      <c r="BW102" s="61"/>
      <c r="BY102" s="59"/>
      <c r="BZ102" s="59"/>
      <c r="CA102" s="59"/>
      <c r="CC102" s="59"/>
    </row>
    <row r="103" spans="1:81" x14ac:dyDescent="0.25">
      <c r="A103">
        <f t="shared" si="106"/>
        <v>34500</v>
      </c>
      <c r="B103">
        <f t="shared" si="86"/>
        <v>34.5</v>
      </c>
      <c r="C103">
        <f t="shared" si="55"/>
        <v>1.0004280973278299</v>
      </c>
      <c r="D103">
        <f t="shared" si="56"/>
        <v>2.9255586161684385E-2</v>
      </c>
      <c r="F103">
        <f t="shared" si="57"/>
        <v>1.6838203175614935E-2</v>
      </c>
      <c r="G103">
        <f t="shared" si="58"/>
        <v>5.1177641047118971E-2</v>
      </c>
      <c r="H103">
        <f t="shared" si="59"/>
        <v>-3.0904150089528812</v>
      </c>
      <c r="J103">
        <f t="shared" si="60"/>
        <v>15</v>
      </c>
      <c r="M103">
        <f t="shared" si="61"/>
        <v>7.7381688834510132E-2</v>
      </c>
      <c r="N103">
        <f t="shared" si="62"/>
        <v>-1.5707963250000001</v>
      </c>
      <c r="O103">
        <f t="shared" si="63"/>
        <v>9.3530406086711633</v>
      </c>
      <c r="P103">
        <f t="shared" si="64"/>
        <v>1.4636744697649069</v>
      </c>
      <c r="Q103">
        <f t="shared" si="65"/>
        <v>8.8648111900874227</v>
      </c>
      <c r="R103">
        <f t="shared" si="66"/>
        <v>1.4577501417146002</v>
      </c>
      <c r="S103">
        <f t="shared" si="67"/>
        <v>0.97578913174093673</v>
      </c>
      <c r="T103">
        <f t="shared" si="68"/>
        <v>-0.22049579725932081</v>
      </c>
      <c r="U103">
        <f t="shared" si="69"/>
        <v>0.9994328541406754</v>
      </c>
      <c r="V103">
        <f t="shared" si="70"/>
        <v>-3.3680839553212293E-2</v>
      </c>
      <c r="X103">
        <f t="shared" si="87"/>
        <v>3.9788599500087307</v>
      </c>
      <c r="Y103">
        <f t="shared" si="71"/>
        <v>-112.56946350519377</v>
      </c>
      <c r="Z103">
        <f t="shared" si="88"/>
        <v>67.430536494806233</v>
      </c>
      <c r="AC103">
        <v>1</v>
      </c>
      <c r="AD103">
        <f t="shared" si="72"/>
        <v>9.299428403264999</v>
      </c>
      <c r="AE103">
        <f t="shared" si="73"/>
        <v>-2.419003318250401E-5</v>
      </c>
      <c r="AF103">
        <f t="shared" si="74"/>
        <v>7.1794188511919998E-4</v>
      </c>
      <c r="AG103">
        <f t="shared" si="89"/>
        <v>12891.332777785794</v>
      </c>
      <c r="AH103">
        <f t="shared" si="90"/>
        <v>-1827.2255663751041</v>
      </c>
      <c r="AJ103">
        <f t="shared" si="75"/>
        <v>18000</v>
      </c>
      <c r="AK103">
        <f t="shared" si="76"/>
        <v>4034.5212457242005</v>
      </c>
      <c r="AL103">
        <v>1</v>
      </c>
      <c r="AM103">
        <f t="shared" si="77"/>
        <v>8.8082278260669007</v>
      </c>
      <c r="AN103">
        <f t="shared" si="91"/>
        <v>681.26316472422423</v>
      </c>
      <c r="AO103">
        <f t="shared" si="92"/>
        <v>-1966.19991867411</v>
      </c>
      <c r="AQ103">
        <f t="shared" si="78"/>
        <v>2.0999580008399832</v>
      </c>
      <c r="AR103">
        <f t="shared" si="79"/>
        <v>-144.89710205795885</v>
      </c>
      <c r="AT103">
        <f t="shared" si="104"/>
        <v>-237688.43196576313</v>
      </c>
      <c r="AU103">
        <f t="shared" si="105"/>
        <v>-1871753.8581133871</v>
      </c>
      <c r="AV103">
        <f t="shared" si="93"/>
        <v>-1.6971072843125985</v>
      </c>
      <c r="AW103">
        <f t="shared" si="94"/>
        <v>-268343.74840065348</v>
      </c>
      <c r="AX103">
        <f t="shared" si="95"/>
        <v>-114576.0157237672</v>
      </c>
      <c r="AY103">
        <f t="shared" si="103"/>
        <v>-2.7380505307041951</v>
      </c>
      <c r="BA103">
        <f t="shared" si="80"/>
        <v>6.4664475024622341</v>
      </c>
      <c r="BB103">
        <f t="shared" si="96"/>
        <v>16.213315122507439</v>
      </c>
      <c r="BC103">
        <f t="shared" si="97"/>
        <v>1.0409432463915966</v>
      </c>
      <c r="BD103">
        <f t="shared" si="81"/>
        <v>-120.35834520096442</v>
      </c>
      <c r="BF103">
        <f t="shared" si="82"/>
        <v>4.2647728253376673</v>
      </c>
      <c r="BG103">
        <f t="shared" si="83"/>
        <v>-115.74986074401721</v>
      </c>
      <c r="BH103">
        <f t="shared" si="98"/>
        <v>64.250139255982788</v>
      </c>
      <c r="BI103">
        <f t="shared" si="99"/>
        <v>64.250139255982788</v>
      </c>
      <c r="BJ103">
        <f t="shared" si="84"/>
        <v>0</v>
      </c>
      <c r="BK103">
        <f t="shared" si="100"/>
        <v>0</v>
      </c>
      <c r="BM103">
        <f t="shared" si="101"/>
        <v>-11.948542297169771</v>
      </c>
      <c r="BN103">
        <f t="shared" si="85"/>
        <v>-175.3915155430528</v>
      </c>
      <c r="BQ103" s="56">
        <f t="shared" si="102"/>
        <v>33.115275922792577</v>
      </c>
      <c r="BR103" s="59"/>
      <c r="BS103" s="59"/>
      <c r="BT103" s="59">
        <v>851.13800000000003</v>
      </c>
      <c r="BU103" s="59">
        <v>16.276800000000001</v>
      </c>
      <c r="BV103" s="59">
        <v>-262.197</v>
      </c>
      <c r="BW103" s="61"/>
      <c r="BY103" s="59"/>
      <c r="BZ103" s="59"/>
      <c r="CA103" s="59"/>
      <c r="CC103" s="59"/>
    </row>
    <row r="104" spans="1:81" x14ac:dyDescent="0.25">
      <c r="A104">
        <f t="shared" si="106"/>
        <v>35000</v>
      </c>
      <c r="B104">
        <f t="shared" si="86"/>
        <v>35</v>
      </c>
      <c r="C104">
        <f t="shared" si="55"/>
        <v>1.0004405931113622</v>
      </c>
      <c r="D104">
        <f t="shared" si="56"/>
        <v>2.9679332997376285E-2</v>
      </c>
      <c r="F104">
        <f t="shared" si="57"/>
        <v>1.6353170202979307E-2</v>
      </c>
      <c r="G104">
        <f t="shared" si="58"/>
        <v>5.0423138588342291E-2</v>
      </c>
      <c r="H104">
        <f t="shared" si="59"/>
        <v>-3.0911695114116577</v>
      </c>
      <c r="J104">
        <f t="shared" si="60"/>
        <v>15</v>
      </c>
      <c r="M104">
        <f t="shared" si="61"/>
        <v>7.6276236136874287E-2</v>
      </c>
      <c r="N104">
        <f t="shared" si="62"/>
        <v>-1.5707963250000001</v>
      </c>
      <c r="O104">
        <f t="shared" si="63"/>
        <v>9.4870533419001735</v>
      </c>
      <c r="P104">
        <f t="shared" si="64"/>
        <v>1.4651933487347104</v>
      </c>
      <c r="Q104">
        <f t="shared" si="65"/>
        <v>8.9916633824622885</v>
      </c>
      <c r="R104">
        <f t="shared" si="66"/>
        <v>1.4593516533711879</v>
      </c>
      <c r="S104">
        <f t="shared" si="67"/>
        <v>0.97510845807264734</v>
      </c>
      <c r="T104">
        <f t="shared" si="68"/>
        <v>-0.22358666201652105</v>
      </c>
      <c r="U104">
        <f t="shared" si="69"/>
        <v>0.99941631050142909</v>
      </c>
      <c r="V104">
        <f t="shared" si="70"/>
        <v>-3.4168590537197042E-2</v>
      </c>
      <c r="X104">
        <f t="shared" si="87"/>
        <v>3.8408902873917099</v>
      </c>
      <c r="Y104">
        <f t="shared" si="71"/>
        <v>-112.614668771643</v>
      </c>
      <c r="Z104">
        <f t="shared" si="88"/>
        <v>67.385331228357003</v>
      </c>
      <c r="AC104">
        <v>1</v>
      </c>
      <c r="AD104">
        <f t="shared" si="72"/>
        <v>9.4342027279500016</v>
      </c>
      <c r="AE104">
        <f t="shared" si="73"/>
        <v>-2.4896274436939642E-5</v>
      </c>
      <c r="AF104">
        <f t="shared" si="74"/>
        <v>7.2834683997599994E-4</v>
      </c>
      <c r="AG104">
        <f t="shared" si="89"/>
        <v>12890.906000153123</v>
      </c>
      <c r="AH104">
        <f t="shared" si="90"/>
        <v>-1813.6078321753009</v>
      </c>
      <c r="AJ104">
        <f t="shared" si="75"/>
        <v>18000</v>
      </c>
      <c r="AK104">
        <f t="shared" si="76"/>
        <v>4092.9925681260002</v>
      </c>
      <c r="AL104">
        <v>1</v>
      </c>
      <c r="AM104">
        <f t="shared" si="77"/>
        <v>8.9358833018069994</v>
      </c>
      <c r="AN104">
        <f t="shared" si="91"/>
        <v>675.00923852776691</v>
      </c>
      <c r="AO104">
        <f t="shared" si="92"/>
        <v>-1938.8112149997307</v>
      </c>
      <c r="AQ104">
        <f t="shared" si="78"/>
        <v>2.0403999183840034</v>
      </c>
      <c r="AR104">
        <f t="shared" si="79"/>
        <v>-142.82799428688023</v>
      </c>
      <c r="AT104">
        <f t="shared" si="104"/>
        <v>-232731.36554196681</v>
      </c>
      <c r="AU104">
        <f t="shared" si="105"/>
        <v>-1844882.7338153315</v>
      </c>
      <c r="AV104">
        <f t="shared" si="93"/>
        <v>-1.6962831528048832</v>
      </c>
      <c r="AW104">
        <f t="shared" si="94"/>
        <v>-260424.94359256493</v>
      </c>
      <c r="AX104">
        <f t="shared" si="95"/>
        <v>-111947.34267935441</v>
      </c>
      <c r="AY104">
        <f t="shared" si="103"/>
        <v>-2.7356092660053974</v>
      </c>
      <c r="BA104">
        <f t="shared" si="80"/>
        <v>6.5598689936132697</v>
      </c>
      <c r="BB104">
        <f t="shared" si="96"/>
        <v>16.337903324345607</v>
      </c>
      <c r="BC104">
        <f t="shared" si="97"/>
        <v>1.0393261132005143</v>
      </c>
      <c r="BD104">
        <f t="shared" si="81"/>
        <v>-120.45100010782984</v>
      </c>
      <c r="BF104">
        <f t="shared" si="82"/>
        <v>4.1355937435084629</v>
      </c>
      <c r="BG104">
        <f t="shared" si="83"/>
        <v>-115.86146655215725</v>
      </c>
      <c r="BH104">
        <f t="shared" si="98"/>
        <v>64.138533447842747</v>
      </c>
      <c r="BI104">
        <f t="shared" si="99"/>
        <v>64.138533447842747</v>
      </c>
      <c r="BJ104">
        <f t="shared" si="84"/>
        <v>0</v>
      </c>
      <c r="BK104">
        <f t="shared" si="100"/>
        <v>0</v>
      </c>
      <c r="BM104">
        <f t="shared" si="101"/>
        <v>-12.202309580837143</v>
      </c>
      <c r="BN104">
        <f t="shared" si="85"/>
        <v>-175.41046644432743</v>
      </c>
      <c r="BQ104" s="56">
        <f t="shared" si="102"/>
        <v>33.239864124630742</v>
      </c>
      <c r="BR104" s="59"/>
      <c r="BS104" s="59"/>
      <c r="BT104" s="59">
        <v>870.96400000000006</v>
      </c>
      <c r="BU104" s="59">
        <v>16.106100000000001</v>
      </c>
      <c r="BV104" s="59">
        <v>-261.76800000000003</v>
      </c>
      <c r="BW104" s="61"/>
      <c r="BY104" s="59"/>
      <c r="BZ104" s="59"/>
      <c r="CA104" s="59"/>
      <c r="CC104" s="59"/>
    </row>
    <row r="105" spans="1:81" x14ac:dyDescent="0.25">
      <c r="A105">
        <f t="shared" si="106"/>
        <v>35500</v>
      </c>
      <c r="B105">
        <f t="shared" si="86"/>
        <v>35.5</v>
      </c>
      <c r="C105">
        <f t="shared" si="55"/>
        <v>1.0004532685308822</v>
      </c>
      <c r="D105">
        <f t="shared" si="56"/>
        <v>3.0103069171682373E-2</v>
      </c>
      <c r="F105">
        <f t="shared" si="57"/>
        <v>1.5888896511791029E-2</v>
      </c>
      <c r="G105">
        <f t="shared" si="58"/>
        <v>4.9690876324718872E-2</v>
      </c>
      <c r="H105">
        <f t="shared" si="59"/>
        <v>-3.0919017736752812</v>
      </c>
      <c r="J105">
        <f t="shared" si="60"/>
        <v>15</v>
      </c>
      <c r="M105">
        <f t="shared" si="61"/>
        <v>7.5201922951847883E-2</v>
      </c>
      <c r="N105">
        <f t="shared" si="62"/>
        <v>-1.5707963250000001</v>
      </c>
      <c r="O105">
        <f t="shared" si="63"/>
        <v>9.6210873519501536</v>
      </c>
      <c r="P105">
        <f t="shared" si="64"/>
        <v>1.4666699111921988</v>
      </c>
      <c r="Q105">
        <f t="shared" si="65"/>
        <v>9.1185379953203007</v>
      </c>
      <c r="R105">
        <f t="shared" si="66"/>
        <v>1.4609086023172386</v>
      </c>
      <c r="S105">
        <f t="shared" si="67"/>
        <v>0.97441944381440648</v>
      </c>
      <c r="T105">
        <f t="shared" si="68"/>
        <v>-0.22667318819947815</v>
      </c>
      <c r="U105">
        <f t="shared" si="69"/>
        <v>0.99939952966353751</v>
      </c>
      <c r="V105">
        <f t="shared" si="70"/>
        <v>-3.4656325257910348E-2</v>
      </c>
      <c r="X105">
        <f t="shared" si="87"/>
        <v>3.704904012759445</v>
      </c>
      <c r="Y105">
        <f t="shared" si="71"/>
        <v>-112.66332867861752</v>
      </c>
      <c r="Z105">
        <f t="shared" si="88"/>
        <v>67.336671321382482</v>
      </c>
      <c r="AC105">
        <v>1</v>
      </c>
      <c r="AD105">
        <f t="shared" si="72"/>
        <v>9.5689770526350006</v>
      </c>
      <c r="AE105">
        <f t="shared" si="73"/>
        <v>-2.561267743604342E-5</v>
      </c>
      <c r="AF105">
        <f t="shared" si="74"/>
        <v>7.387517948328E-4</v>
      </c>
      <c r="AG105">
        <f t="shared" si="89"/>
        <v>12890.473110704525</v>
      </c>
      <c r="AH105">
        <f t="shared" si="90"/>
        <v>-1800.5499805026102</v>
      </c>
      <c r="AJ105">
        <f t="shared" si="75"/>
        <v>18000</v>
      </c>
      <c r="AK105">
        <f t="shared" si="76"/>
        <v>4151.4638905278007</v>
      </c>
      <c r="AL105">
        <v>1</v>
      </c>
      <c r="AM105">
        <f t="shared" si="77"/>
        <v>9.0635387775470999</v>
      </c>
      <c r="AN105">
        <f t="shared" si="91"/>
        <v>669.0134594796607</v>
      </c>
      <c r="AO105">
        <f t="shared" si="92"/>
        <v>-1912.1655421670396</v>
      </c>
      <c r="AQ105">
        <f t="shared" si="78"/>
        <v>1.9833399444664817</v>
      </c>
      <c r="AR105">
        <f t="shared" si="79"/>
        <v>-140.81713605712019</v>
      </c>
      <c r="AT105">
        <f t="shared" si="104"/>
        <v>-227982.10135854979</v>
      </c>
      <c r="AU105">
        <f t="shared" si="105"/>
        <v>-1818770.6085690677</v>
      </c>
      <c r="AV105">
        <f t="shared" si="93"/>
        <v>-1.6954954918326444</v>
      </c>
      <c r="AW105">
        <f t="shared" si="94"/>
        <v>-252832.21827759777</v>
      </c>
      <c r="AX105">
        <f t="shared" si="95"/>
        <v>-109433.8349973178</v>
      </c>
      <c r="AY105">
        <f t="shared" si="103"/>
        <v>-2.7331071107926834</v>
      </c>
      <c r="BA105">
        <f t="shared" si="80"/>
        <v>6.6533863313273276</v>
      </c>
      <c r="BB105">
        <f t="shared" si="96"/>
        <v>16.460854832944435</v>
      </c>
      <c r="BC105">
        <f t="shared" si="97"/>
        <v>1.0376116189600391</v>
      </c>
      <c r="BD105">
        <f t="shared" si="81"/>
        <v>-120.54923339192081</v>
      </c>
      <c r="BF105">
        <f t="shared" si="82"/>
        <v>4.0084908901778107</v>
      </c>
      <c r="BG105">
        <f t="shared" si="83"/>
        <v>-115.977377079056</v>
      </c>
      <c r="BH105">
        <f t="shared" si="98"/>
        <v>64.022622920944002</v>
      </c>
      <c r="BI105">
        <f t="shared" si="99"/>
        <v>64.022622920944002</v>
      </c>
      <c r="BJ105">
        <f t="shared" si="84"/>
        <v>0</v>
      </c>
      <c r="BK105">
        <f t="shared" si="100"/>
        <v>0</v>
      </c>
      <c r="BM105">
        <f t="shared" si="101"/>
        <v>-12.452363942766628</v>
      </c>
      <c r="BN105">
        <f t="shared" si="85"/>
        <v>-175.42814368713516</v>
      </c>
      <c r="BQ105" s="56">
        <f t="shared" si="102"/>
        <v>33.362815633229573</v>
      </c>
      <c r="BR105" s="59"/>
      <c r="BS105" s="59"/>
      <c r="BT105" s="59">
        <v>891.25099999999998</v>
      </c>
      <c r="BU105" s="59">
        <v>15.882400000000001</v>
      </c>
      <c r="BV105" s="59">
        <v>-261.38310000000001</v>
      </c>
      <c r="BW105" s="61"/>
      <c r="BY105" s="59"/>
      <c r="BZ105" s="59"/>
      <c r="CA105" s="59"/>
      <c r="CC105" s="59"/>
    </row>
    <row r="106" spans="1:81" x14ac:dyDescent="0.25">
      <c r="A106">
        <f t="shared" si="106"/>
        <v>36000</v>
      </c>
      <c r="B106">
        <f t="shared" si="86"/>
        <v>36</v>
      </c>
      <c r="C106">
        <f t="shared" si="55"/>
        <v>1.0004661235795627</v>
      </c>
      <c r="D106">
        <f t="shared" si="56"/>
        <v>3.0526794532845149E-2</v>
      </c>
      <c r="F106">
        <f t="shared" si="57"/>
        <v>1.5444208749346438E-2</v>
      </c>
      <c r="G106">
        <f t="shared" si="58"/>
        <v>4.8979872625779387E-2</v>
      </c>
      <c r="H106">
        <f t="shared" si="59"/>
        <v>-3.0926127773742209</v>
      </c>
      <c r="J106">
        <f t="shared" si="60"/>
        <v>15</v>
      </c>
      <c r="M106">
        <f t="shared" si="61"/>
        <v>7.4157451799738885E-2</v>
      </c>
      <c r="N106">
        <f t="shared" si="62"/>
        <v>-1.5707963250000001</v>
      </c>
      <c r="O106">
        <f t="shared" si="63"/>
        <v>9.755141761801303</v>
      </c>
      <c r="P106">
        <f t="shared" si="64"/>
        <v>1.4681058950930952</v>
      </c>
      <c r="Q106">
        <f t="shared" si="65"/>
        <v>9.2454341056361251</v>
      </c>
      <c r="R106">
        <f t="shared" si="66"/>
        <v>1.4624228157506345</v>
      </c>
      <c r="S106">
        <f t="shared" si="67"/>
        <v>0.97372214597535034</v>
      </c>
      <c r="T106">
        <f t="shared" si="68"/>
        <v>-0.22975532625298203</v>
      </c>
      <c r="U106">
        <f t="shared" si="69"/>
        <v>0.99938251166290004</v>
      </c>
      <c r="V106">
        <f t="shared" si="70"/>
        <v>-3.5144043484127613E-2</v>
      </c>
      <c r="X106">
        <f t="shared" si="87"/>
        <v>3.5708358705886512</v>
      </c>
      <c r="Y106">
        <f t="shared" si="71"/>
        <v>-112.71529235728765</v>
      </c>
      <c r="Z106">
        <f t="shared" si="88"/>
        <v>67.284707642712348</v>
      </c>
      <c r="AC106">
        <v>1</v>
      </c>
      <c r="AD106">
        <f t="shared" si="72"/>
        <v>9.7037513773200015</v>
      </c>
      <c r="AE106">
        <f t="shared" si="73"/>
        <v>-2.6339242179815332E-5</v>
      </c>
      <c r="AF106">
        <f t="shared" si="74"/>
        <v>7.4915674968959996E-4</v>
      </c>
      <c r="AG106">
        <f t="shared" si="89"/>
        <v>12890.034110674284</v>
      </c>
      <c r="AH106">
        <f t="shared" si="90"/>
        <v>-1788.0286478125367</v>
      </c>
      <c r="AJ106">
        <f t="shared" si="75"/>
        <v>18000</v>
      </c>
      <c r="AK106">
        <f t="shared" si="76"/>
        <v>4209.9352129296003</v>
      </c>
      <c r="AL106">
        <v>1</v>
      </c>
      <c r="AM106">
        <f t="shared" si="77"/>
        <v>9.1911942532872004</v>
      </c>
      <c r="AN106">
        <f t="shared" si="91"/>
        <v>663.26186829037192</v>
      </c>
      <c r="AO106">
        <f t="shared" si="92"/>
        <v>-1886.2334593253975</v>
      </c>
      <c r="AQ106">
        <f t="shared" si="78"/>
        <v>1.9286403085824493</v>
      </c>
      <c r="AR106">
        <f t="shared" si="79"/>
        <v>-138.86210221793635</v>
      </c>
      <c r="AT106">
        <f t="shared" si="104"/>
        <v>-223429.17749629385</v>
      </c>
      <c r="AU106">
        <f t="shared" si="105"/>
        <v>-1793385.6983922101</v>
      </c>
      <c r="AV106">
        <f t="shared" si="93"/>
        <v>-1.6947428060498584</v>
      </c>
      <c r="AW106">
        <f t="shared" si="94"/>
        <v>-245547.99532877354</v>
      </c>
      <c r="AX106">
        <f t="shared" si="95"/>
        <v>-107028.51276134027</v>
      </c>
      <c r="AY106">
        <f t="shared" si="103"/>
        <v>-2.7305460006772972</v>
      </c>
      <c r="BA106">
        <f t="shared" si="80"/>
        <v>6.7469977828086769</v>
      </c>
      <c r="BB106">
        <f t="shared" si="96"/>
        <v>16.582211348758435</v>
      </c>
      <c r="BC106">
        <f t="shared" si="97"/>
        <v>1.0358031946274389</v>
      </c>
      <c r="BD106">
        <f t="shared" si="81"/>
        <v>-120.65284847386596</v>
      </c>
      <c r="BF106">
        <f t="shared" si="82"/>
        <v>3.8833975459049537</v>
      </c>
      <c r="BG106">
        <f t="shared" si="83"/>
        <v>-116.09745199732009</v>
      </c>
      <c r="BH106">
        <f t="shared" si="98"/>
        <v>63.902548002679907</v>
      </c>
      <c r="BI106">
        <f t="shared" si="99"/>
        <v>63.902548002679907</v>
      </c>
      <c r="BJ106">
        <f t="shared" si="84"/>
        <v>0</v>
      </c>
      <c r="BK106">
        <f t="shared" si="100"/>
        <v>0</v>
      </c>
      <c r="BM106">
        <f t="shared" si="101"/>
        <v>-12.698813802853481</v>
      </c>
      <c r="BN106">
        <f t="shared" si="85"/>
        <v>-175.44460352345413</v>
      </c>
      <c r="BQ106" s="56">
        <f t="shared" si="102"/>
        <v>33.484172149043573</v>
      </c>
      <c r="BR106" s="59"/>
      <c r="BS106" s="59"/>
      <c r="BT106" s="59">
        <v>912.01099999999997</v>
      </c>
      <c r="BU106" s="59">
        <v>15.6715</v>
      </c>
      <c r="BV106" s="59">
        <v>-261.74869999999999</v>
      </c>
      <c r="BW106" s="61"/>
      <c r="BY106" s="59"/>
      <c r="BZ106" s="59"/>
      <c r="CA106" s="59"/>
      <c r="CC106" s="59"/>
    </row>
    <row r="107" spans="1:81" x14ac:dyDescent="0.25">
      <c r="A107">
        <f t="shared" si="106"/>
        <v>36500</v>
      </c>
      <c r="B107">
        <f t="shared" si="86"/>
        <v>36.5</v>
      </c>
      <c r="C107">
        <f t="shared" si="55"/>
        <v>1.0004791582504793</v>
      </c>
      <c r="D107">
        <f t="shared" si="56"/>
        <v>3.0950508929130396E-2</v>
      </c>
      <c r="F107">
        <f t="shared" si="57"/>
        <v>1.5018015663698035E-2</v>
      </c>
      <c r="G107">
        <f t="shared" si="58"/>
        <v>4.8289203438951073E-2</v>
      </c>
      <c r="H107">
        <f t="shared" si="59"/>
        <v>-3.0933034465610492</v>
      </c>
      <c r="J107">
        <f t="shared" si="60"/>
        <v>15</v>
      </c>
      <c r="M107">
        <f t="shared" si="61"/>
        <v>7.3141596295632869E-2</v>
      </c>
      <c r="N107">
        <f t="shared" si="62"/>
        <v>-1.5707963250000001</v>
      </c>
      <c r="O107">
        <f t="shared" si="63"/>
        <v>9.8892157418580471</v>
      </c>
      <c r="P107">
        <f t="shared" si="64"/>
        <v>1.4695029448342651</v>
      </c>
      <c r="Q107">
        <f t="shared" si="65"/>
        <v>9.3723508402210474</v>
      </c>
      <c r="R107">
        <f t="shared" si="66"/>
        <v>1.4638960227057436</v>
      </c>
      <c r="S107">
        <f t="shared" si="67"/>
        <v>0.97301662202652273</v>
      </c>
      <c r="T107">
        <f t="shared" si="68"/>
        <v>-0.23283302709610001</v>
      </c>
      <c r="U107">
        <f t="shared" si="69"/>
        <v>0.99936525653591946</v>
      </c>
      <c r="V107">
        <f t="shared" si="70"/>
        <v>-3.5631744984671268E-2</v>
      </c>
      <c r="X107">
        <f t="shared" si="87"/>
        <v>3.438623752124248</v>
      </c>
      <c r="Y107">
        <f t="shared" si="71"/>
        <v>-112.77041665191146</v>
      </c>
      <c r="Z107">
        <f t="shared" si="88"/>
        <v>67.229583348088539</v>
      </c>
      <c r="AC107">
        <v>1</v>
      </c>
      <c r="AD107">
        <f t="shared" si="72"/>
        <v>9.8385257020050005</v>
      </c>
      <c r="AE107">
        <f t="shared" si="73"/>
        <v>-2.7075968668255384E-5</v>
      </c>
      <c r="AF107">
        <f t="shared" si="74"/>
        <v>7.5956170454639991E-4</v>
      </c>
      <c r="AG107">
        <f t="shared" si="89"/>
        <v>12889.589001313963</v>
      </c>
      <c r="AH107">
        <f t="shared" si="90"/>
        <v>-1776.0217502696107</v>
      </c>
      <c r="AJ107">
        <f t="shared" si="75"/>
        <v>18000</v>
      </c>
      <c r="AK107">
        <f t="shared" si="76"/>
        <v>4268.4065353313999</v>
      </c>
      <c r="AL107">
        <v>1</v>
      </c>
      <c r="AM107">
        <f t="shared" si="77"/>
        <v>9.3188497290272991</v>
      </c>
      <c r="AN107">
        <f t="shared" si="91"/>
        <v>657.74143299571529</v>
      </c>
      <c r="AO107">
        <f t="shared" si="92"/>
        <v>-1860.9870393107485</v>
      </c>
      <c r="AQ107">
        <f t="shared" si="78"/>
        <v>1.876172607879925</v>
      </c>
      <c r="AR107">
        <f t="shared" si="79"/>
        <v>-136.96060037523452</v>
      </c>
      <c r="AT107">
        <f t="shared" si="104"/>
        <v>-219061.91138530511</v>
      </c>
      <c r="AU107">
        <f t="shared" si="105"/>
        <v>-1768697.9715688347</v>
      </c>
      <c r="AV107">
        <f t="shared" si="93"/>
        <v>-1.6940236803673334</v>
      </c>
      <c r="AW107">
        <f t="shared" si="94"/>
        <v>-238555.86084840272</v>
      </c>
      <c r="AX107">
        <f t="shared" si="95"/>
        <v>-104724.92137663782</v>
      </c>
      <c r="AY107">
        <f t="shared" si="103"/>
        <v>-2.7279277607933206</v>
      </c>
      <c r="BA107">
        <f t="shared" si="80"/>
        <v>6.8407016232135103</v>
      </c>
      <c r="BB107">
        <f t="shared" si="96"/>
        <v>16.70201295680868</v>
      </c>
      <c r="BC107">
        <f t="shared" si="97"/>
        <v>1.0339040804259871</v>
      </c>
      <c r="BD107">
        <f t="shared" si="81"/>
        <v>-120.76165970254684</v>
      </c>
      <c r="BF107">
        <f t="shared" si="82"/>
        <v>3.7602501159869899</v>
      </c>
      <c r="BG107">
        <f t="shared" si="83"/>
        <v>-116.22155860883737</v>
      </c>
      <c r="BH107">
        <f t="shared" si="98"/>
        <v>63.77844139116263</v>
      </c>
      <c r="BI107">
        <f t="shared" si="99"/>
        <v>63.77844139116263</v>
      </c>
      <c r="BJ107">
        <f t="shared" si="84"/>
        <v>0</v>
      </c>
      <c r="BK107">
        <f t="shared" si="100"/>
        <v>0</v>
      </c>
      <c r="BM107">
        <f t="shared" si="101"/>
        <v>-12.941762840821692</v>
      </c>
      <c r="BN107">
        <f t="shared" si="85"/>
        <v>-175.45989890629053</v>
      </c>
      <c r="BQ107" s="56">
        <f t="shared" si="102"/>
        <v>33.603973757093819</v>
      </c>
      <c r="BR107" s="59"/>
      <c r="BS107" s="59"/>
      <c r="BT107" s="59">
        <v>933.25400000000002</v>
      </c>
      <c r="BU107" s="59">
        <v>15.471399999999999</v>
      </c>
      <c r="BV107" s="59">
        <v>-261.20730000000003</v>
      </c>
      <c r="BW107" s="61"/>
      <c r="BY107" s="59"/>
      <c r="BZ107" s="59"/>
      <c r="CA107" s="59"/>
      <c r="CC107" s="59"/>
    </row>
    <row r="108" spans="1:81" x14ac:dyDescent="0.25">
      <c r="A108">
        <f t="shared" si="106"/>
        <v>37000</v>
      </c>
      <c r="B108">
        <f t="shared" si="86"/>
        <v>37</v>
      </c>
      <c r="C108">
        <f t="shared" si="55"/>
        <v>1.0004923725366117</v>
      </c>
      <c r="D108">
        <f t="shared" si="56"/>
        <v>3.1374212208827489E-2</v>
      </c>
      <c r="F108">
        <f t="shared" si="57"/>
        <v>1.4609301277264656E-2</v>
      </c>
      <c r="G108">
        <f t="shared" si="58"/>
        <v>4.7617998088542425E-2</v>
      </c>
      <c r="H108">
        <f t="shared" si="59"/>
        <v>-3.0939746519114579</v>
      </c>
      <c r="J108">
        <f t="shared" si="60"/>
        <v>15</v>
      </c>
      <c r="M108">
        <f t="shared" si="61"/>
        <v>7.2153196345691881E-2</v>
      </c>
      <c r="N108">
        <f t="shared" si="62"/>
        <v>-1.5707963250000001</v>
      </c>
      <c r="O108">
        <f t="shared" si="63"/>
        <v>10.02330850679429</v>
      </c>
      <c r="P108">
        <f t="shared" si="64"/>
        <v>1.470862617444374</v>
      </c>
      <c r="Q108">
        <f t="shared" si="65"/>
        <v>9.4992873724136579</v>
      </c>
      <c r="R108">
        <f t="shared" si="66"/>
        <v>1.4653298605331131</v>
      </c>
      <c r="S108">
        <f t="shared" si="67"/>
        <v>0.97230292988873457</v>
      </c>
      <c r="T108">
        <f t="shared" si="68"/>
        <v>-0.23590624212534833</v>
      </c>
      <c r="U108">
        <f t="shared" si="69"/>
        <v>0.99934776431950278</v>
      </c>
      <c r="V108">
        <f t="shared" si="70"/>
        <v>-3.6119429528411441E-2</v>
      </c>
      <c r="X108">
        <f t="shared" si="87"/>
        <v>3.3082084955089703</v>
      </c>
      <c r="Y108">
        <f t="shared" si="71"/>
        <v>-112.82856563475933</v>
      </c>
      <c r="Z108">
        <f t="shared" si="88"/>
        <v>67.171434365240671</v>
      </c>
      <c r="AC108">
        <v>1</v>
      </c>
      <c r="AD108">
        <f t="shared" si="72"/>
        <v>9.9733000266899996</v>
      </c>
      <c r="AE108">
        <f t="shared" si="73"/>
        <v>-2.7822856901363569E-5</v>
      </c>
      <c r="AF108">
        <f t="shared" si="74"/>
        <v>7.6996665940319998E-4</v>
      </c>
      <c r="AG108">
        <f t="shared" si="89"/>
        <v>12889.137783892407</v>
      </c>
      <c r="AH108">
        <f t="shared" si="90"/>
        <v>-1764.5083972808063</v>
      </c>
      <c r="AJ108">
        <f t="shared" si="75"/>
        <v>18000</v>
      </c>
      <c r="AK108">
        <f t="shared" si="76"/>
        <v>4326.8778577332005</v>
      </c>
      <c r="AL108">
        <v>1</v>
      </c>
      <c r="AM108">
        <f t="shared" si="77"/>
        <v>9.4465052047673996</v>
      </c>
      <c r="AN108">
        <f t="shared" si="91"/>
        <v>652.43997628721104</v>
      </c>
      <c r="AO108">
        <f t="shared" si="92"/>
        <v>-1836.3997740622574</v>
      </c>
      <c r="AQ108">
        <f t="shared" si="78"/>
        <v>1.8258170531312763</v>
      </c>
      <c r="AR108">
        <f t="shared" si="79"/>
        <v>-135.11046193171444</v>
      </c>
      <c r="AT108">
        <f t="shared" si="104"/>
        <v>-214870.3370730094</v>
      </c>
      <c r="AU108">
        <f t="shared" si="105"/>
        <v>-1744679.0294053659</v>
      </c>
      <c r="AV108">
        <f t="shared" si="93"/>
        <v>-1.6933367746605026</v>
      </c>
      <c r="AW108">
        <f t="shared" si="94"/>
        <v>-231840.4734218774</v>
      </c>
      <c r="AX108">
        <f t="shared" si="95"/>
        <v>-102517.08503682665</v>
      </c>
      <c r="AY108">
        <f t="shared" si="103"/>
        <v>-2.7252541132024826</v>
      </c>
      <c r="BA108">
        <f t="shared" si="80"/>
        <v>6.9344961296905794</v>
      </c>
      <c r="BB108">
        <f t="shared" si="96"/>
        <v>16.820298202072262</v>
      </c>
      <c r="BC108">
        <f t="shared" si="97"/>
        <v>1.03191733854198</v>
      </c>
      <c r="BD108">
        <f t="shared" si="81"/>
        <v>-120.87549162761238</v>
      </c>
      <c r="BF108">
        <f t="shared" si="82"/>
        <v>3.6389879305683164</v>
      </c>
      <c r="BG108">
        <f t="shared" si="83"/>
        <v>-116.34957135799162</v>
      </c>
      <c r="BH108">
        <f t="shared" si="98"/>
        <v>63.650428642008379</v>
      </c>
      <c r="BI108">
        <f t="shared" si="99"/>
        <v>63.650428642008379</v>
      </c>
      <c r="BJ108">
        <f t="shared" si="84"/>
        <v>0</v>
      </c>
      <c r="BK108">
        <f t="shared" si="100"/>
        <v>0</v>
      </c>
      <c r="BM108">
        <f t="shared" si="101"/>
        <v>-13.181310271503948</v>
      </c>
      <c r="BN108">
        <f t="shared" si="85"/>
        <v>-175.47407973037926</v>
      </c>
      <c r="BQ108" s="56">
        <f t="shared" si="102"/>
        <v>33.722259002357397</v>
      </c>
      <c r="BR108" s="59"/>
      <c r="BS108" s="59"/>
      <c r="BT108" s="59">
        <v>954.99300000000005</v>
      </c>
      <c r="BU108" s="59">
        <v>15.352499999999999</v>
      </c>
      <c r="BV108" s="59">
        <v>-261.26609999999999</v>
      </c>
      <c r="BW108" s="61"/>
      <c r="BY108" s="59"/>
      <c r="BZ108" s="59"/>
      <c r="CA108" s="59"/>
      <c r="CC108" s="59"/>
    </row>
    <row r="109" spans="1:81" x14ac:dyDescent="0.25">
      <c r="A109">
        <f t="shared" si="106"/>
        <v>37500</v>
      </c>
      <c r="B109">
        <f t="shared" si="86"/>
        <v>37.5</v>
      </c>
      <c r="C109">
        <f t="shared" si="55"/>
        <v>1.0005057664308428</v>
      </c>
      <c r="D109">
        <f t="shared" si="56"/>
        <v>3.1797904220249737E-2</v>
      </c>
      <c r="F109">
        <f t="shared" si="57"/>
        <v>1.4217118716097215E-2</v>
      </c>
      <c r="G109">
        <f t="shared" si="58"/>
        <v>4.6965435440220436E-2</v>
      </c>
      <c r="H109">
        <f t="shared" si="59"/>
        <v>-3.0946272145597797</v>
      </c>
      <c r="J109">
        <f t="shared" si="60"/>
        <v>15</v>
      </c>
      <c r="M109">
        <f t="shared" si="61"/>
        <v>7.1191153727749326E-2</v>
      </c>
      <c r="N109">
        <f t="shared" si="62"/>
        <v>-1.5707963250000001</v>
      </c>
      <c r="O109">
        <f t="shared" si="63"/>
        <v>10.157419312646551</v>
      </c>
      <c r="P109">
        <f t="shared" si="64"/>
        <v>1.4721863882910711</v>
      </c>
      <c r="Q109">
        <f t="shared" si="65"/>
        <v>9.626242919030032</v>
      </c>
      <c r="R109">
        <f t="shared" si="66"/>
        <v>1.4667258808745309</v>
      </c>
      <c r="S109">
        <f t="shared" si="67"/>
        <v>0.97158112792040396</v>
      </c>
      <c r="T109">
        <f t="shared" si="68"/>
        <v>-0.23897492321774563</v>
      </c>
      <c r="U109">
        <f t="shared" si="69"/>
        <v>0.99933003505105988</v>
      </c>
      <c r="V109">
        <f t="shared" si="70"/>
        <v>-3.6607096884266575E-2</v>
      </c>
      <c r="X109">
        <f t="shared" si="87"/>
        <v>3.1795337016038241</v>
      </c>
      <c r="Y109">
        <f t="shared" si="71"/>
        <v>-112.8896101567048</v>
      </c>
      <c r="Z109">
        <f t="shared" si="88"/>
        <v>67.110389843295195</v>
      </c>
      <c r="AC109">
        <v>1</v>
      </c>
      <c r="AD109">
        <f t="shared" si="72"/>
        <v>10.108074351375</v>
      </c>
      <c r="AE109">
        <f t="shared" si="73"/>
        <v>-2.8579906879139901E-5</v>
      </c>
      <c r="AF109">
        <f t="shared" si="74"/>
        <v>7.8037161425999993E-4</v>
      </c>
      <c r="AG109">
        <f t="shared" si="89"/>
        <v>12888.680459695761</v>
      </c>
      <c r="AH109">
        <f t="shared" si="90"/>
        <v>-1753.4688119462953</v>
      </c>
      <c r="AJ109">
        <f t="shared" si="75"/>
        <v>18000</v>
      </c>
      <c r="AK109">
        <f t="shared" si="76"/>
        <v>4385.349180135001</v>
      </c>
      <c r="AL109">
        <v>1</v>
      </c>
      <c r="AM109">
        <f t="shared" si="77"/>
        <v>9.5741606805075001</v>
      </c>
      <c r="AN109">
        <f t="shared" si="91"/>
        <v>647.34610937506898</v>
      </c>
      <c r="AO109">
        <f t="shared" si="92"/>
        <v>-1812.446486923292</v>
      </c>
      <c r="AQ109">
        <f t="shared" si="78"/>
        <v>1.7774617845716316</v>
      </c>
      <c r="AR109">
        <f t="shared" si="79"/>
        <v>-133.30963384287239</v>
      </c>
      <c r="AT109">
        <f t="shared" si="104"/>
        <v>-210845.14830479273</v>
      </c>
      <c r="AU109">
        <f t="shared" si="105"/>
        <v>-1721301.9966034987</v>
      </c>
      <c r="AV109">
        <f t="shared" si="93"/>
        <v>-1.6926808188888431</v>
      </c>
      <c r="AW109">
        <f t="shared" si="94"/>
        <v>-225387.4814862232</v>
      </c>
      <c r="AX109">
        <f t="shared" si="95"/>
        <v>-100399.46489193715</v>
      </c>
      <c r="AY109">
        <f t="shared" si="103"/>
        <v>-2.7225266837234026</v>
      </c>
      <c r="BA109">
        <f t="shared" si="80"/>
        <v>7.0283795757997787</v>
      </c>
      <c r="BB109">
        <f t="shared" si="96"/>
        <v>16.937104160687781</v>
      </c>
      <c r="BC109">
        <f t="shared" si="97"/>
        <v>1.0298458648345594</v>
      </c>
      <c r="BD109">
        <f t="shared" si="81"/>
        <v>-120.99417832855553</v>
      </c>
      <c r="BF109">
        <f t="shared" si="82"/>
        <v>3.5195530604435477</v>
      </c>
      <c r="BG109">
        <f t="shared" si="83"/>
        <v>-116.48137138049856</v>
      </c>
      <c r="BH109">
        <f t="shared" si="98"/>
        <v>63.518628619501442</v>
      </c>
      <c r="BI109">
        <f t="shared" si="99"/>
        <v>63.518628619501442</v>
      </c>
      <c r="BJ109">
        <f t="shared" si="84"/>
        <v>0</v>
      </c>
      <c r="BK109">
        <f t="shared" si="100"/>
        <v>0</v>
      </c>
      <c r="BM109">
        <f t="shared" si="101"/>
        <v>-13.417551100244232</v>
      </c>
      <c r="BN109">
        <f t="shared" si="85"/>
        <v>-175.48719305194302</v>
      </c>
      <c r="BQ109" s="56">
        <f t="shared" si="102"/>
        <v>33.839064960972919</v>
      </c>
      <c r="BR109" s="59"/>
      <c r="BS109" s="59"/>
      <c r="BT109" s="59">
        <v>977.23699999999997</v>
      </c>
      <c r="BU109" s="59">
        <v>15.0807</v>
      </c>
      <c r="BV109" s="59">
        <v>-260.93240000000003</v>
      </c>
      <c r="BW109" s="61"/>
      <c r="BY109" s="59"/>
      <c r="BZ109" s="59"/>
      <c r="CA109" s="59"/>
      <c r="CC109" s="59"/>
    </row>
    <row r="110" spans="1:81" x14ac:dyDescent="0.25">
      <c r="A110">
        <f t="shared" si="106"/>
        <v>38000</v>
      </c>
      <c r="B110">
        <f t="shared" si="86"/>
        <v>38</v>
      </c>
      <c r="C110">
        <f t="shared" si="55"/>
        <v>1.0005193399259595</v>
      </c>
      <c r="D110">
        <f t="shared" si="56"/>
        <v>3.2221584811734698E-2</v>
      </c>
      <c r="F110">
        <f t="shared" si="57"/>
        <v>1.3840584623548268E-2</v>
      </c>
      <c r="G110">
        <f t="shared" si="58"/>
        <v>4.6330740394165279E-2</v>
      </c>
      <c r="H110">
        <f t="shared" si="59"/>
        <v>-3.0952619096058349</v>
      </c>
      <c r="J110">
        <f t="shared" si="60"/>
        <v>15</v>
      </c>
      <c r="M110">
        <f t="shared" si="61"/>
        <v>7.0254428020805254E-2</v>
      </c>
      <c r="N110">
        <f t="shared" si="62"/>
        <v>-1.5707963250000001</v>
      </c>
      <c r="O110">
        <f t="shared" si="63"/>
        <v>10.291547454132646</v>
      </c>
      <c r="P110">
        <f t="shared" si="64"/>
        <v>1.4734756563480376</v>
      </c>
      <c r="Q110">
        <f t="shared" si="65"/>
        <v>9.7532167375500762</v>
      </c>
      <c r="R110">
        <f t="shared" si="66"/>
        <v>1.4680855551785414</v>
      </c>
      <c r="S110">
        <f t="shared" si="67"/>
        <v>0.97085127490538525</v>
      </c>
      <c r="T110">
        <f t="shared" si="68"/>
        <v>-0.24203902273374858</v>
      </c>
      <c r="U110">
        <f t="shared" si="69"/>
        <v>0.99931206876850465</v>
      </c>
      <c r="V110">
        <f t="shared" si="70"/>
        <v>-3.7094746821204123E-2</v>
      </c>
      <c r="X110">
        <f t="shared" si="87"/>
        <v>3.0525455640439443</v>
      </c>
      <c r="Y110">
        <f t="shared" si="71"/>
        <v>-112.95342743052483</v>
      </c>
      <c r="Z110">
        <f t="shared" si="88"/>
        <v>67.046572569475174</v>
      </c>
      <c r="AC110">
        <v>1</v>
      </c>
      <c r="AD110">
        <f t="shared" si="72"/>
        <v>10.242848676059999</v>
      </c>
      <c r="AE110">
        <f t="shared" si="73"/>
        <v>-2.9347118601584366E-5</v>
      </c>
      <c r="AF110">
        <f t="shared" si="74"/>
        <v>7.9077656911679989E-4</v>
      </c>
      <c r="AG110">
        <f t="shared" si="89"/>
        <v>12888.217030027412</v>
      </c>
      <c r="AH110">
        <f t="shared" si="90"/>
        <v>-1742.8842577904015</v>
      </c>
      <c r="AJ110">
        <f t="shared" si="75"/>
        <v>18000</v>
      </c>
      <c r="AK110">
        <f t="shared" si="76"/>
        <v>4443.8205025367997</v>
      </c>
      <c r="AL110">
        <v>1</v>
      </c>
      <c r="AM110">
        <f t="shared" si="77"/>
        <v>9.7018161562475989</v>
      </c>
      <c r="AN110">
        <f t="shared" si="91"/>
        <v>642.44917172376449</v>
      </c>
      <c r="AO110">
        <f t="shared" si="92"/>
        <v>-1789.1032512607069</v>
      </c>
      <c r="AQ110">
        <f t="shared" si="78"/>
        <v>1.7310022503029254</v>
      </c>
      <c r="AR110">
        <f t="shared" si="79"/>
        <v>-131.55617102302233</v>
      </c>
      <c r="AT110">
        <f t="shared" si="104"/>
        <v>-206977.64680983749</v>
      </c>
      <c r="AU110">
        <f t="shared" si="105"/>
        <v>-1698541.4203563679</v>
      </c>
      <c r="AV110">
        <f t="shared" si="93"/>
        <v>-1.692054608590204</v>
      </c>
      <c r="AW110">
        <f t="shared" si="94"/>
        <v>-219183.44799850672</v>
      </c>
      <c r="AX110">
        <f t="shared" si="95"/>
        <v>-98366.921387077091</v>
      </c>
      <c r="AY110">
        <f t="shared" si="103"/>
        <v>-2.7197470082369435</v>
      </c>
      <c r="BA110">
        <f t="shared" si="80"/>
        <v>7.1223502262737748</v>
      </c>
      <c r="BB110">
        <f t="shared" si="96"/>
        <v>17.052466507232062</v>
      </c>
      <c r="BC110">
        <f t="shared" si="97"/>
        <v>1.0276923996467395</v>
      </c>
      <c r="BD110">
        <f t="shared" si="81"/>
        <v>-121.11756279528694</v>
      </c>
      <c r="BF110">
        <f t="shared" si="82"/>
        <v>3.40189014709832</v>
      </c>
      <c r="BG110">
        <f t="shared" si="83"/>
        <v>-116.61684608490691</v>
      </c>
      <c r="BH110">
        <f t="shared" si="98"/>
        <v>63.383153915093089</v>
      </c>
      <c r="BI110">
        <f t="shared" si="99"/>
        <v>63.383153915093089</v>
      </c>
      <c r="BJ110">
        <f t="shared" si="84"/>
        <v>0</v>
      </c>
      <c r="BK110">
        <f t="shared" si="100"/>
        <v>0</v>
      </c>
      <c r="BM110">
        <f t="shared" si="101"/>
        <v>-13.650576360133739</v>
      </c>
      <c r="BN110">
        <f t="shared" si="85"/>
        <v>-175.49928328962</v>
      </c>
      <c r="BQ110" s="56">
        <f t="shared" si="102"/>
        <v>33.954427307517193</v>
      </c>
      <c r="BR110" s="59"/>
      <c r="BS110" s="59"/>
      <c r="BT110" s="59">
        <v>1000</v>
      </c>
      <c r="BU110" s="59">
        <v>14.883800000000001</v>
      </c>
      <c r="BV110" s="59">
        <v>-260.5154</v>
      </c>
      <c r="BW110" s="61"/>
      <c r="BY110" s="59"/>
      <c r="BZ110" s="59"/>
      <c r="CA110" s="59"/>
      <c r="CC110" s="59"/>
    </row>
    <row r="111" spans="1:81" x14ac:dyDescent="0.25">
      <c r="A111">
        <f t="shared" si="106"/>
        <v>38500</v>
      </c>
      <c r="B111">
        <f t="shared" si="86"/>
        <v>38.5</v>
      </c>
      <c r="C111">
        <f t="shared" si="55"/>
        <v>1.0005330930146523</v>
      </c>
      <c r="D111">
        <f t="shared" si="56"/>
        <v>3.2645253831644488E-2</v>
      </c>
      <c r="F111">
        <f t="shared" si="57"/>
        <v>1.3478874095716581E-2</v>
      </c>
      <c r="G111">
        <f t="shared" si="58"/>
        <v>4.5713180674288333E-2</v>
      </c>
      <c r="H111">
        <f t="shared" si="59"/>
        <v>-3.0958794693257117</v>
      </c>
      <c r="J111">
        <f t="shared" si="60"/>
        <v>15</v>
      </c>
      <c r="M111">
        <f t="shared" si="61"/>
        <v>6.93420328517039E-2</v>
      </c>
      <c r="N111">
        <f t="shared" si="62"/>
        <v>-1.5707963250000001</v>
      </c>
      <c r="O111">
        <f t="shared" si="63"/>
        <v>10.425692262175767</v>
      </c>
      <c r="P111">
        <f t="shared" si="64"/>
        <v>1.4747317490608656</v>
      </c>
      <c r="Q111">
        <f t="shared" si="65"/>
        <v>9.8802081235190045</v>
      </c>
      <c r="R111">
        <f t="shared" si="66"/>
        <v>1.4694102797969786</v>
      </c>
      <c r="S111">
        <f t="shared" si="67"/>
        <v>0.9701134300407922</v>
      </c>
      <c r="T111">
        <f t="shared" si="68"/>
        <v>-0.24509849352006988</v>
      </c>
      <c r="U111">
        <f t="shared" si="69"/>
        <v>0.99929386551025412</v>
      </c>
      <c r="V111">
        <f t="shared" si="70"/>
        <v>-3.7582379108241165E-2</v>
      </c>
      <c r="X111">
        <f t="shared" si="87"/>
        <v>2.9271927122287282</v>
      </c>
      <c r="Y111">
        <f t="shared" si="71"/>
        <v>-113.01990064422138</v>
      </c>
      <c r="Z111">
        <f t="shared" si="88"/>
        <v>66.98009935577862</v>
      </c>
      <c r="AC111">
        <v>1</v>
      </c>
      <c r="AD111">
        <f t="shared" si="72"/>
        <v>10.377623000745</v>
      </c>
      <c r="AE111">
        <f t="shared" si="73"/>
        <v>-3.0124492068696975E-5</v>
      </c>
      <c r="AF111">
        <f t="shared" si="74"/>
        <v>8.0118152397359995E-4</v>
      </c>
      <c r="AG111">
        <f t="shared" si="89"/>
        <v>12887.747496208027</v>
      </c>
      <c r="AH111">
        <f t="shared" si="90"/>
        <v>-1732.7369712018376</v>
      </c>
      <c r="AJ111">
        <f t="shared" si="75"/>
        <v>18000</v>
      </c>
      <c r="AK111">
        <f t="shared" si="76"/>
        <v>4502.2918249386003</v>
      </c>
      <c r="AL111">
        <v>1</v>
      </c>
      <c r="AM111">
        <f t="shared" si="77"/>
        <v>9.8294716319877011</v>
      </c>
      <c r="AN111">
        <f t="shared" si="91"/>
        <v>637.73917607396754</v>
      </c>
      <c r="AO111">
        <f t="shared" si="92"/>
        <v>-1766.3473148876733</v>
      </c>
      <c r="AQ111">
        <f t="shared" si="78"/>
        <v>1.6863406408094435</v>
      </c>
      <c r="AR111">
        <f t="shared" si="79"/>
        <v>-129.84822934232716</v>
      </c>
      <c r="AT111">
        <f t="shared" si="104"/>
        <v>-203259.6952551998</v>
      </c>
      <c r="AU111">
        <f t="shared" si="105"/>
        <v>-1676373.1773679932</v>
      </c>
      <c r="AV111">
        <f t="shared" si="93"/>
        <v>-1.6914570007169962</v>
      </c>
      <c r="AW111">
        <f t="shared" si="94"/>
        <v>-213215.78167966718</v>
      </c>
      <c r="AX111">
        <f t="shared" si="95"/>
        <v>-96414.680307113507</v>
      </c>
      <c r="AY111">
        <f t="shared" si="103"/>
        <v>-2.7169165385141549</v>
      </c>
      <c r="BA111">
        <f t="shared" si="80"/>
        <v>7.2164063320916432</v>
      </c>
      <c r="BB111">
        <f t="shared" si="96"/>
        <v>17.166419578307885</v>
      </c>
      <c r="BC111">
        <f t="shared" si="97"/>
        <v>1.0254595377971587</v>
      </c>
      <c r="BD111">
        <f t="shared" si="81"/>
        <v>-121.24549635564988</v>
      </c>
      <c r="BF111">
        <f t="shared" si="82"/>
        <v>3.2859462456872968</v>
      </c>
      <c r="BG111">
        <f t="shared" si="83"/>
        <v>-116.75588876407748</v>
      </c>
      <c r="BH111">
        <f t="shared" si="98"/>
        <v>63.244111235922517</v>
      </c>
      <c r="BI111">
        <f t="shared" si="99"/>
        <v>63.244111235922517</v>
      </c>
      <c r="BJ111">
        <f t="shared" si="84"/>
        <v>0</v>
      </c>
      <c r="BK111">
        <f t="shared" si="100"/>
        <v>0</v>
      </c>
      <c r="BM111">
        <f t="shared" si="101"/>
        <v>-13.880473332620586</v>
      </c>
      <c r="BN111">
        <f t="shared" si="85"/>
        <v>-175.51039240842763</v>
      </c>
      <c r="BQ111" s="56">
        <f t="shared" si="102"/>
        <v>34.068380378593019</v>
      </c>
      <c r="BR111" s="59"/>
      <c r="BS111" s="59"/>
      <c r="BT111" s="59">
        <v>1023.293</v>
      </c>
      <c r="BU111" s="59">
        <v>14.7437</v>
      </c>
      <c r="BV111" s="59">
        <v>-261.12389999999999</v>
      </c>
      <c r="BW111" s="61"/>
      <c r="BY111" s="59"/>
      <c r="BZ111" s="59"/>
      <c r="CA111" s="59"/>
      <c r="CC111" s="59"/>
    </row>
    <row r="112" spans="1:81" x14ac:dyDescent="0.25">
      <c r="A112">
        <f t="shared" si="106"/>
        <v>39000</v>
      </c>
      <c r="B112">
        <f t="shared" si="86"/>
        <v>39</v>
      </c>
      <c r="C112">
        <f t="shared" si="55"/>
        <v>1.0005470256895155</v>
      </c>
      <c r="D112">
        <f t="shared" si="56"/>
        <v>3.3068911128366164E-2</v>
      </c>
      <c r="F112">
        <f t="shared" si="57"/>
        <v>1.3131216083513347E-2</v>
      </c>
      <c r="G112">
        <f t="shared" si="58"/>
        <v>4.5112063884566359E-2</v>
      </c>
      <c r="H112">
        <f t="shared" si="59"/>
        <v>-3.0964805861154336</v>
      </c>
      <c r="J112">
        <f t="shared" si="60"/>
        <v>15</v>
      </c>
      <c r="M112">
        <f t="shared" si="61"/>
        <v>6.8453032430528193E-2</v>
      </c>
      <c r="N112">
        <f t="shared" si="62"/>
        <v>-1.5707963250000001</v>
      </c>
      <c r="O112">
        <f t="shared" si="63"/>
        <v>10.559853101615943</v>
      </c>
      <c r="P112">
        <f t="shared" si="64"/>
        <v>1.4759559268468552</v>
      </c>
      <c r="Q112">
        <f t="shared" si="65"/>
        <v>10.007216408145064</v>
      </c>
      <c r="R112">
        <f t="shared" si="66"/>
        <v>1.4707013806990508</v>
      </c>
      <c r="S112">
        <f t="shared" si="67"/>
        <v>0.96936765292481686</v>
      </c>
      <c r="T112">
        <f t="shared" si="68"/>
        <v>-0.24815328891237873</v>
      </c>
      <c r="U112">
        <f t="shared" si="69"/>
        <v>0.99927542531522828</v>
      </c>
      <c r="V112">
        <f t="shared" si="70"/>
        <v>-3.806999351444508E-2</v>
      </c>
      <c r="X112">
        <f t="shared" si="87"/>
        <v>2.8034260660817081</v>
      </c>
      <c r="Y112">
        <f t="shared" si="71"/>
        <v>-113.08891860191909</v>
      </c>
      <c r="Z112">
        <f t="shared" si="88"/>
        <v>66.91108139808091</v>
      </c>
      <c r="AC112">
        <v>1</v>
      </c>
      <c r="AD112">
        <f t="shared" si="72"/>
        <v>10.512397325430001</v>
      </c>
      <c r="AE112">
        <f t="shared" si="73"/>
        <v>-3.091202728047772E-5</v>
      </c>
      <c r="AF112">
        <f t="shared" si="74"/>
        <v>8.1158647883039991E-4</v>
      </c>
      <c r="AG112">
        <f t="shared" si="89"/>
        <v>12887.271859575507</v>
      </c>
      <c r="AH112">
        <f t="shared" si="90"/>
        <v>-1723.0100990708515</v>
      </c>
      <c r="AJ112">
        <f t="shared" si="75"/>
        <v>18000</v>
      </c>
      <c r="AK112">
        <f t="shared" si="76"/>
        <v>4560.7631473404008</v>
      </c>
      <c r="AL112">
        <v>1</v>
      </c>
      <c r="AM112">
        <f t="shared" si="77"/>
        <v>9.9571271077277999</v>
      </c>
      <c r="AN112">
        <f t="shared" si="91"/>
        <v>633.20675822935948</v>
      </c>
      <c r="AO112">
        <f t="shared" si="92"/>
        <v>-1744.1570298215984</v>
      </c>
      <c r="AQ112">
        <f t="shared" si="78"/>
        <v>1.6433853738701725</v>
      </c>
      <c r="AR112">
        <f t="shared" si="79"/>
        <v>-128.18405916187345</v>
      </c>
      <c r="AT112">
        <f t="shared" si="104"/>
        <v>-199683.67439268841</v>
      </c>
      <c r="AU112">
        <f t="shared" si="105"/>
        <v>-1654774.3880788172</v>
      </c>
      <c r="AV112">
        <f t="shared" si="93"/>
        <v>-1.6908869097844825</v>
      </c>
      <c r="AW112">
        <f t="shared" si="94"/>
        <v>-207472.67418884431</v>
      </c>
      <c r="AX112">
        <f t="shared" si="95"/>
        <v>-94538.302119714004</v>
      </c>
      <c r="AY112">
        <f t="shared" si="103"/>
        <v>-2.7140366476086468</v>
      </c>
      <c r="BA112">
        <f t="shared" si="80"/>
        <v>7.3105461258365763</v>
      </c>
      <c r="BB112">
        <f t="shared" si="96"/>
        <v>17.278996432667256</v>
      </c>
      <c r="BC112">
        <f t="shared" si="97"/>
        <v>1.0231497378241643</v>
      </c>
      <c r="BD112">
        <f t="shared" si="81"/>
        <v>-121.37783814577311</v>
      </c>
      <c r="BF112">
        <f t="shared" si="82"/>
        <v>3.1716706797847816</v>
      </c>
      <c r="BG112">
        <f t="shared" si="83"/>
        <v>-116.8983982341958</v>
      </c>
      <c r="BH112">
        <f t="shared" si="98"/>
        <v>63.101601765804205</v>
      </c>
      <c r="BI112">
        <f t="shared" si="99"/>
        <v>63.101601765804205</v>
      </c>
      <c r="BJ112">
        <f t="shared" si="84"/>
        <v>0</v>
      </c>
      <c r="BK112">
        <f t="shared" si="100"/>
        <v>0</v>
      </c>
      <c r="BM112">
        <f t="shared" si="101"/>
        <v>-14.107325752882474</v>
      </c>
      <c r="BN112">
        <f t="shared" si="85"/>
        <v>-175.52056008842271</v>
      </c>
      <c r="BQ112" s="56">
        <f t="shared" si="102"/>
        <v>34.180957232952395</v>
      </c>
      <c r="BR112" s="59"/>
      <c r="BS112" s="59"/>
      <c r="BT112" s="59">
        <v>1047.1289999999999</v>
      </c>
      <c r="BU112" s="59">
        <v>14.586600000000001</v>
      </c>
      <c r="BV112" s="59">
        <v>-260.40769999999998</v>
      </c>
      <c r="BW112" s="61"/>
      <c r="BY112" s="59"/>
      <c r="BZ112" s="59"/>
      <c r="CA112" s="59"/>
      <c r="CC112" s="59"/>
    </row>
    <row r="113" spans="1:81" x14ac:dyDescent="0.25">
      <c r="A113">
        <f t="shared" si="106"/>
        <v>39500</v>
      </c>
      <c r="B113">
        <f t="shared" si="86"/>
        <v>39.5</v>
      </c>
      <c r="C113">
        <f t="shared" si="55"/>
        <v>1.0005611379430466</v>
      </c>
      <c r="D113">
        <f t="shared" si="56"/>
        <v>3.3492556550311962E-2</v>
      </c>
      <c r="F113">
        <f t="shared" si="57"/>
        <v>1.2796889212690659E-2</v>
      </c>
      <c r="G113">
        <f t="shared" si="58"/>
        <v>4.4526734806752094E-2</v>
      </c>
      <c r="H113">
        <f t="shared" si="59"/>
        <v>-3.097065915193248</v>
      </c>
      <c r="J113">
        <f t="shared" si="60"/>
        <v>15</v>
      </c>
      <c r="M113">
        <f t="shared" si="61"/>
        <v>6.7586538349129116E-2</v>
      </c>
      <c r="N113">
        <f t="shared" si="62"/>
        <v>-1.5707963250000001</v>
      </c>
      <c r="O113">
        <f t="shared" si="63"/>
        <v>10.694029369092483</v>
      </c>
      <c r="P113">
        <f t="shared" si="64"/>
        <v>1.4771493872603674</v>
      </c>
      <c r="Q113">
        <f t="shared" si="65"/>
        <v>10.134240956076459</v>
      </c>
      <c r="R113">
        <f t="shared" si="66"/>
        <v>1.4719601178359294</v>
      </c>
      <c r="S113">
        <f t="shared" si="67"/>
        <v>0.96861400354455063</v>
      </c>
      <c r="T113">
        <f t="shared" si="68"/>
        <v>-0.25120336273788429</v>
      </c>
      <c r="U113">
        <f t="shared" si="69"/>
        <v>0.99925674822284982</v>
      </c>
      <c r="V113">
        <f t="shared" si="70"/>
        <v>-3.8557589808934201E-2</v>
      </c>
      <c r="X113">
        <f t="shared" si="87"/>
        <v>2.6811987015357888</v>
      </c>
      <c r="Y113">
        <f t="shared" si="71"/>
        <v>-113.16037539011378</v>
      </c>
      <c r="Z113">
        <f t="shared" si="88"/>
        <v>66.839624609886215</v>
      </c>
      <c r="AC113">
        <v>1</v>
      </c>
      <c r="AD113">
        <f t="shared" si="72"/>
        <v>10.647171650115</v>
      </c>
      <c r="AE113">
        <f t="shared" si="73"/>
        <v>-3.1709724236926599E-5</v>
      </c>
      <c r="AF113">
        <f t="shared" si="74"/>
        <v>8.2199143368719997E-4</v>
      </c>
      <c r="AG113">
        <f t="shared" si="89"/>
        <v>12886.790121484997</v>
      </c>
      <c r="AH113">
        <f t="shared" si="90"/>
        <v>-1713.6876411627918</v>
      </c>
      <c r="AJ113">
        <f t="shared" si="75"/>
        <v>18000</v>
      </c>
      <c r="AK113">
        <f t="shared" si="76"/>
        <v>4619.2344697422004</v>
      </c>
      <c r="AL113">
        <v>1</v>
      </c>
      <c r="AM113">
        <f t="shared" si="77"/>
        <v>10.0847825834679</v>
      </c>
      <c r="AN113">
        <f t="shared" si="91"/>
        <v>628.84313114382439</v>
      </c>
      <c r="AO113">
        <f t="shared" si="92"/>
        <v>-1722.5117869504606</v>
      </c>
      <c r="AQ113">
        <f t="shared" si="78"/>
        <v>1.6020506247997437</v>
      </c>
      <c r="AR113">
        <f t="shared" si="79"/>
        <v>-126.56199935917975</v>
      </c>
      <c r="AT113">
        <f t="shared" si="104"/>
        <v>-196242.44397689131</v>
      </c>
      <c r="AU113">
        <f t="shared" si="105"/>
        <v>-1633723.3374535046</v>
      </c>
      <c r="AV113">
        <f t="shared" si="93"/>
        <v>-1.6903433043043079</v>
      </c>
      <c r="AW113">
        <f t="shared" si="94"/>
        <v>-201943.04265324891</v>
      </c>
      <c r="AX113">
        <f t="shared" si="95"/>
        <v>-92733.654258459617</v>
      </c>
      <c r="AY113">
        <f t="shared" si="103"/>
        <v>-2.7111086348511084</v>
      </c>
      <c r="BA113">
        <f t="shared" si="80"/>
        <v>7.4047678173127753</v>
      </c>
      <c r="BB113">
        <f t="shared" si="96"/>
        <v>17.390228908081124</v>
      </c>
      <c r="BC113">
        <f t="shared" si="97"/>
        <v>1.0207653305468005</v>
      </c>
      <c r="BD113">
        <f t="shared" si="81"/>
        <v>-121.51445461956246</v>
      </c>
      <c r="BF113">
        <f t="shared" si="82"/>
        <v>3.0590149068639199</v>
      </c>
      <c r="BG113">
        <f t="shared" si="83"/>
        <v>-117.04427849909324</v>
      </c>
      <c r="BH113">
        <f t="shared" si="98"/>
        <v>62.955721500906762</v>
      </c>
      <c r="BI113">
        <f t="shared" si="99"/>
        <v>62.955721500906762</v>
      </c>
      <c r="BJ113">
        <f t="shared" si="84"/>
        <v>0</v>
      </c>
      <c r="BK113">
        <f t="shared" si="100"/>
        <v>0</v>
      </c>
      <c r="BM113">
        <f t="shared" si="101"/>
        <v>-14.331214001217203</v>
      </c>
      <c r="BN113">
        <f t="shared" si="85"/>
        <v>-175.5298238795308</v>
      </c>
      <c r="BQ113" s="56">
        <f t="shared" si="102"/>
        <v>34.292189708366266</v>
      </c>
      <c r="BR113" s="59"/>
      <c r="BS113" s="59"/>
      <c r="BT113" s="59">
        <v>1071.519</v>
      </c>
      <c r="BU113" s="59">
        <v>14.3581</v>
      </c>
      <c r="BV113" s="59">
        <v>-260.5301</v>
      </c>
      <c r="BW113" s="61"/>
      <c r="BY113" s="59"/>
      <c r="BZ113" s="59"/>
      <c r="CA113" s="59"/>
      <c r="CC113" s="59"/>
    </row>
    <row r="114" spans="1:81" x14ac:dyDescent="0.25">
      <c r="A114">
        <f t="shared" si="106"/>
        <v>40000</v>
      </c>
      <c r="B114">
        <f t="shared" si="86"/>
        <v>40</v>
      </c>
      <c r="C114">
        <f t="shared" si="55"/>
        <v>1.0005754297676472</v>
      </c>
      <c r="D114">
        <f t="shared" si="56"/>
        <v>3.3916189945919682E-2</v>
      </c>
      <c r="F114">
        <f t="shared" si="57"/>
        <v>1.247521797882571E-2</v>
      </c>
      <c r="G114">
        <f t="shared" si="58"/>
        <v>4.3956572916533015E-2</v>
      </c>
      <c r="H114">
        <f t="shared" si="59"/>
        <v>-3.0976360770834672</v>
      </c>
      <c r="J114">
        <f t="shared" si="60"/>
        <v>15</v>
      </c>
      <c r="M114">
        <f t="shared" si="61"/>
        <v>6.6741706619764987E-2</v>
      </c>
      <c r="N114">
        <f t="shared" si="62"/>
        <v>-1.5707963250000001</v>
      </c>
      <c r="O114">
        <f t="shared" si="63"/>
        <v>10.828220491082824</v>
      </c>
      <c r="P114">
        <f t="shared" si="64"/>
        <v>1.4783132688522875</v>
      </c>
      <c r="Q114">
        <f t="shared" si="65"/>
        <v>10.261281163342131</v>
      </c>
      <c r="R114">
        <f t="shared" si="66"/>
        <v>1.4731876891856002</v>
      </c>
      <c r="S114">
        <f t="shared" si="67"/>
        <v>0.96785254226381068</v>
      </c>
      <c r="T114">
        <f t="shared" si="68"/>
        <v>-0.25424866931780177</v>
      </c>
      <c r="U114">
        <f t="shared" si="69"/>
        <v>0.9992378342730438</v>
      </c>
      <c r="V114">
        <f t="shared" si="70"/>
        <v>-3.9045167760878442E-2</v>
      </c>
      <c r="X114">
        <f t="shared" si="87"/>
        <v>2.5604657258059675</v>
      </c>
      <c r="Y114">
        <f t="shared" si="71"/>
        <v>-113.23417006724321</v>
      </c>
      <c r="Z114">
        <f t="shared" si="88"/>
        <v>66.765829932756787</v>
      </c>
      <c r="AC114">
        <v>1</v>
      </c>
      <c r="AD114">
        <f t="shared" si="72"/>
        <v>10.781945974800001</v>
      </c>
      <c r="AE114">
        <f t="shared" si="73"/>
        <v>-3.2517582938043621E-5</v>
      </c>
      <c r="AF114">
        <f t="shared" si="74"/>
        <v>8.3239638854399993E-4</v>
      </c>
      <c r="AG114">
        <f t="shared" si="89"/>
        <v>12886.302283308887</v>
      </c>
      <c r="AH114">
        <f t="shared" si="90"/>
        <v>-1704.7543968136627</v>
      </c>
      <c r="AJ114">
        <f t="shared" si="75"/>
        <v>18000</v>
      </c>
      <c r="AK114">
        <f t="shared" si="76"/>
        <v>4677.705792144</v>
      </c>
      <c r="AL114">
        <v>1</v>
      </c>
      <c r="AM114">
        <f t="shared" si="77"/>
        <v>10.212438059208001</v>
      </c>
      <c r="AN114">
        <f t="shared" si="91"/>
        <v>624.64004289465163</v>
      </c>
      <c r="AO114">
        <f t="shared" si="92"/>
        <v>-1701.3919552186589</v>
      </c>
      <c r="AQ114">
        <f t="shared" si="78"/>
        <v>1.562255897516013</v>
      </c>
      <c r="AR114">
        <f t="shared" si="79"/>
        <v>-124.98047180128106</v>
      </c>
      <c r="AT114">
        <f t="shared" si="104"/>
        <v>-192929.30707980649</v>
      </c>
      <c r="AU114">
        <f t="shared" si="105"/>
        <v>-1613199.4017521085</v>
      </c>
      <c r="AV114">
        <f t="shared" si="93"/>
        <v>-1.6898252034790224</v>
      </c>
      <c r="AW114">
        <f t="shared" si="94"/>
        <v>-196616.47704030422</v>
      </c>
      <c r="AX114">
        <f t="shared" si="95"/>
        <v>-90996.886030603491</v>
      </c>
      <c r="AY114">
        <f t="shared" si="103"/>
        <v>-2.7081337304800357</v>
      </c>
      <c r="BA114">
        <f t="shared" si="80"/>
        <v>7.4990695893990829</v>
      </c>
      <c r="BB114">
        <f t="shared" si="96"/>
        <v>17.500147675152689</v>
      </c>
      <c r="BC114">
        <f t="shared" si="97"/>
        <v>1.0183085270010133</v>
      </c>
      <c r="BD114">
        <f t="shared" si="81"/>
        <v>-121.65521909398967</v>
      </c>
      <c r="BF114">
        <f t="shared" si="82"/>
        <v>2.947932393566588</v>
      </c>
      <c r="BG114">
        <f t="shared" si="83"/>
        <v>-117.19343843784972</v>
      </c>
      <c r="BH114">
        <f t="shared" si="98"/>
        <v>62.806561562150279</v>
      </c>
      <c r="BI114">
        <f t="shared" si="99"/>
        <v>62.806561562150279</v>
      </c>
      <c r="BJ114">
        <f t="shared" si="84"/>
        <v>0</v>
      </c>
      <c r="BK114">
        <f t="shared" si="100"/>
        <v>0</v>
      </c>
      <c r="BM114">
        <f t="shared" si="101"/>
        <v>-14.552215281586099</v>
      </c>
      <c r="BN114">
        <f t="shared" si="85"/>
        <v>-175.53821934386005</v>
      </c>
      <c r="BQ114" s="56">
        <f t="shared" si="102"/>
        <v>34.402108475437821</v>
      </c>
      <c r="BR114" s="59"/>
      <c r="BS114" s="59"/>
      <c r="BT114" s="59">
        <v>1096.4780000000001</v>
      </c>
      <c r="BU114" s="59">
        <v>14.1501</v>
      </c>
      <c r="BV114" s="59">
        <v>-260.5471</v>
      </c>
      <c r="BW114" s="61"/>
      <c r="BY114" s="59"/>
      <c r="BZ114" s="59"/>
      <c r="CA114" s="59"/>
      <c r="CC114" s="59"/>
    </row>
    <row r="115" spans="1:81" x14ac:dyDescent="0.25">
      <c r="A115">
        <f t="shared" si="106"/>
        <v>40500</v>
      </c>
      <c r="B115">
        <f t="shared" si="86"/>
        <v>40.5</v>
      </c>
      <c r="C115">
        <f t="shared" si="55"/>
        <v>1.0005899011556232</v>
      </c>
      <c r="D115">
        <f t="shared" si="56"/>
        <v>3.4339811163653013E-2</v>
      </c>
      <c r="F115">
        <f t="shared" si="57"/>
        <v>1.2165569279184491E-2</v>
      </c>
      <c r="G115">
        <f t="shared" si="58"/>
        <v>4.3400990097678865E-2</v>
      </c>
      <c r="H115">
        <f t="shared" si="59"/>
        <v>-3.0981916599023211</v>
      </c>
      <c r="J115">
        <f t="shared" si="60"/>
        <v>15</v>
      </c>
      <c r="M115">
        <f t="shared" si="61"/>
        <v>6.5917734933101227E-2</v>
      </c>
      <c r="N115">
        <f t="shared" si="62"/>
        <v>-1.5707963250000001</v>
      </c>
      <c r="O115">
        <f t="shared" si="63"/>
        <v>10.962425922084394</v>
      </c>
      <c r="P115">
        <f t="shared" si="64"/>
        <v>1.4794486547494137</v>
      </c>
      <c r="Q115">
        <f t="shared" si="65"/>
        <v>10.388336455442493</v>
      </c>
      <c r="R115">
        <f t="shared" si="66"/>
        <v>1.474385234504884</v>
      </c>
      <c r="S115">
        <f t="shared" si="67"/>
        <v>0.96708332981097778</v>
      </c>
      <c r="T115">
        <f t="shared" si="68"/>
        <v>-0.25728916346970243</v>
      </c>
      <c r="U115">
        <f t="shared" si="69"/>
        <v>0.99921868350623755</v>
      </c>
      <c r="V115">
        <f t="shared" si="70"/>
        <v>-3.9532727139499999E-2</v>
      </c>
      <c r="X115">
        <f t="shared" si="87"/>
        <v>2.4411841616056682</v>
      </c>
      <c r="Y115">
        <f t="shared" si="71"/>
        <v>-113.31020637473263</v>
      </c>
      <c r="Z115">
        <f t="shared" si="88"/>
        <v>66.68979362526737</v>
      </c>
      <c r="AC115">
        <v>1</v>
      </c>
      <c r="AD115">
        <f t="shared" si="72"/>
        <v>10.916720299485</v>
      </c>
      <c r="AE115">
        <f t="shared" si="73"/>
        <v>-3.333560338382878E-5</v>
      </c>
      <c r="AF115">
        <f t="shared" si="74"/>
        <v>8.4280134340079989E-4</v>
      </c>
      <c r="AG115">
        <f t="shared" si="89"/>
        <v>12885.808346436768</v>
      </c>
      <c r="AH115">
        <f t="shared" si="90"/>
        <v>-1696.1959155741538</v>
      </c>
      <c r="AJ115">
        <f t="shared" si="75"/>
        <v>18000</v>
      </c>
      <c r="AK115">
        <f t="shared" si="76"/>
        <v>4736.1771145458006</v>
      </c>
      <c r="AL115">
        <v>1</v>
      </c>
      <c r="AM115">
        <f t="shared" si="77"/>
        <v>10.3400935349481</v>
      </c>
      <c r="AN115">
        <f t="shared" si="91"/>
        <v>620.58973817160881</v>
      </c>
      <c r="AO115">
        <f t="shared" si="92"/>
        <v>-1680.7788249775849</v>
      </c>
      <c r="AQ115">
        <f t="shared" si="78"/>
        <v>1.5239256324291375</v>
      </c>
      <c r="AR115">
        <f t="shared" si="79"/>
        <v>-123.43797622676013</v>
      </c>
      <c r="AT115">
        <f t="shared" si="104"/>
        <v>-189737.97746886572</v>
      </c>
      <c r="AU115">
        <f t="shared" si="105"/>
        <v>-1593182.9807634142</v>
      </c>
      <c r="AV115">
        <f t="shared" si="93"/>
        <v>-1.689331674135655</v>
      </c>
      <c r="AW115">
        <f t="shared" si="94"/>
        <v>-191483.1919132279</v>
      </c>
      <c r="AX115">
        <f t="shared" si="95"/>
        <v>-89324.405871331735</v>
      </c>
      <c r="AY115">
        <f t="shared" si="103"/>
        <v>-2.7051130999394291</v>
      </c>
      <c r="BA115">
        <f t="shared" si="80"/>
        <v>7.5934495941193223</v>
      </c>
      <c r="BB115">
        <f t="shared" si="96"/>
        <v>17.608782288259302</v>
      </c>
      <c r="BC115">
        <f t="shared" si="97"/>
        <v>1.0157814258037741</v>
      </c>
      <c r="BD115">
        <f t="shared" si="81"/>
        <v>-121.80001132715938</v>
      </c>
      <c r="BF115">
        <f t="shared" si="82"/>
        <v>2.8383784999204091</v>
      </c>
      <c r="BG115">
        <f t="shared" si="83"/>
        <v>-117.34579151383006</v>
      </c>
      <c r="BH115">
        <f t="shared" si="98"/>
        <v>62.654208486169935</v>
      </c>
      <c r="BI115">
        <f t="shared" si="99"/>
        <v>62.654208486169935</v>
      </c>
      <c r="BJ115">
        <f t="shared" si="84"/>
        <v>0</v>
      </c>
      <c r="BK115">
        <f t="shared" si="100"/>
        <v>0</v>
      </c>
      <c r="BM115">
        <f t="shared" si="101"/>
        <v>-14.770403788338893</v>
      </c>
      <c r="BN115">
        <f t="shared" si="85"/>
        <v>-175.5457801866707</v>
      </c>
      <c r="BQ115" s="56">
        <f t="shared" si="102"/>
        <v>34.510743088544437</v>
      </c>
      <c r="BR115" s="59"/>
      <c r="BS115" s="59"/>
      <c r="BT115" s="59">
        <v>1122.018</v>
      </c>
      <c r="BU115" s="59">
        <v>13.9679</v>
      </c>
      <c r="BV115" s="59">
        <v>-259.93099999999998</v>
      </c>
      <c r="BW115" s="61"/>
      <c r="BY115" s="59"/>
      <c r="BZ115" s="59"/>
      <c r="CA115" s="59"/>
      <c r="CC115" s="59"/>
    </row>
    <row r="116" spans="1:81" x14ac:dyDescent="0.25">
      <c r="A116">
        <f t="shared" si="106"/>
        <v>41000</v>
      </c>
      <c r="B116">
        <f t="shared" si="86"/>
        <v>41</v>
      </c>
      <c r="C116">
        <f t="shared" si="55"/>
        <v>1.0006045520991831</v>
      </c>
      <c r="D116">
        <f t="shared" si="56"/>
        <v>3.4763420052001809E-2</v>
      </c>
      <c r="F116">
        <f t="shared" si="57"/>
        <v>1.1867349247697263E-2</v>
      </c>
      <c r="G116">
        <f t="shared" si="58"/>
        <v>4.2859428535891475E-2</v>
      </c>
      <c r="H116">
        <f t="shared" si="59"/>
        <v>-3.0987332214641086</v>
      </c>
      <c r="J116">
        <f t="shared" si="60"/>
        <v>15</v>
      </c>
      <c r="M116">
        <f t="shared" si="61"/>
        <v>6.5113860116843891E-2</v>
      </c>
      <c r="N116">
        <f t="shared" si="62"/>
        <v>-1.5707963250000001</v>
      </c>
      <c r="O116">
        <f t="shared" si="63"/>
        <v>11.096645142927589</v>
      </c>
      <c r="P116">
        <f t="shared" si="64"/>
        <v>1.4805565759771318</v>
      </c>
      <c r="Q116">
        <f t="shared" si="65"/>
        <v>10.515406285577548</v>
      </c>
      <c r="R116">
        <f t="shared" si="66"/>
        <v>1.4755538388129856</v>
      </c>
      <c r="S116">
        <f t="shared" si="67"/>
        <v>0.96630642726684657</v>
      </c>
      <c r="T116">
        <f t="shared" si="68"/>
        <v>-0.26032480050974705</v>
      </c>
      <c r="U116">
        <f t="shared" si="69"/>
        <v>0.99919929596336088</v>
      </c>
      <c r="V116">
        <f t="shared" si="70"/>
        <v>-4.0020267714073937E-2</v>
      </c>
      <c r="X116">
        <f t="shared" si="87"/>
        <v>2.3233128395465306</v>
      </c>
      <c r="Y116">
        <f t="shared" si="71"/>
        <v>-113.38839246782862</v>
      </c>
      <c r="Z116">
        <f t="shared" si="88"/>
        <v>66.611607532171377</v>
      </c>
      <c r="AC116">
        <v>1</v>
      </c>
      <c r="AD116">
        <f t="shared" si="72"/>
        <v>11.051494624170001</v>
      </c>
      <c r="AE116">
        <f t="shared" si="73"/>
        <v>-3.4163785574282076E-5</v>
      </c>
      <c r="AF116">
        <f t="shared" si="74"/>
        <v>8.5320629825759995E-4</v>
      </c>
      <c r="AG116">
        <f t="shared" si="89"/>
        <v>12885.308312275458</v>
      </c>
      <c r="AH116">
        <f t="shared" si="90"/>
        <v>-1687.9984514650932</v>
      </c>
      <c r="AJ116">
        <f t="shared" si="75"/>
        <v>18000</v>
      </c>
      <c r="AK116">
        <f t="shared" si="76"/>
        <v>4794.6484369476002</v>
      </c>
      <c r="AL116">
        <v>1</v>
      </c>
      <c r="AM116">
        <f t="shared" si="77"/>
        <v>10.4677490106882</v>
      </c>
      <c r="AN116">
        <f t="shared" si="91"/>
        <v>616.68492295080603</v>
      </c>
      <c r="AO116">
        <f t="shared" si="92"/>
        <v>-1660.6545551770287</v>
      </c>
      <c r="AQ116">
        <f t="shared" si="78"/>
        <v>1.486988847583643</v>
      </c>
      <c r="AR116">
        <f t="shared" si="79"/>
        <v>-121.93308550185874</v>
      </c>
      <c r="AT116">
        <f t="shared" si="104"/>
        <v>-186662.54975146794</v>
      </c>
      <c r="AU116">
        <f t="shared" si="105"/>
        <v>-1573655.4350305616</v>
      </c>
      <c r="AV116">
        <f t="shared" si="93"/>
        <v>-1.6888618278784835</v>
      </c>
      <c r="AW116">
        <f t="shared" si="94"/>
        <v>-186533.98215936351</v>
      </c>
      <c r="AX116">
        <f t="shared" si="95"/>
        <v>-87712.860698863878</v>
      </c>
      <c r="AY116">
        <f t="shared" si="103"/>
        <v>-2.7020478478713206</v>
      </c>
      <c r="BA116">
        <f t="shared" si="80"/>
        <v>7.6879059489113351</v>
      </c>
      <c r="BB116">
        <f t="shared" si="96"/>
        <v>17.716161233795965</v>
      </c>
      <c r="BC116">
        <f t="shared" si="97"/>
        <v>1.0131860199928371</v>
      </c>
      <c r="BD116">
        <f t="shared" si="81"/>
        <v>-121.94871712641972</v>
      </c>
      <c r="BF116">
        <f t="shared" si="82"/>
        <v>2.7303103717428954</v>
      </c>
      <c r="BG116">
        <f t="shared" si="83"/>
        <v>-117.50125550346844</v>
      </c>
      <c r="BH116">
        <f t="shared" si="98"/>
        <v>62.498744496531558</v>
      </c>
      <c r="BI116">
        <f t="shared" si="99"/>
        <v>62.498744496531558</v>
      </c>
      <c r="BJ116">
        <f t="shared" si="84"/>
        <v>0</v>
      </c>
      <c r="BK116">
        <f t="shared" si="100"/>
        <v>0</v>
      </c>
      <c r="BM116">
        <f t="shared" si="101"/>
        <v>-14.98585086205307</v>
      </c>
      <c r="BN116">
        <f t="shared" si="85"/>
        <v>-175.55253837704871</v>
      </c>
      <c r="BQ116" s="56">
        <f t="shared" si="102"/>
        <v>34.618122034081097</v>
      </c>
      <c r="BR116" s="59"/>
      <c r="BS116" s="59"/>
      <c r="BT116" s="59">
        <v>1148.154</v>
      </c>
      <c r="BU116" s="59">
        <v>13.7508</v>
      </c>
      <c r="BV116" s="59">
        <v>-259.94799999999998</v>
      </c>
      <c r="BW116" s="61"/>
      <c r="BY116" s="59"/>
      <c r="BZ116" s="59"/>
      <c r="CA116" s="59"/>
      <c r="CC116" s="59"/>
    </row>
    <row r="117" spans="1:81" x14ac:dyDescent="0.25">
      <c r="A117">
        <f t="shared" si="106"/>
        <v>41500</v>
      </c>
      <c r="B117">
        <f t="shared" si="86"/>
        <v>41.5</v>
      </c>
      <c r="C117">
        <f t="shared" si="55"/>
        <v>1.0006193825904401</v>
      </c>
      <c r="D117">
        <f t="shared" si="56"/>
        <v>3.5187016459482454E-2</v>
      </c>
      <c r="F117">
        <f t="shared" si="57"/>
        <v>1.1580000363049927E-2</v>
      </c>
      <c r="G117">
        <f t="shared" si="58"/>
        <v>4.2331358775985345E-2</v>
      </c>
      <c r="H117">
        <f t="shared" si="59"/>
        <v>-3.0992612912240149</v>
      </c>
      <c r="J117">
        <f t="shared" si="60"/>
        <v>15</v>
      </c>
      <c r="M117">
        <f t="shared" si="61"/>
        <v>6.4329355778086739E-2</v>
      </c>
      <c r="N117">
        <f t="shared" si="62"/>
        <v>-1.5707963250000001</v>
      </c>
      <c r="O117">
        <f t="shared" si="63"/>
        <v>11.230877659208899</v>
      </c>
      <c r="P117">
        <f t="shared" si="64"/>
        <v>1.4816380145465422</v>
      </c>
      <c r="Q117">
        <f t="shared" si="65"/>
        <v>10.642490133001061</v>
      </c>
      <c r="R117">
        <f t="shared" si="66"/>
        <v>1.4766945356286492</v>
      </c>
      <c r="S117">
        <f t="shared" si="67"/>
        <v>0.96552189605249594</v>
      </c>
      <c r="T117">
        <f t="shared" si="68"/>
        <v>-0.26335553625480368</v>
      </c>
      <c r="U117">
        <f t="shared" si="69"/>
        <v>0.99917967168584454</v>
      </c>
      <c r="V117">
        <f t="shared" si="70"/>
        <v>-4.0507789253928901E-2</v>
      </c>
      <c r="X117">
        <f t="shared" si="87"/>
        <v>2.206812298035655</v>
      </c>
      <c r="Y117">
        <f t="shared" si="71"/>
        <v>-113.4686406646811</v>
      </c>
      <c r="Z117">
        <f t="shared" si="88"/>
        <v>66.531359335318896</v>
      </c>
      <c r="AC117">
        <v>1</v>
      </c>
      <c r="AD117">
        <f t="shared" si="72"/>
        <v>11.186268948855</v>
      </c>
      <c r="AE117">
        <f t="shared" si="73"/>
        <v>-3.5002129509403515E-5</v>
      </c>
      <c r="AF117">
        <f t="shared" si="74"/>
        <v>8.6361125311439991E-4</v>
      </c>
      <c r="AG117">
        <f t="shared" si="89"/>
        <v>12884.802182248966</v>
      </c>
      <c r="AH117">
        <f t="shared" si="90"/>
        <v>-1680.1489205397309</v>
      </c>
      <c r="AJ117">
        <f t="shared" si="75"/>
        <v>18000</v>
      </c>
      <c r="AK117">
        <f t="shared" si="76"/>
        <v>4853.1197593494007</v>
      </c>
      <c r="AL117">
        <v>1</v>
      </c>
      <c r="AM117">
        <f t="shared" si="77"/>
        <v>10.595404486428301</v>
      </c>
      <c r="AN117">
        <f t="shared" si="91"/>
        <v>612.91873205682964</v>
      </c>
      <c r="AO117">
        <f t="shared" si="92"/>
        <v>-1641.0021241014781</v>
      </c>
      <c r="AQ117">
        <f t="shared" si="78"/>
        <v>1.4513788098693758</v>
      </c>
      <c r="AR117">
        <f t="shared" si="79"/>
        <v>-120.4644412191582</v>
      </c>
      <c r="AT117">
        <f t="shared" si="104"/>
        <v>-183697.47202111568</v>
      </c>
      <c r="AU117">
        <f t="shared" si="105"/>
        <v>-1554599.0276447081</v>
      </c>
      <c r="AV117">
        <f t="shared" si="93"/>
        <v>-1.6884148184429939</v>
      </c>
      <c r="AW117">
        <f t="shared" si="94"/>
        <v>-181760.18232317767</v>
      </c>
      <c r="AX117">
        <f t="shared" si="95"/>
        <v>-86159.117153083222</v>
      </c>
      <c r="AY117">
        <f t="shared" si="103"/>
        <v>-2.6989390218283584</v>
      </c>
      <c r="BA117">
        <f t="shared" si="80"/>
        <v>7.7824367330784483</v>
      </c>
      <c r="BB117">
        <f t="shared" si="96"/>
        <v>17.822311975882318</v>
      </c>
      <c r="BC117">
        <f t="shared" si="97"/>
        <v>1.0105242033853645</v>
      </c>
      <c r="BD117">
        <f t="shared" si="81"/>
        <v>-122.10122798404001</v>
      </c>
      <c r="BF117">
        <f t="shared" si="82"/>
        <v>2.623686840546839</v>
      </c>
      <c r="BG117">
        <f t="shared" si="83"/>
        <v>-117.65975224326112</v>
      </c>
      <c r="BH117">
        <f t="shared" si="98"/>
        <v>62.340247756738876</v>
      </c>
      <c r="BI117">
        <f t="shared" si="99"/>
        <v>62.340247756738876</v>
      </c>
      <c r="BJ117">
        <f t="shared" si="84"/>
        <v>0</v>
      </c>
      <c r="BK117">
        <f t="shared" si="100"/>
        <v>0</v>
      </c>
      <c r="BM117">
        <f t="shared" si="101"/>
        <v>-15.19862513533548</v>
      </c>
      <c r="BN117">
        <f t="shared" si="85"/>
        <v>-175.55852425922114</v>
      </c>
      <c r="BQ117" s="56">
        <f t="shared" si="102"/>
        <v>34.724272776167453</v>
      </c>
      <c r="BR117" s="59"/>
      <c r="BS117" s="59"/>
      <c r="BT117" s="59">
        <v>1174.8979999999999</v>
      </c>
      <c r="BU117" s="59">
        <v>13.6038</v>
      </c>
      <c r="BV117" s="59">
        <v>-260.19870000000003</v>
      </c>
      <c r="BW117" s="61"/>
      <c r="BY117" s="59"/>
      <c r="BZ117" s="59"/>
      <c r="CA117" s="59"/>
      <c r="CC117" s="59"/>
    </row>
    <row r="118" spans="1:81" x14ac:dyDescent="0.25">
      <c r="A118">
        <f t="shared" si="106"/>
        <v>42000</v>
      </c>
      <c r="B118">
        <f t="shared" si="86"/>
        <v>42</v>
      </c>
      <c r="C118">
        <f t="shared" si="55"/>
        <v>1.0006343926214112</v>
      </c>
      <c r="D118">
        <f t="shared" si="56"/>
        <v>3.5610600234638197E-2</v>
      </c>
      <c r="F118">
        <f t="shared" si="57"/>
        <v>1.1302998803203842E-2</v>
      </c>
      <c r="G118">
        <f t="shared" si="58"/>
        <v>4.1816277927719248E-2</v>
      </c>
      <c r="H118">
        <f t="shared" si="59"/>
        <v>-3.0997763720722809</v>
      </c>
      <c r="J118">
        <f t="shared" si="60"/>
        <v>15</v>
      </c>
      <c r="M118">
        <f t="shared" si="61"/>
        <v>6.3563530114061892E-2</v>
      </c>
      <c r="N118">
        <f t="shared" si="62"/>
        <v>-1.5707963250000001</v>
      </c>
      <c r="O118">
        <f t="shared" si="63"/>
        <v>11.365122999834419</v>
      </c>
      <c r="P118">
        <f t="shared" si="64"/>
        <v>1.48269390632524</v>
      </c>
      <c r="Q118">
        <f t="shared" si="65"/>
        <v>10.769587501490433</v>
      </c>
      <c r="R118">
        <f t="shared" si="66"/>
        <v>1.4778083099809507</v>
      </c>
      <c r="S118">
        <f t="shared" si="67"/>
        <v>0.96472979791718139</v>
      </c>
      <c r="T118">
        <f t="shared" si="68"/>
        <v>-0.26638132702445044</v>
      </c>
      <c r="U118">
        <f t="shared" si="69"/>
        <v>0.99915981071562177</v>
      </c>
      <c r="V118">
        <f t="shared" si="70"/>
        <v>-4.0995291528447733E-2</v>
      </c>
      <c r="X118">
        <f t="shared" si="87"/>
        <v>2.091644690050543</v>
      </c>
      <c r="Y118">
        <f t="shared" si="71"/>
        <v>-113.55086721226667</v>
      </c>
      <c r="Z118">
        <f t="shared" si="88"/>
        <v>66.449132787733333</v>
      </c>
      <c r="AC118">
        <v>1</v>
      </c>
      <c r="AD118">
        <f t="shared" si="72"/>
        <v>11.321043273540001</v>
      </c>
      <c r="AE118">
        <f t="shared" si="73"/>
        <v>-3.5850635189193097E-5</v>
      </c>
      <c r="AF118">
        <f t="shared" si="74"/>
        <v>8.7401620797120008E-4</v>
      </c>
      <c r="AG118">
        <f t="shared" si="89"/>
        <v>12884.289957798492</v>
      </c>
      <c r="AH118">
        <f t="shared" si="90"/>
        <v>-1672.6348614772937</v>
      </c>
      <c r="AJ118">
        <f t="shared" si="75"/>
        <v>18000</v>
      </c>
      <c r="AK118">
        <f t="shared" si="76"/>
        <v>4911.5910817512004</v>
      </c>
      <c r="AL118">
        <v>1</v>
      </c>
      <c r="AM118">
        <f t="shared" si="77"/>
        <v>10.723059962168399</v>
      </c>
      <c r="AN118">
        <f t="shared" si="91"/>
        <v>609.28469934721227</v>
      </c>
      <c r="AO118">
        <f t="shared" si="92"/>
        <v>-1621.8052833807026</v>
      </c>
      <c r="AQ118">
        <f t="shared" si="78"/>
        <v>1.4170327334561428</v>
      </c>
      <c r="AR118">
        <f t="shared" si="79"/>
        <v>-119.03074961031599</v>
      </c>
      <c r="AT118">
        <f t="shared" si="104"/>
        <v>-180837.52076844859</v>
      </c>
      <c r="AU118">
        <f t="shared" si="105"/>
        <v>-1535996.8702232544</v>
      </c>
      <c r="AV118">
        <f t="shared" si="93"/>
        <v>-1.687989839234691</v>
      </c>
      <c r="AW118">
        <f t="shared" si="94"/>
        <v>-177153.62921361724</v>
      </c>
      <c r="AX118">
        <f t="shared" si="95"/>
        <v>-84660.244525171307</v>
      </c>
      <c r="AY118">
        <f t="shared" si="103"/>
        <v>-2.6957876157293374</v>
      </c>
      <c r="BA118">
        <f t="shared" si="80"/>
        <v>7.8770399844089027</v>
      </c>
      <c r="BB118">
        <f t="shared" si="96"/>
        <v>17.927260999684854</v>
      </c>
      <c r="BC118">
        <f t="shared" si="97"/>
        <v>1.0077977764946464</v>
      </c>
      <c r="BD118">
        <f t="shared" si="81"/>
        <v>-122.25744073820763</v>
      </c>
      <c r="BF118">
        <f t="shared" si="82"/>
        <v>2.5184683303274378</v>
      </c>
      <c r="BG118">
        <f t="shared" si="83"/>
        <v>-117.82120739356176</v>
      </c>
      <c r="BH118">
        <f t="shared" si="98"/>
        <v>62.178792606438236</v>
      </c>
      <c r="BI118">
        <f t="shared" si="99"/>
        <v>62.178792606438236</v>
      </c>
      <c r="BJ118">
        <f t="shared" si="84"/>
        <v>0</v>
      </c>
      <c r="BK118">
        <f t="shared" si="100"/>
        <v>0</v>
      </c>
      <c r="BM118">
        <f t="shared" si="101"/>
        <v>-15.408792669357418</v>
      </c>
      <c r="BN118">
        <f t="shared" si="85"/>
        <v>-175.56376665535413</v>
      </c>
      <c r="BQ118" s="56">
        <f t="shared" si="102"/>
        <v>34.829221799969993</v>
      </c>
      <c r="BR118" s="59"/>
      <c r="BS118" s="59"/>
      <c r="BT118" s="59">
        <v>1202.2639999999999</v>
      </c>
      <c r="BU118" s="59">
        <v>13.412800000000001</v>
      </c>
      <c r="BV118" s="59">
        <v>-259.34100000000001</v>
      </c>
      <c r="BW118" s="61"/>
      <c r="BY118" s="59"/>
      <c r="BZ118" s="59"/>
      <c r="CA118" s="59"/>
      <c r="CC118" s="59"/>
    </row>
    <row r="119" spans="1:81" x14ac:dyDescent="0.25">
      <c r="A119">
        <f t="shared" si="106"/>
        <v>42500</v>
      </c>
      <c r="B119">
        <f t="shared" si="86"/>
        <v>42.5</v>
      </c>
      <c r="C119">
        <f t="shared" si="55"/>
        <v>1.0006495821840162</v>
      </c>
      <c r="D119">
        <f t="shared" si="56"/>
        <v>3.6034171226039406E-2</v>
      </c>
      <c r="F119">
        <f t="shared" si="57"/>
        <v>1.1035852022563056E-2</v>
      </c>
      <c r="G119">
        <f t="shared" si="58"/>
        <v>4.1313708007095759E-2</v>
      </c>
      <c r="H119">
        <f t="shared" si="59"/>
        <v>-3.1002789419929044</v>
      </c>
      <c r="J119">
        <f t="shared" si="60"/>
        <v>15</v>
      </c>
      <c r="M119">
        <f t="shared" si="61"/>
        <v>6.2815723877425872E-2</v>
      </c>
      <c r="N119">
        <f t="shared" si="62"/>
        <v>-1.5707963250000001</v>
      </c>
      <c r="O119">
        <f t="shared" si="63"/>
        <v>11.499380715664721</v>
      </c>
      <c r="P119">
        <f t="shared" si="64"/>
        <v>1.4837251437091858</v>
      </c>
      <c r="Q119">
        <f t="shared" si="65"/>
        <v>10.896697917922927</v>
      </c>
      <c r="R119">
        <f t="shared" si="66"/>
        <v>1.4788961012119302</v>
      </c>
      <c r="S119">
        <f t="shared" si="67"/>
        <v>0.96393019492625398</v>
      </c>
      <c r="T119">
        <f t="shared" si="68"/>
        <v>-0.26940212964286292</v>
      </c>
      <c r="U119">
        <f t="shared" si="69"/>
        <v>0.99913971309512617</v>
      </c>
      <c r="V119">
        <f t="shared" si="70"/>
        <v>-4.1482774307068121E-2</v>
      </c>
      <c r="X119">
        <f t="shared" si="87"/>
        <v>1.977773696230674</v>
      </c>
      <c r="Y119">
        <f t="shared" si="71"/>
        <v>-113.63499206786798</v>
      </c>
      <c r="Z119">
        <f t="shared" si="88"/>
        <v>66.365007932132016</v>
      </c>
      <c r="AC119">
        <v>1</v>
      </c>
      <c r="AD119">
        <f t="shared" si="72"/>
        <v>11.455817598225002</v>
      </c>
      <c r="AE119">
        <f t="shared" si="73"/>
        <v>-3.6709302613650816E-5</v>
      </c>
      <c r="AF119">
        <f t="shared" si="74"/>
        <v>8.8442116282800003E-4</v>
      </c>
      <c r="AG119">
        <f t="shared" si="89"/>
        <v>12883.771640382427</v>
      </c>
      <c r="AH119">
        <f t="shared" si="90"/>
        <v>-1665.4443989581773</v>
      </c>
      <c r="AJ119">
        <f t="shared" si="75"/>
        <v>18000</v>
      </c>
      <c r="AK119">
        <f t="shared" si="76"/>
        <v>4970.062404153</v>
      </c>
      <c r="AL119">
        <v>1</v>
      </c>
      <c r="AM119">
        <f t="shared" si="77"/>
        <v>10.8507154379085</v>
      </c>
      <c r="AN119">
        <f t="shared" si="91"/>
        <v>605.77673028046536</v>
      </c>
      <c r="AO119">
        <f t="shared" si="92"/>
        <v>-1603.048515026979</v>
      </c>
      <c r="AQ119">
        <f t="shared" si="78"/>
        <v>1.3838915029061722</v>
      </c>
      <c r="AR119">
        <f t="shared" si="79"/>
        <v>-117.63077774702464</v>
      </c>
      <c r="AT119">
        <f t="shared" si="104"/>
        <v>-178077.77784536764</v>
      </c>
      <c r="AU119">
        <f t="shared" si="105"/>
        <v>-1517832.8727255252</v>
      </c>
      <c r="AV119">
        <f t="shared" si="93"/>
        <v>-1.6875861210379168</v>
      </c>
      <c r="AW119">
        <f t="shared" si="94"/>
        <v>-172706.62748905385</v>
      </c>
      <c r="AX119">
        <f t="shared" si="95"/>
        <v>-83213.499207428074</v>
      </c>
      <c r="AY119">
        <f t="shared" si="103"/>
        <v>-2.69259457307846</v>
      </c>
      <c r="BA119">
        <f t="shared" si="80"/>
        <v>7.9717136959500809</v>
      </c>
      <c r="BB119">
        <f t="shared" si="96"/>
        <v>18.031033852496144</v>
      </c>
      <c r="BC119">
        <f t="shared" si="97"/>
        <v>1.0050084520405431</v>
      </c>
      <c r="BD119">
        <f t="shared" si="81"/>
        <v>-122.41725725730299</v>
      </c>
      <c r="BF119">
        <f t="shared" si="82"/>
        <v>2.414616770670265</v>
      </c>
      <c r="BG119">
        <f t="shared" si="83"/>
        <v>-117.98555021789281</v>
      </c>
      <c r="BH119">
        <f t="shared" si="98"/>
        <v>62.014449782107192</v>
      </c>
      <c r="BI119">
        <f t="shared" si="99"/>
        <v>62.014449782107192</v>
      </c>
      <c r="BJ119">
        <f t="shared" si="84"/>
        <v>0</v>
      </c>
      <c r="BK119">
        <f t="shared" si="100"/>
        <v>0</v>
      </c>
      <c r="BM119">
        <f t="shared" si="101"/>
        <v>-15.61641708182588</v>
      </c>
      <c r="BN119">
        <f t="shared" si="85"/>
        <v>-175.56829296058979</v>
      </c>
      <c r="BQ119" s="56">
        <f t="shared" si="102"/>
        <v>34.932994652781282</v>
      </c>
      <c r="BR119" s="59"/>
      <c r="BS119" s="59"/>
      <c r="BT119" s="59">
        <v>1230.269</v>
      </c>
      <c r="BU119" s="59">
        <v>13.1837</v>
      </c>
      <c r="BV119" s="59">
        <v>-259.55099999999999</v>
      </c>
      <c r="BW119" s="61"/>
      <c r="BY119" s="59"/>
      <c r="BZ119" s="59"/>
      <c r="CA119" s="59"/>
      <c r="CC119" s="59"/>
    </row>
    <row r="120" spans="1:81" x14ac:dyDescent="0.25">
      <c r="A120">
        <f t="shared" si="106"/>
        <v>43000</v>
      </c>
      <c r="B120">
        <f t="shared" si="86"/>
        <v>43</v>
      </c>
      <c r="C120">
        <f t="shared" si="55"/>
        <v>1.00066495127008</v>
      </c>
      <c r="D120">
        <f t="shared" si="56"/>
        <v>3.6457729282283982E-2</v>
      </c>
      <c r="F120">
        <f t="shared" si="57"/>
        <v>1.0778096530566363E-2</v>
      </c>
      <c r="G120">
        <f t="shared" si="58"/>
        <v>4.0823194401271572E-2</v>
      </c>
      <c r="H120">
        <f t="shared" si="59"/>
        <v>-3.1007694555987286</v>
      </c>
      <c r="J120">
        <f t="shared" si="60"/>
        <v>15</v>
      </c>
      <c r="M120">
        <f t="shared" si="61"/>
        <v>6.208530848350232E-2</v>
      </c>
      <c r="N120">
        <f t="shared" si="62"/>
        <v>-1.5707963250000001</v>
      </c>
      <c r="O120">
        <f t="shared" si="63"/>
        <v>11.633650378253016</v>
      </c>
      <c r="P120">
        <f t="shared" si="64"/>
        <v>1.4847325781115202</v>
      </c>
      <c r="Q120">
        <f t="shared" si="65"/>
        <v>11.023820930949741</v>
      </c>
      <c r="R120">
        <f t="shared" si="66"/>
        <v>1.4799588055876118</v>
      </c>
      <c r="S120">
        <f t="shared" si="67"/>
        <v>0.96312314944910926</v>
      </c>
      <c r="T120">
        <f t="shared" si="68"/>
        <v>-0.27241790144058797</v>
      </c>
      <c r="U120">
        <f t="shared" si="69"/>
        <v>0.99911937886729307</v>
      </c>
      <c r="V120">
        <f t="shared" si="70"/>
        <v>-4.1970237359283263E-2</v>
      </c>
      <c r="X120">
        <f t="shared" si="87"/>
        <v>1.8651644437776236</v>
      </c>
      <c r="Y120">
        <f t="shared" si="71"/>
        <v>-113.72093869493014</v>
      </c>
      <c r="Z120">
        <f t="shared" si="88"/>
        <v>66.27906130506986</v>
      </c>
      <c r="AC120">
        <v>1</v>
      </c>
      <c r="AD120">
        <f t="shared" si="72"/>
        <v>11.590591922910001</v>
      </c>
      <c r="AE120">
        <f t="shared" si="73"/>
        <v>-3.7578131782776665E-5</v>
      </c>
      <c r="AF120">
        <f t="shared" si="74"/>
        <v>8.948261176848001E-4</v>
      </c>
      <c r="AG120">
        <f t="shared" si="89"/>
        <v>12883.247231476318</v>
      </c>
      <c r="AH120">
        <f t="shared" si="90"/>
        <v>-1658.5662095943535</v>
      </c>
      <c r="AJ120">
        <f t="shared" si="75"/>
        <v>18000</v>
      </c>
      <c r="AK120">
        <f t="shared" si="76"/>
        <v>5028.5337265548005</v>
      </c>
      <c r="AL120">
        <v>1</v>
      </c>
      <c r="AM120">
        <f t="shared" si="77"/>
        <v>10.9783709136486</v>
      </c>
      <c r="AN120">
        <f t="shared" si="91"/>
        <v>602.38907665300258</v>
      </c>
      <c r="AO120">
        <f t="shared" si="92"/>
        <v>-1584.7169912721592</v>
      </c>
      <c r="AQ120">
        <f t="shared" si="78"/>
        <v>1.35189941868325</v>
      </c>
      <c r="AR120">
        <f t="shared" si="79"/>
        <v>-116.2633500067595</v>
      </c>
      <c r="AT120">
        <f t="shared" si="104"/>
        <v>-175413.6092924673</v>
      </c>
      <c r="AU120">
        <f t="shared" si="105"/>
        <v>-1500091.6967913446</v>
      </c>
      <c r="AV120">
        <f t="shared" si="93"/>
        <v>-1.6872029298811724</v>
      </c>
      <c r="AW120">
        <f t="shared" si="94"/>
        <v>-168411.91795285069</v>
      </c>
      <c r="AX120">
        <f t="shared" si="95"/>
        <v>-81816.310511495802</v>
      </c>
      <c r="AY120">
        <f t="shared" si="103"/>
        <v>-2.6893607899672163</v>
      </c>
      <c r="BA120">
        <f t="shared" si="80"/>
        <v>8.0664558129258523</v>
      </c>
      <c r="BB120">
        <f t="shared" si="96"/>
        <v>18.133655182703933</v>
      </c>
      <c r="BC120">
        <f t="shared" si="97"/>
        <v>1.0021578600860439</v>
      </c>
      <c r="BD120">
        <f t="shared" si="81"/>
        <v>-122.58058414559639</v>
      </c>
      <c r="BF120">
        <f t="shared" si="82"/>
        <v>2.3120955156722283</v>
      </c>
      <c r="BG120">
        <f t="shared" si="83"/>
        <v>-118.15271337659644</v>
      </c>
      <c r="BH120">
        <f t="shared" si="98"/>
        <v>61.847286623403562</v>
      </c>
      <c r="BI120">
        <f t="shared" si="99"/>
        <v>61.847286623403562</v>
      </c>
      <c r="BJ120">
        <f t="shared" si="84"/>
        <v>0</v>
      </c>
      <c r="BK120">
        <f t="shared" si="100"/>
        <v>0</v>
      </c>
      <c r="BM120">
        <f t="shared" si="101"/>
        <v>-15.821559667031707</v>
      </c>
      <c r="BN120">
        <f t="shared" si="85"/>
        <v>-175.57212923100008</v>
      </c>
      <c r="BQ120" s="56">
        <f t="shared" si="102"/>
        <v>35.035615982989071</v>
      </c>
      <c r="BR120" s="59"/>
      <c r="BS120" s="59"/>
      <c r="BT120" s="59">
        <v>1258.925</v>
      </c>
      <c r="BU120" s="59">
        <v>13.0792</v>
      </c>
      <c r="BV120" s="59">
        <v>-259.27199999999999</v>
      </c>
      <c r="BW120" s="61"/>
      <c r="BY120" s="59"/>
      <c r="BZ120" s="59"/>
      <c r="CA120" s="59"/>
      <c r="CC120" s="59"/>
    </row>
    <row r="121" spans="1:81" x14ac:dyDescent="0.25">
      <c r="A121">
        <f t="shared" si="106"/>
        <v>43500</v>
      </c>
      <c r="B121">
        <f t="shared" si="86"/>
        <v>43.5</v>
      </c>
      <c r="C121">
        <f t="shared" si="55"/>
        <v>1.000680499871331</v>
      </c>
      <c r="D121">
        <f t="shared" si="56"/>
        <v>3.6881274251997623E-2</v>
      </c>
      <c r="F121">
        <f t="shared" si="57"/>
        <v>1.052929585273658E-2</v>
      </c>
      <c r="G121">
        <f t="shared" si="58"/>
        <v>4.0344304446399526E-2</v>
      </c>
      <c r="H121">
        <f t="shared" si="59"/>
        <v>-3.1012483455536008</v>
      </c>
      <c r="J121">
        <f t="shared" si="60"/>
        <v>15</v>
      </c>
      <c r="M121">
        <f t="shared" si="61"/>
        <v>6.1371684248059763E-2</v>
      </c>
      <c r="N121">
        <f t="shared" si="62"/>
        <v>-1.5707963250000001</v>
      </c>
      <c r="O121">
        <f t="shared" si="63"/>
        <v>11.767931578669213</v>
      </c>
      <c r="P121">
        <f t="shared" si="64"/>
        <v>1.4857170222827523</v>
      </c>
      <c r="Q121">
        <f t="shared" si="65"/>
        <v>11.150956109760193</v>
      </c>
      <c r="R121">
        <f t="shared" si="66"/>
        <v>1.4809972787324803</v>
      </c>
      <c r="S121">
        <f t="shared" si="67"/>
        <v>0.96230872414717361</v>
      </c>
      <c r="T121">
        <f t="shared" si="68"/>
        <v>-0.27542860025620353</v>
      </c>
      <c r="U121">
        <f t="shared" si="69"/>
        <v>0.99909880807555829</v>
      </c>
      <c r="V121">
        <f t="shared" si="70"/>
        <v>-4.2457680454642516E-2</v>
      </c>
      <c r="X121">
        <f t="shared" si="87"/>
        <v>1.7537834307024123</v>
      </c>
      <c r="Y121">
        <f t="shared" si="71"/>
        <v>-113.80863387221733</v>
      </c>
      <c r="Z121">
        <f t="shared" si="88"/>
        <v>66.191366127782672</v>
      </c>
      <c r="AC121">
        <v>1</v>
      </c>
      <c r="AD121">
        <f t="shared" si="72"/>
        <v>11.725366247595</v>
      </c>
      <c r="AE121">
        <f t="shared" si="73"/>
        <v>-3.8457122696570638E-5</v>
      </c>
      <c r="AF121">
        <f t="shared" si="74"/>
        <v>9.0523107254160005E-4</v>
      </c>
      <c r="AG121">
        <f t="shared" si="89"/>
        <v>12882.716732572886</v>
      </c>
      <c r="AH121">
        <f t="shared" si="90"/>
        <v>-1651.989490209414</v>
      </c>
      <c r="AJ121">
        <f t="shared" si="75"/>
        <v>18000</v>
      </c>
      <c r="AK121">
        <f t="shared" si="76"/>
        <v>5087.0050489566001</v>
      </c>
      <c r="AL121">
        <v>1</v>
      </c>
      <c r="AM121">
        <f t="shared" si="77"/>
        <v>11.106026389388699</v>
      </c>
      <c r="AN121">
        <f t="shared" si="91"/>
        <v>599.11631331172703</v>
      </c>
      <c r="AO121">
        <f t="shared" si="92"/>
        <v>-1566.7965369967085</v>
      </c>
      <c r="AQ121">
        <f t="shared" si="78"/>
        <v>1.321003963011889</v>
      </c>
      <c r="AR121">
        <f t="shared" si="79"/>
        <v>-114.92734478203434</v>
      </c>
      <c r="AT121">
        <f t="shared" si="104"/>
        <v>-172840.64585950613</v>
      </c>
      <c r="AU121">
        <f t="shared" si="105"/>
        <v>-1482758.7123171075</v>
      </c>
      <c r="AV121">
        <f t="shared" si="93"/>
        <v>-1.6868395650466528</v>
      </c>
      <c r="AW121">
        <f t="shared" si="94"/>
        <v>-164262.64831912104</v>
      </c>
      <c r="AX121">
        <f t="shared" si="95"/>
        <v>-80466.267719930765</v>
      </c>
      <c r="AY121">
        <f t="shared" si="103"/>
        <v>-2.6860871178760948</v>
      </c>
      <c r="BA121">
        <f t="shared" si="80"/>
        <v>8.1612642297863296</v>
      </c>
      <c r="BB121">
        <f t="shared" si="96"/>
        <v>18.23514877677432</v>
      </c>
      <c r="BC121">
        <f t="shared" si="97"/>
        <v>0.999247552829442</v>
      </c>
      <c r="BD121">
        <f t="shared" si="81"/>
        <v>-122.74733246867649</v>
      </c>
      <c r="BF121">
        <f t="shared" si="82"/>
        <v>2.210869268214251</v>
      </c>
      <c r="BG121">
        <f t="shared" si="83"/>
        <v>-118.322632733747</v>
      </c>
      <c r="BH121">
        <f t="shared" si="98"/>
        <v>61.677367266253</v>
      </c>
      <c r="BI121">
        <f t="shared" si="99"/>
        <v>61.677367266253</v>
      </c>
      <c r="BJ121">
        <f t="shared" si="84"/>
        <v>0</v>
      </c>
      <c r="BK121">
        <f t="shared" si="100"/>
        <v>0</v>
      </c>
      <c r="BM121">
        <f t="shared" si="101"/>
        <v>-16.024279508560067</v>
      </c>
      <c r="BN121">
        <f t="shared" si="85"/>
        <v>-175.5753002650705</v>
      </c>
      <c r="BQ121" s="56">
        <f t="shared" si="102"/>
        <v>35.137109577059455</v>
      </c>
      <c r="BR121" s="59"/>
      <c r="BS121" s="59"/>
      <c r="BT121" s="59">
        <v>1288.25</v>
      </c>
      <c r="BU121" s="59">
        <v>12.807</v>
      </c>
      <c r="BV121" s="59">
        <v>-258.86099999999999</v>
      </c>
      <c r="BW121" s="61"/>
      <c r="BY121" s="59"/>
      <c r="BZ121" s="59"/>
      <c r="CA121" s="59"/>
      <c r="CC121" s="59"/>
    </row>
    <row r="122" spans="1:81" x14ac:dyDescent="0.25">
      <c r="A122">
        <f t="shared" si="106"/>
        <v>44000</v>
      </c>
      <c r="B122">
        <f t="shared" si="86"/>
        <v>44</v>
      </c>
      <c r="C122">
        <f t="shared" si="55"/>
        <v>1.0006962279794012</v>
      </c>
      <c r="D122">
        <f t="shared" si="56"/>
        <v>3.7304805983834136E-2</v>
      </c>
      <c r="F122">
        <f t="shared" si="57"/>
        <v>1.028903865721097E-2</v>
      </c>
      <c r="G122">
        <f t="shared" si="58"/>
        <v>3.9876626108769617E-2</v>
      </c>
      <c r="H122">
        <f t="shared" si="59"/>
        <v>-3.1017160238912305</v>
      </c>
      <c r="J122">
        <f t="shared" si="60"/>
        <v>15</v>
      </c>
      <c r="M122">
        <f t="shared" si="61"/>
        <v>6.0674278745240902E-2</v>
      </c>
      <c r="N122">
        <f t="shared" si="62"/>
        <v>-1.5707963250000001</v>
      </c>
      <c r="O122">
        <f t="shared" si="63"/>
        <v>11.902223926403089</v>
      </c>
      <c r="P122">
        <f t="shared" si="64"/>
        <v>1.4866792524754711</v>
      </c>
      <c r="Q122">
        <f t="shared" si="65"/>
        <v>11.278103042928969</v>
      </c>
      <c r="R122">
        <f t="shared" si="66"/>
        <v>1.4820123379011472</v>
      </c>
      <c r="S122">
        <f t="shared" si="67"/>
        <v>0.96148698196192384</v>
      </c>
      <c r="T122">
        <f t="shared" si="68"/>
        <v>-0.27843418443786555</v>
      </c>
      <c r="U122">
        <f t="shared" si="69"/>
        <v>0.99907800076385789</v>
      </c>
      <c r="V122">
        <f t="shared" si="70"/>
        <v>-4.2945103362752028E-2</v>
      </c>
      <c r="X122">
        <f t="shared" si="87"/>
        <v>1.6435984550010736</v>
      </c>
      <c r="Y122">
        <f t="shared" si="71"/>
        <v>-113.89800751528088</v>
      </c>
      <c r="Z122">
        <f t="shared" si="88"/>
        <v>66.101992484719119</v>
      </c>
      <c r="AC122">
        <v>1</v>
      </c>
      <c r="AD122">
        <f t="shared" si="72"/>
        <v>11.860140572280001</v>
      </c>
      <c r="AE122">
        <f t="shared" si="73"/>
        <v>-3.934627535503278E-5</v>
      </c>
      <c r="AF122">
        <f t="shared" si="74"/>
        <v>9.1563602739840001E-4</v>
      </c>
      <c r="AG122">
        <f t="shared" si="89"/>
        <v>12882.180145181992</v>
      </c>
      <c r="AH122">
        <f t="shared" si="90"/>
        <v>-1645.7039282813391</v>
      </c>
      <c r="AJ122">
        <f t="shared" si="75"/>
        <v>18000</v>
      </c>
      <c r="AK122">
        <f t="shared" si="76"/>
        <v>5145.4763713584007</v>
      </c>
      <c r="AL122">
        <v>1</v>
      </c>
      <c r="AM122">
        <f t="shared" si="77"/>
        <v>11.2336818651288</v>
      </c>
      <c r="AN122">
        <f t="shared" si="91"/>
        <v>595.95331666815594</v>
      </c>
      <c r="AO122">
        <f t="shared" si="92"/>
        <v>-1549.2735945600234</v>
      </c>
      <c r="AQ122">
        <f t="shared" si="78"/>
        <v>1.2911555842479019</v>
      </c>
      <c r="AR122">
        <f t="shared" si="79"/>
        <v>-113.62169141381537</v>
      </c>
      <c r="AT122">
        <f t="shared" si="104"/>
        <v>-170354.76506594688</v>
      </c>
      <c r="AU122">
        <f t="shared" si="105"/>
        <v>-1465819.9570100668</v>
      </c>
      <c r="AV122">
        <f t="shared" si="93"/>
        <v>-1.6864953572127834</v>
      </c>
      <c r="AW122">
        <f t="shared" si="94"/>
        <v>-160252.3462318863</v>
      </c>
      <c r="AX122">
        <f t="shared" si="95"/>
        <v>-79161.10825078038</v>
      </c>
      <c r="AY122">
        <f t="shared" si="103"/>
        <v>-2.6827743662917669</v>
      </c>
      <c r="BA122">
        <f t="shared" si="80"/>
        <v>8.2561367873807043</v>
      </c>
      <c r="BB122">
        <f t="shared" si="96"/>
        <v>18.335537594365515</v>
      </c>
      <c r="BC122">
        <f t="shared" si="97"/>
        <v>0.99627900907898348</v>
      </c>
      <c r="BD122">
        <f t="shared" si="81"/>
        <v>-122.91741749707205</v>
      </c>
      <c r="BF122">
        <f t="shared" si="82"/>
        <v>2.1109040091671387</v>
      </c>
      <c r="BG122">
        <f t="shared" si="83"/>
        <v>-118.49524717633722</v>
      </c>
      <c r="BH122">
        <f t="shared" si="98"/>
        <v>61.504752823662784</v>
      </c>
      <c r="BI122">
        <f t="shared" si="99"/>
        <v>61.504752823662784</v>
      </c>
      <c r="BJ122">
        <f t="shared" si="84"/>
        <v>0</v>
      </c>
      <c r="BK122">
        <f t="shared" si="100"/>
        <v>0</v>
      </c>
      <c r="BM122">
        <f t="shared" si="101"/>
        <v>-16.224633585198379</v>
      </c>
      <c r="BN122">
        <f t="shared" si="85"/>
        <v>-175.57782967926516</v>
      </c>
      <c r="BQ122" s="56">
        <f t="shared" si="102"/>
        <v>35.23749839465065</v>
      </c>
      <c r="BR122" s="59"/>
      <c r="BS122" s="59"/>
      <c r="BT122" s="59">
        <v>1318.2570000000001</v>
      </c>
      <c r="BU122" s="59">
        <v>12.682600000000001</v>
      </c>
      <c r="BV122" s="59">
        <v>-258.68299999999999</v>
      </c>
      <c r="BW122" s="61"/>
      <c r="BY122" s="59"/>
      <c r="BZ122" s="59"/>
      <c r="CA122" s="59"/>
      <c r="CC122" s="59"/>
    </row>
    <row r="123" spans="1:81" x14ac:dyDescent="0.25">
      <c r="A123">
        <f t="shared" si="106"/>
        <v>44500</v>
      </c>
      <c r="B123">
        <f t="shared" si="86"/>
        <v>44.5</v>
      </c>
      <c r="C123">
        <f t="shared" si="55"/>
        <v>1.0007121355858268</v>
      </c>
      <c r="D123">
        <f t="shared" si="56"/>
        <v>3.7728324326475826E-2</v>
      </c>
      <c r="F123">
        <f t="shared" si="57"/>
        <v>1.0056937031537807E-2</v>
      </c>
      <c r="G123">
        <f t="shared" si="58"/>
        <v>3.9419766760549188E-2</v>
      </c>
      <c r="H123">
        <f t="shared" si="59"/>
        <v>-3.1021728832394508</v>
      </c>
      <c r="J123">
        <f t="shared" si="60"/>
        <v>15</v>
      </c>
      <c r="M123">
        <f t="shared" si="61"/>
        <v>5.9992545276193257E-2</v>
      </c>
      <c r="N123">
        <f t="shared" si="62"/>
        <v>-1.5707963250000001</v>
      </c>
      <c r="O123">
        <f t="shared" si="63"/>
        <v>12.036527048340519</v>
      </c>
      <c r="P123">
        <f t="shared" si="64"/>
        <v>1.4876200104655666</v>
      </c>
      <c r="Q123">
        <f t="shared" si="65"/>
        <v>11.405261337339974</v>
      </c>
      <c r="R123">
        <f t="shared" si="66"/>
        <v>1.4830047640997333</v>
      </c>
      <c r="S123">
        <f t="shared" si="67"/>
        <v>0.96065798610295461</v>
      </c>
      <c r="T123">
        <f t="shared" si="68"/>
        <v>-0.2814346128447428</v>
      </c>
      <c r="U123">
        <f t="shared" si="69"/>
        <v>0.99905695697662911</v>
      </c>
      <c r="V123">
        <f t="shared" si="70"/>
        <v>-4.3432505853275412E-2</v>
      </c>
      <c r="X123">
        <f t="shared" si="87"/>
        <v>1.5345785483773013</v>
      </c>
      <c r="Y123">
        <f t="shared" si="71"/>
        <v>-113.98899250933273</v>
      </c>
      <c r="Z123">
        <f t="shared" si="88"/>
        <v>66.011007490667268</v>
      </c>
      <c r="AC123">
        <v>1</v>
      </c>
      <c r="AD123">
        <f t="shared" si="72"/>
        <v>11.994914896965</v>
      </c>
      <c r="AE123">
        <f t="shared" si="73"/>
        <v>-4.0245589758163046E-5</v>
      </c>
      <c r="AF123">
        <f t="shared" si="74"/>
        <v>9.2604098225520007E-4</v>
      </c>
      <c r="AG123">
        <f t="shared" si="89"/>
        <v>12881.637470830636</v>
      </c>
      <c r="AH123">
        <f t="shared" si="90"/>
        <v>-1639.6996743778877</v>
      </c>
      <c r="AJ123">
        <f t="shared" si="75"/>
        <v>18000</v>
      </c>
      <c r="AK123">
        <f t="shared" si="76"/>
        <v>5203.9476937602003</v>
      </c>
      <c r="AL123">
        <v>1</v>
      </c>
      <c r="AM123">
        <f t="shared" si="77"/>
        <v>11.3613373408689</v>
      </c>
      <c r="AN123">
        <f t="shared" si="91"/>
        <v>592.89524485697928</v>
      </c>
      <c r="AO123">
        <f t="shared" si="92"/>
        <v>-1532.1351908570077</v>
      </c>
      <c r="AQ123">
        <f t="shared" si="78"/>
        <v>1.2623074981065388</v>
      </c>
      <c r="AR123">
        <f t="shared" si="79"/>
        <v>-112.34536733148195</v>
      </c>
      <c r="AT123">
        <f t="shared" si="104"/>
        <v>-167952.07466397548</v>
      </c>
      <c r="AU123">
        <f t="shared" si="105"/>
        <v>-1449262.0986850599</v>
      </c>
      <c r="AV123">
        <f t="shared" si="93"/>
        <v>-1.6861696667195392</v>
      </c>
      <c r="AW123">
        <f t="shared" si="94"/>
        <v>-156374.89434194693</v>
      </c>
      <c r="AX123">
        <f t="shared" si="95"/>
        <v>-77898.706827790113</v>
      </c>
      <c r="AY123">
        <f t="shared" si="103"/>
        <v>-2.6794233051540579</v>
      </c>
      <c r="BA123">
        <f t="shared" si="80"/>
        <v>8.3510712702444341</v>
      </c>
      <c r="BB123">
        <f t="shared" si="96"/>
        <v>18.434843801680966</v>
      </c>
      <c r="BC123">
        <f t="shared" si="97"/>
        <v>0.99325363843451875</v>
      </c>
      <c r="BD123">
        <f t="shared" si="81"/>
        <v>-123.09075846666073</v>
      </c>
      <c r="BF123">
        <f t="shared" si="82"/>
        <v>2.0121669311493875</v>
      </c>
      <c r="BG123">
        <f t="shared" si="83"/>
        <v>-118.67049844483246</v>
      </c>
      <c r="BH123">
        <f t="shared" si="98"/>
        <v>61.329501555167539</v>
      </c>
      <c r="BI123">
        <f t="shared" si="99"/>
        <v>61.329501555167539</v>
      </c>
      <c r="BJ123">
        <f t="shared" si="84"/>
        <v>0</v>
      </c>
      <c r="BK123">
        <f t="shared" si="100"/>
        <v>0</v>
      </c>
      <c r="BM123">
        <f t="shared" si="101"/>
        <v>-16.422676870531578</v>
      </c>
      <c r="BN123">
        <f t="shared" si="85"/>
        <v>-175.57973997817172</v>
      </c>
      <c r="BQ123" s="56">
        <f t="shared" si="102"/>
        <v>35.336804601966108</v>
      </c>
      <c r="BR123" s="59"/>
      <c r="BS123" s="59"/>
      <c r="BT123" s="59">
        <v>1348.963</v>
      </c>
      <c r="BU123" s="59">
        <v>12.475899999999999</v>
      </c>
      <c r="BV123" s="59">
        <v>-258.79700000000003</v>
      </c>
      <c r="BW123" s="61"/>
      <c r="BY123" s="59"/>
      <c r="BZ123" s="59"/>
      <c r="CA123" s="59"/>
      <c r="CC123" s="59"/>
    </row>
    <row r="124" spans="1:81" x14ac:dyDescent="0.25">
      <c r="A124">
        <f t="shared" si="106"/>
        <v>45000</v>
      </c>
      <c r="B124">
        <f t="shared" si="86"/>
        <v>45</v>
      </c>
      <c r="C124">
        <f t="shared" si="55"/>
        <v>1.0007282226820478</v>
      </c>
      <c r="D124">
        <f t="shared" si="56"/>
        <v>3.8151829128633769E-2</v>
      </c>
      <c r="F124">
        <f t="shared" si="57"/>
        <v>9.8326248960841026E-3</v>
      </c>
      <c r="G124">
        <f t="shared" si="58"/>
        <v>3.8973352042253578E-2</v>
      </c>
      <c r="H124">
        <f t="shared" si="59"/>
        <v>-3.1026192979577467</v>
      </c>
      <c r="J124">
        <f t="shared" si="60"/>
        <v>15</v>
      </c>
      <c r="M124">
        <f t="shared" si="61"/>
        <v>5.932596143979111E-2</v>
      </c>
      <c r="N124">
        <f t="shared" si="62"/>
        <v>-1.5707963250000001</v>
      </c>
      <c r="O124">
        <f t="shared" si="63"/>
        <v>12.17084058780708</v>
      </c>
      <c r="P124">
        <f t="shared" si="64"/>
        <v>1.4885400054409168</v>
      </c>
      <c r="Q124">
        <f t="shared" si="65"/>
        <v>11.532430617180978</v>
      </c>
      <c r="R124">
        <f t="shared" si="66"/>
        <v>1.4839753040684143</v>
      </c>
      <c r="S124">
        <f t="shared" si="67"/>
        <v>0.95982180003608775</v>
      </c>
      <c r="T124">
        <f t="shared" si="68"/>
        <v>-0.28442984484833966</v>
      </c>
      <c r="U124">
        <f t="shared" si="69"/>
        <v>0.99903567675880811</v>
      </c>
      <c r="V124">
        <f t="shared" si="70"/>
        <v>-4.3919887695934384E-2</v>
      </c>
      <c r="X124">
        <f t="shared" si="87"/>
        <v>1.4266939141648403</v>
      </c>
      <c r="Y124">
        <f t="shared" si="71"/>
        <v>-114.08152455269146</v>
      </c>
      <c r="Z124">
        <f t="shared" si="88"/>
        <v>65.918475447308538</v>
      </c>
      <c r="AC124">
        <v>1</v>
      </c>
      <c r="AD124">
        <f t="shared" si="72"/>
        <v>12.129689221650001</v>
      </c>
      <c r="AE124">
        <f t="shared" si="73"/>
        <v>-4.1155065905961456E-5</v>
      </c>
      <c r="AF124">
        <f t="shared" si="74"/>
        <v>9.3644593711200003E-4</v>
      </c>
      <c r="AG124">
        <f t="shared" si="89"/>
        <v>12881.088711062952</v>
      </c>
      <c r="AH124">
        <f t="shared" si="90"/>
        <v>-1633.9673164296375</v>
      </c>
      <c r="AJ124">
        <f t="shared" si="75"/>
        <v>18000</v>
      </c>
      <c r="AK124">
        <f t="shared" si="76"/>
        <v>5262.4190161619999</v>
      </c>
      <c r="AL124">
        <v>1</v>
      </c>
      <c r="AM124">
        <f t="shared" si="77"/>
        <v>11.488992816609001</v>
      </c>
      <c r="AN124">
        <f t="shared" si="91"/>
        <v>589.93751939715889</v>
      </c>
      <c r="AO124">
        <f t="shared" si="92"/>
        <v>-1515.368906440091</v>
      </c>
      <c r="AQ124">
        <f t="shared" si="78"/>
        <v>1.2344155042587335</v>
      </c>
      <c r="AR124">
        <f t="shared" si="79"/>
        <v>-111.09739538328601</v>
      </c>
      <c r="AT124">
        <f t="shared" si="104"/>
        <v>-165628.89738008199</v>
      </c>
      <c r="AU124">
        <f t="shared" si="105"/>
        <v>-1433072.4000889957</v>
      </c>
      <c r="AV124">
        <f t="shared" si="93"/>
        <v>-1.6858618819472033</v>
      </c>
      <c r="AW124">
        <f t="shared" si="94"/>
        <v>-152624.50726462199</v>
      </c>
      <c r="AX124">
        <f t="shared" si="95"/>
        <v>-76677.065560306874</v>
      </c>
      <c r="AY124">
        <f t="shared" si="103"/>
        <v>-2.676034667145732</v>
      </c>
      <c r="BA124">
        <f t="shared" si="80"/>
        <v>8.4460654039932734</v>
      </c>
      <c r="BB124">
        <f t="shared" si="96"/>
        <v>18.533088803163981</v>
      </c>
      <c r="BC124">
        <f t="shared" si="97"/>
        <v>0.99017278519852869</v>
      </c>
      <c r="BD124">
        <f t="shared" si="81"/>
        <v>-123.26727835458389</v>
      </c>
      <c r="BF124">
        <f t="shared" si="82"/>
        <v>1.9146263764901106</v>
      </c>
      <c r="BG124">
        <f t="shared" si="83"/>
        <v>-118.84833097426082</v>
      </c>
      <c r="BH124">
        <f t="shared" si="98"/>
        <v>61.151669025739182</v>
      </c>
      <c r="BI124">
        <f t="shared" si="99"/>
        <v>61.151669025739182</v>
      </c>
      <c r="BJ124">
        <f t="shared" si="84"/>
        <v>0</v>
      </c>
      <c r="BK124">
        <f t="shared" si="100"/>
        <v>0</v>
      </c>
      <c r="BM124">
        <f t="shared" si="101"/>
        <v>-16.618462426673872</v>
      </c>
      <c r="BN124">
        <f t="shared" si="85"/>
        <v>-175.58105261967694</v>
      </c>
      <c r="BQ124" s="56">
        <f t="shared" si="102"/>
        <v>35.435049603449123</v>
      </c>
      <c r="BR124" s="59"/>
      <c r="BS124" s="59"/>
      <c r="BT124" s="59">
        <v>1380.384</v>
      </c>
      <c r="BU124" s="59">
        <v>12.2584</v>
      </c>
      <c r="BV124" s="59">
        <v>-258.41000000000003</v>
      </c>
      <c r="BW124" s="61"/>
      <c r="BY124" s="59"/>
      <c r="BZ124" s="59"/>
      <c r="CA124" s="59"/>
      <c r="CC124" s="59"/>
    </row>
    <row r="125" spans="1:81" x14ac:dyDescent="0.25">
      <c r="A125">
        <f t="shared" si="106"/>
        <v>45500</v>
      </c>
      <c r="B125">
        <f t="shared" si="86"/>
        <v>45.5</v>
      </c>
      <c r="C125">
        <f t="shared" si="55"/>
        <v>1.0007444892594082</v>
      </c>
      <c r="D125">
        <f t="shared" si="56"/>
        <v>3.8575320239048104E-2</v>
      </c>
      <c r="F125">
        <f t="shared" si="57"/>
        <v>9.6157565417832793E-3</v>
      </c>
      <c r="G125">
        <f t="shared" si="58"/>
        <v>3.8537024804821879E-2</v>
      </c>
      <c r="H125">
        <f t="shared" si="59"/>
        <v>-3.1030556251951782</v>
      </c>
      <c r="J125">
        <f t="shared" si="60"/>
        <v>15</v>
      </c>
      <c r="M125">
        <f t="shared" si="61"/>
        <v>5.8674027797595597E-2</v>
      </c>
      <c r="N125">
        <f t="shared" si="62"/>
        <v>-1.5707963250000001</v>
      </c>
      <c r="O125">
        <f t="shared" si="63"/>
        <v>12.305164203674005</v>
      </c>
      <c r="P125">
        <f t="shared" si="64"/>
        <v>1.48943991576754</v>
      </c>
      <c r="Q125">
        <f t="shared" si="65"/>
        <v>11.659610523003641</v>
      </c>
      <c r="R125">
        <f t="shared" si="66"/>
        <v>1.4849246721355818</v>
      </c>
      <c r="S125">
        <f t="shared" si="67"/>
        <v>0.95897848747153269</v>
      </c>
      <c r="T125">
        <f t="shared" si="68"/>
        <v>-0.28741984033370865</v>
      </c>
      <c r="U125">
        <f t="shared" si="69"/>
        <v>0.99901416015583133</v>
      </c>
      <c r="V125">
        <f t="shared" si="70"/>
        <v>-4.4407248660509394E-2</v>
      </c>
      <c r="X125">
        <f t="shared" si="87"/>
        <v>1.3199158691331174</v>
      </c>
      <c r="Y125">
        <f t="shared" si="71"/>
        <v>-114.17554201003772</v>
      </c>
      <c r="Z125">
        <f t="shared" si="88"/>
        <v>65.824457989962283</v>
      </c>
      <c r="AC125">
        <v>1</v>
      </c>
      <c r="AD125">
        <f t="shared" si="72"/>
        <v>12.264463546335001</v>
      </c>
      <c r="AE125">
        <f t="shared" si="73"/>
        <v>-4.2074703798427995E-5</v>
      </c>
      <c r="AF125">
        <f t="shared" si="74"/>
        <v>9.4685089196879998E-4</v>
      </c>
      <c r="AG125">
        <f t="shared" si="89"/>
        <v>12880.533867440188</v>
      </c>
      <c r="AH125">
        <f t="shared" si="90"/>
        <v>-1628.497855699306</v>
      </c>
      <c r="AJ125">
        <f t="shared" si="75"/>
        <v>18000</v>
      </c>
      <c r="AK125">
        <f t="shared" si="76"/>
        <v>5320.8903385638005</v>
      </c>
      <c r="AL125">
        <v>1</v>
      </c>
      <c r="AM125">
        <f t="shared" si="77"/>
        <v>11.616648292349101</v>
      </c>
      <c r="AN125">
        <f t="shared" si="91"/>
        <v>587.07580822725947</v>
      </c>
      <c r="AO125">
        <f t="shared" si="92"/>
        <v>-1498.962846558861</v>
      </c>
      <c r="AQ125">
        <f t="shared" si="78"/>
        <v>1.2074378169524269</v>
      </c>
      <c r="AR125">
        <f t="shared" si="79"/>
        <v>-109.87684134267086</v>
      </c>
      <c r="AT125">
        <f t="shared" si="104"/>
        <v>-163381.75682346858</v>
      </c>
      <c r="AU125">
        <f t="shared" si="105"/>
        <v>-1417238.6860574214</v>
      </c>
      <c r="AV125">
        <f t="shared" si="93"/>
        <v>-1.6855714178000289</v>
      </c>
      <c r="AW125">
        <f t="shared" si="94"/>
        <v>-148995.71025837719</v>
      </c>
      <c r="AX125">
        <f t="shared" si="95"/>
        <v>-75494.304847055319</v>
      </c>
      <c r="AY125">
        <f t="shared" si="103"/>
        <v>-2.6726091498370179</v>
      </c>
      <c r="BA125">
        <f t="shared" si="80"/>
        <v>8.5411168528171402</v>
      </c>
      <c r="BB125">
        <f t="shared" si="96"/>
        <v>18.630293271629334</v>
      </c>
      <c r="BC125">
        <f t="shared" si="97"/>
        <v>0.98703773203698897</v>
      </c>
      <c r="BD125">
        <f t="shared" si="81"/>
        <v>-123.44690366949452</v>
      </c>
      <c r="BF125">
        <f t="shared" si="82"/>
        <v>1.8182517790804942</v>
      </c>
      <c r="BG125">
        <f t="shared" si="83"/>
        <v>-119.02869174507565</v>
      </c>
      <c r="BH125">
        <f t="shared" si="98"/>
        <v>60.971308254924352</v>
      </c>
      <c r="BI125">
        <f t="shared" si="99"/>
        <v>60.971308254924352</v>
      </c>
      <c r="BJ125">
        <f t="shared" si="84"/>
        <v>0</v>
      </c>
      <c r="BK125">
        <f t="shared" si="100"/>
        <v>0</v>
      </c>
      <c r="BM125">
        <f t="shared" si="101"/>
        <v>-16.81204149254884</v>
      </c>
      <c r="BN125">
        <f t="shared" si="85"/>
        <v>-175.58178807558116</v>
      </c>
      <c r="BQ125" s="56">
        <f t="shared" si="102"/>
        <v>35.532254071914473</v>
      </c>
      <c r="BR125" s="59"/>
      <c r="BS125" s="59"/>
      <c r="BT125" s="59">
        <v>1412.538</v>
      </c>
      <c r="BU125" s="59">
        <v>12.0929</v>
      </c>
      <c r="BV125" s="59">
        <v>-258.13599999999997</v>
      </c>
      <c r="BW125" s="61"/>
      <c r="BY125" s="59"/>
      <c r="BZ125" s="59"/>
      <c r="CA125" s="59"/>
      <c r="CC125" s="59"/>
    </row>
    <row r="126" spans="1:81" x14ac:dyDescent="0.25">
      <c r="A126">
        <f t="shared" si="106"/>
        <v>46000</v>
      </c>
      <c r="B126">
        <f t="shared" si="86"/>
        <v>46</v>
      </c>
      <c r="C126">
        <f t="shared" si="55"/>
        <v>1.000760935309156</v>
      </c>
      <c r="D126">
        <f t="shared" si="56"/>
        <v>3.8998797506488443E-2</v>
      </c>
      <c r="F126">
        <f t="shared" si="57"/>
        <v>9.4060052811810006E-3</v>
      </c>
      <c r="G126">
        <f t="shared" si="58"/>
        <v>3.8110444124836905E-2</v>
      </c>
      <c r="H126">
        <f t="shared" si="59"/>
        <v>-3.1034822058751632</v>
      </c>
      <c r="J126">
        <f t="shared" si="60"/>
        <v>15</v>
      </c>
      <c r="M126">
        <f t="shared" si="61"/>
        <v>5.8036266625882599E-2</v>
      </c>
      <c r="N126">
        <f t="shared" si="62"/>
        <v>-1.5707963250000001</v>
      </c>
      <c r="O126">
        <f t="shared" si="63"/>
        <v>12.439497569521713</v>
      </c>
      <c r="P126">
        <f t="shared" si="64"/>
        <v>1.490320390642371</v>
      </c>
      <c r="Q126">
        <f t="shared" si="65"/>
        <v>11.786800710844066</v>
      </c>
      <c r="R126">
        <f t="shared" si="66"/>
        <v>1.485853551953197</v>
      </c>
      <c r="S126">
        <f t="shared" si="67"/>
        <v>0.95812811235209971</v>
      </c>
      <c r="T126">
        <f t="shared" si="68"/>
        <v>-0.2904045597005524</v>
      </c>
      <c r="U126">
        <f t="shared" si="69"/>
        <v>0.99899240721363491</v>
      </c>
      <c r="V126">
        <f t="shared" si="70"/>
        <v>-4.4894588516840292E-2</v>
      </c>
      <c r="X126">
        <f t="shared" si="87"/>
        <v>1.2142167888868425</v>
      </c>
      <c r="Y126">
        <f t="shared" si="71"/>
        <v>-114.2709857747757</v>
      </c>
      <c r="Z126">
        <f t="shared" si="88"/>
        <v>65.729014225224304</v>
      </c>
      <c r="AC126">
        <v>1</v>
      </c>
      <c r="AD126">
        <f t="shared" si="72"/>
        <v>12.39923787102</v>
      </c>
      <c r="AE126">
        <f t="shared" si="73"/>
        <v>-4.3004503435562691E-5</v>
      </c>
      <c r="AF126">
        <f t="shared" si="74"/>
        <v>9.5725584682560005E-4</v>
      </c>
      <c r="AG126">
        <f t="shared" si="89"/>
        <v>12879.972941540687</v>
      </c>
      <c r="AH126">
        <f t="shared" si="90"/>
        <v>-1623.2826843182934</v>
      </c>
      <c r="AJ126">
        <f t="shared" si="75"/>
        <v>18000</v>
      </c>
      <c r="AK126">
        <f t="shared" si="76"/>
        <v>5379.361660965601</v>
      </c>
      <c r="AL126">
        <v>1</v>
      </c>
      <c r="AM126">
        <f t="shared" si="77"/>
        <v>11.7443037680892</v>
      </c>
      <c r="AN126">
        <f t="shared" si="91"/>
        <v>584.30600999886997</v>
      </c>
      <c r="AO126">
        <f t="shared" si="92"/>
        <v>-1482.9056139812933</v>
      </c>
      <c r="AQ126">
        <f t="shared" si="78"/>
        <v>1.1813349084465445</v>
      </c>
      <c r="AR126">
        <f t="shared" si="79"/>
        <v>-108.68281157708211</v>
      </c>
      <c r="AT126">
        <f t="shared" si="104"/>
        <v>-161207.3644604162</v>
      </c>
      <c r="AU126">
        <f t="shared" si="105"/>
        <v>-1401749.3128246444</v>
      </c>
      <c r="AV126">
        <f t="shared" si="93"/>
        <v>-1.6852977142869923</v>
      </c>
      <c r="AW126">
        <f t="shared" si="94"/>
        <v>-145483.31947945865</v>
      </c>
      <c r="AX126">
        <f t="shared" si="95"/>
        <v>-74348.655026913257</v>
      </c>
      <c r="AY126">
        <f t="shared" si="103"/>
        <v>-2.669147417695779</v>
      </c>
      <c r="BA126">
        <f t="shared" si="80"/>
        <v>8.6362232170677675</v>
      </c>
      <c r="BB126">
        <f t="shared" si="96"/>
        <v>18.726477176921438</v>
      </c>
      <c r="BC126">
        <f t="shared" si="97"/>
        <v>0.98384970340878675</v>
      </c>
      <c r="BD126">
        <f t="shared" si="81"/>
        <v>-123.6295642550661</v>
      </c>
      <c r="BF126">
        <f t="shared" si="82"/>
        <v>1.7230136098250015</v>
      </c>
      <c r="BG126">
        <f t="shared" si="83"/>
        <v>-119.21153014308837</v>
      </c>
      <c r="BH126">
        <f t="shared" si="98"/>
        <v>60.788469856911632</v>
      </c>
      <c r="BI126">
        <f t="shared" si="99"/>
        <v>60.788469856911632</v>
      </c>
      <c r="BJ126">
        <f t="shared" si="84"/>
        <v>0</v>
      </c>
      <c r="BK126">
        <f t="shared" si="100"/>
        <v>0</v>
      </c>
      <c r="BM126">
        <f t="shared" si="101"/>
        <v>-17.003463567096439</v>
      </c>
      <c r="BN126">
        <f t="shared" si="85"/>
        <v>-175.58196588802224</v>
      </c>
      <c r="BQ126" s="56">
        <f t="shared" si="102"/>
        <v>35.628437977206573</v>
      </c>
      <c r="BR126" s="59"/>
      <c r="BS126" s="59"/>
      <c r="BT126" s="59">
        <v>1445.44</v>
      </c>
      <c r="BU126" s="59">
        <v>11.918900000000001</v>
      </c>
      <c r="BV126" s="59">
        <v>-257.92899999999997</v>
      </c>
      <c r="BW126" s="61"/>
      <c r="BY126" s="59"/>
      <c r="BZ126" s="59"/>
      <c r="CA126" s="59"/>
      <c r="CC126" s="59"/>
    </row>
    <row r="127" spans="1:81" x14ac:dyDescent="0.25">
      <c r="A127">
        <f t="shared" si="106"/>
        <v>46500</v>
      </c>
      <c r="B127">
        <f t="shared" si="86"/>
        <v>46.5</v>
      </c>
      <c r="C127">
        <f t="shared" si="55"/>
        <v>1.0007775608224436</v>
      </c>
      <c r="D127">
        <f t="shared" si="56"/>
        <v>3.9422260779754123E-2</v>
      </c>
      <c r="F127">
        <f t="shared" si="57"/>
        <v>9.2030622028309791E-3</v>
      </c>
      <c r="G127">
        <f t="shared" si="58"/>
        <v>3.7693284387023386E-2</v>
      </c>
      <c r="H127">
        <f t="shared" si="59"/>
        <v>-3.103899365612977</v>
      </c>
      <c r="J127">
        <f t="shared" si="60"/>
        <v>15</v>
      </c>
      <c r="M127">
        <f t="shared" si="61"/>
        <v>5.7412220748184944E-2</v>
      </c>
      <c r="N127">
        <f t="shared" si="62"/>
        <v>-1.5707963250000001</v>
      </c>
      <c r="O127">
        <f t="shared" si="63"/>
        <v>12.573840372856724</v>
      </c>
      <c r="P127">
        <f t="shared" si="64"/>
        <v>1.4911820516410432</v>
      </c>
      <c r="Q127">
        <f t="shared" si="65"/>
        <v>11.914000851399331</v>
      </c>
      <c r="R127">
        <f t="shared" si="66"/>
        <v>1.4867625981221002</v>
      </c>
      <c r="S127">
        <f t="shared" si="67"/>
        <v>0.95727073884147051</v>
      </c>
      <c r="T127">
        <f t="shared" si="68"/>
        <v>-0.29338396386421683</v>
      </c>
      <c r="U127">
        <f t="shared" si="69"/>
        <v>0.9989704179786536</v>
      </c>
      <c r="V127">
        <f t="shared" si="70"/>
        <v>-4.5381907034826967E-2</v>
      </c>
      <c r="X127">
        <f t="shared" si="87"/>
        <v>1.1095700565953248</v>
      </c>
      <c r="Y127">
        <f t="shared" si="71"/>
        <v>-114.36779913985416</v>
      </c>
      <c r="Z127">
        <f t="shared" si="88"/>
        <v>65.632200860145844</v>
      </c>
      <c r="AC127">
        <v>1</v>
      </c>
      <c r="AD127">
        <f t="shared" si="72"/>
        <v>12.534012195705001</v>
      </c>
      <c r="AE127">
        <f t="shared" si="73"/>
        <v>-4.3944464817365517E-5</v>
      </c>
      <c r="AF127">
        <f t="shared" si="74"/>
        <v>9.676608016824E-4</v>
      </c>
      <c r="AG127">
        <f t="shared" si="89"/>
        <v>12879.405934959907</v>
      </c>
      <c r="AH127">
        <f t="shared" si="90"/>
        <v>-1618.3135642724842</v>
      </c>
      <c r="AJ127">
        <f t="shared" si="75"/>
        <v>18000</v>
      </c>
      <c r="AK127">
        <f t="shared" si="76"/>
        <v>5437.8329833673997</v>
      </c>
      <c r="AL127">
        <v>1</v>
      </c>
      <c r="AM127">
        <f t="shared" si="77"/>
        <v>11.8719592438293</v>
      </c>
      <c r="AN127">
        <f t="shared" si="91"/>
        <v>581.62423952287133</v>
      </c>
      <c r="AO127">
        <f t="shared" si="92"/>
        <v>-1467.1862834713397</v>
      </c>
      <c r="AQ127">
        <f t="shared" si="78"/>
        <v>1.1560693641618498</v>
      </c>
      <c r="AR127">
        <f t="shared" si="79"/>
        <v>-107.51445086705202</v>
      </c>
      <c r="AT127">
        <f t="shared" si="104"/>
        <v>-159102.60756344636</v>
      </c>
      <c r="AU127">
        <f t="shared" si="105"/>
        <v>-1386593.1393243282</v>
      </c>
      <c r="AV127">
        <f t="shared" si="93"/>
        <v>-1.6850402351924756</v>
      </c>
      <c r="AW127">
        <f t="shared" si="94"/>
        <v>-142082.42368118619</v>
      </c>
      <c r="AX127">
        <f t="shared" si="95"/>
        <v>-73238.448707740434</v>
      </c>
      <c r="AY127">
        <f t="shared" si="103"/>
        <v>-2.665650103973312</v>
      </c>
      <c r="BA127">
        <f t="shared" si="80"/>
        <v>8.731382030934574</v>
      </c>
      <c r="BB127">
        <f t="shared" si="96"/>
        <v>18.821659813182986</v>
      </c>
      <c r="BC127">
        <f t="shared" si="97"/>
        <v>0.98060986878083645</v>
      </c>
      <c r="BD127">
        <f t="shared" si="81"/>
        <v>-123.81519310578011</v>
      </c>
      <c r="BF127">
        <f t="shared" si="82"/>
        <v>1.6288833254281478</v>
      </c>
      <c r="BG127">
        <f t="shared" si="83"/>
        <v>-119.39679782782451</v>
      </c>
      <c r="BH127">
        <f t="shared" si="98"/>
        <v>60.603202172175486</v>
      </c>
      <c r="BI127">
        <f t="shared" si="99"/>
        <v>60.603202172175486</v>
      </c>
      <c r="BJ127">
        <f t="shared" si="84"/>
        <v>0</v>
      </c>
      <c r="BK127">
        <f t="shared" si="100"/>
        <v>0</v>
      </c>
      <c r="BM127">
        <f t="shared" si="101"/>
        <v>-17.192776487754841</v>
      </c>
      <c r="BN127">
        <f t="shared" si="85"/>
        <v>-175.58160472204443</v>
      </c>
      <c r="BQ127" s="56">
        <f t="shared" si="102"/>
        <v>35.723620613468128</v>
      </c>
      <c r="BR127" s="59"/>
      <c r="BS127" s="59"/>
      <c r="BT127" s="59">
        <v>1479.1079999999999</v>
      </c>
      <c r="BU127" s="59">
        <v>11.714700000000001</v>
      </c>
      <c r="BV127" s="59">
        <v>-257.745</v>
      </c>
      <c r="BW127" s="61"/>
      <c r="BY127" s="59"/>
      <c r="BZ127" s="59"/>
      <c r="CA127" s="59"/>
      <c r="CC127" s="59"/>
    </row>
    <row r="128" spans="1:81" x14ac:dyDescent="0.25">
      <c r="A128">
        <f t="shared" si="106"/>
        <v>47000</v>
      </c>
      <c r="B128">
        <f t="shared" si="86"/>
        <v>47</v>
      </c>
      <c r="C128">
        <f t="shared" si="55"/>
        <v>1.0007943657903267</v>
      </c>
      <c r="D128">
        <f t="shared" si="56"/>
        <v>3.9845709907674554E-2</v>
      </c>
      <c r="F128">
        <f t="shared" si="57"/>
        <v>9.0066350200670997E-3</v>
      </c>
      <c r="G128">
        <f t="shared" si="58"/>
        <v>3.7285234428693324E-2</v>
      </c>
      <c r="H128">
        <f t="shared" si="59"/>
        <v>-3.1043074155713071</v>
      </c>
      <c r="J128">
        <f t="shared" si="60"/>
        <v>15</v>
      </c>
      <c r="M128">
        <f t="shared" si="61"/>
        <v>5.6801452442353184E-2</v>
      </c>
      <c r="N128">
        <f t="shared" si="62"/>
        <v>-1.5707963250000001</v>
      </c>
      <c r="O128">
        <f t="shared" si="63"/>
        <v>12.708192314377973</v>
      </c>
      <c r="P128">
        <f t="shared" si="64"/>
        <v>1.4920254941683579</v>
      </c>
      <c r="Q128">
        <f t="shared" si="65"/>
        <v>12.041210629255955</v>
      </c>
      <c r="R128">
        <f t="shared" si="66"/>
        <v>1.4876524377153122</v>
      </c>
      <c r="S128">
        <f t="shared" si="67"/>
        <v>0.95640643131252712</v>
      </c>
      <c r="T128">
        <f t="shared" si="68"/>
        <v>-0.29635801425657549</v>
      </c>
      <c r="U128">
        <f t="shared" si="69"/>
        <v>0.99894819249782119</v>
      </c>
      <c r="V128">
        <f t="shared" si="70"/>
        <v>-4.5869203984430007E-2</v>
      </c>
      <c r="X128">
        <f t="shared" si="87"/>
        <v>1.0059500148097014</v>
      </c>
      <c r="Y128">
        <f t="shared" si="71"/>
        <v>-114.46592767645235</v>
      </c>
      <c r="Z128">
        <f t="shared" si="88"/>
        <v>65.534072323547647</v>
      </c>
      <c r="AC128">
        <v>1</v>
      </c>
      <c r="AD128">
        <f t="shared" si="72"/>
        <v>12.668786520389999</v>
      </c>
      <c r="AE128">
        <f t="shared" si="73"/>
        <v>-4.4894587943836473E-5</v>
      </c>
      <c r="AF128">
        <f t="shared" si="74"/>
        <v>9.7806575653919996E-4</v>
      </c>
      <c r="AG128">
        <f t="shared" si="89"/>
        <v>12878.832849310369</v>
      </c>
      <c r="AH128">
        <f t="shared" si="90"/>
        <v>-1613.5826077293832</v>
      </c>
      <c r="AJ128">
        <f t="shared" si="75"/>
        <v>18000</v>
      </c>
      <c r="AK128">
        <f t="shared" si="76"/>
        <v>5496.3043057692003</v>
      </c>
      <c r="AL128">
        <v>1</v>
      </c>
      <c r="AM128">
        <f t="shared" si="77"/>
        <v>11.999614719569401</v>
      </c>
      <c r="AN128">
        <f t="shared" si="91"/>
        <v>579.02681427308551</v>
      </c>
      <c r="AO128">
        <f t="shared" si="92"/>
        <v>-1451.7943778074948</v>
      </c>
      <c r="AQ128">
        <f t="shared" si="78"/>
        <v>1.1316057485572026</v>
      </c>
      <c r="AR128">
        <f t="shared" si="79"/>
        <v>-106.37094036437705</v>
      </c>
      <c r="AT128">
        <f t="shared" si="104"/>
        <v>-157064.53805279126</v>
      </c>
      <c r="AU128">
        <f t="shared" si="105"/>
        <v>-1371759.5003314519</v>
      </c>
      <c r="AV128">
        <f t="shared" si="93"/>
        <v>-1.6847984668303237</v>
      </c>
      <c r="AW128">
        <f t="shared" si="94"/>
        <v>-138788.36723871194</v>
      </c>
      <c r="AX128">
        <f t="shared" si="95"/>
        <v>-72162.11371135214</v>
      </c>
      <c r="AY128">
        <f t="shared" si="103"/>
        <v>-2.6621178124749152</v>
      </c>
      <c r="BA128">
        <f t="shared" si="80"/>
        <v>8.8265907602038016</v>
      </c>
      <c r="BB128">
        <f t="shared" si="96"/>
        <v>18.915859824812614</v>
      </c>
      <c r="BC128">
        <f t="shared" si="97"/>
        <v>0.97731934564459144</v>
      </c>
      <c r="BD128">
        <f t="shared" si="81"/>
        <v>-124.00372619409254</v>
      </c>
      <c r="BF128">
        <f t="shared" si="82"/>
        <v>1.5358333202752434</v>
      </c>
      <c r="BG128">
        <f t="shared" si="83"/>
        <v>-119.58444860871042</v>
      </c>
      <c r="BH128">
        <f t="shared" si="98"/>
        <v>60.415551391289583</v>
      </c>
      <c r="BI128">
        <f t="shared" si="99"/>
        <v>60.415551391289583</v>
      </c>
      <c r="BJ128">
        <f t="shared" si="84"/>
        <v>0</v>
      </c>
      <c r="BK128">
        <f t="shared" si="100"/>
        <v>0</v>
      </c>
      <c r="BM128">
        <f t="shared" si="101"/>
        <v>-17.380026504537373</v>
      </c>
      <c r="BN128">
        <f t="shared" si="85"/>
        <v>-175.5807224146179</v>
      </c>
      <c r="BQ128" s="56">
        <f t="shared" si="102"/>
        <v>35.817820625097752</v>
      </c>
      <c r="BR128" s="59"/>
      <c r="BS128" s="59"/>
      <c r="BT128" s="59">
        <v>1513.5609999999999</v>
      </c>
      <c r="BU128" s="59">
        <v>11.5252</v>
      </c>
      <c r="BV128" s="59">
        <v>-257.61</v>
      </c>
      <c r="BW128" s="61"/>
      <c r="BY128" s="59"/>
      <c r="BZ128" s="59"/>
      <c r="CA128" s="59"/>
      <c r="CC128" s="59"/>
    </row>
    <row r="129" spans="1:81" x14ac:dyDescent="0.25">
      <c r="A129">
        <f t="shared" si="106"/>
        <v>47500</v>
      </c>
      <c r="B129">
        <f t="shared" si="86"/>
        <v>47.5</v>
      </c>
      <c r="C129">
        <f t="shared" si="55"/>
        <v>1.0008113502037654</v>
      </c>
      <c r="D129">
        <f t="shared" si="56"/>
        <v>4.026914473910953E-2</v>
      </c>
      <c r="F129">
        <f t="shared" si="57"/>
        <v>8.8164470060472164E-3</v>
      </c>
      <c r="G129">
        <f t="shared" si="58"/>
        <v>3.6885996741286273E-2</v>
      </c>
      <c r="H129">
        <f t="shared" si="59"/>
        <v>-3.104706653258714</v>
      </c>
      <c r="J129">
        <f t="shared" si="60"/>
        <v>15</v>
      </c>
      <c r="M129">
        <f t="shared" si="61"/>
        <v>5.62035424166442E-2</v>
      </c>
      <c r="N129">
        <f t="shared" si="62"/>
        <v>-1.5707963250000001</v>
      </c>
      <c r="O129">
        <f t="shared" si="63"/>
        <v>12.842553107288975</v>
      </c>
      <c r="P129">
        <f t="shared" si="64"/>
        <v>1.4928512888184922</v>
      </c>
      <c r="Q129">
        <f t="shared" si="65"/>
        <v>12.168429742166493</v>
      </c>
      <c r="R129">
        <f t="shared" si="66"/>
        <v>1.4885236717067043</v>
      </c>
      <c r="S129">
        <f t="shared" si="67"/>
        <v>0.95553525433574693</v>
      </c>
      <c r="T129">
        <f t="shared" si="68"/>
        <v>-0.29932667282680686</v>
      </c>
      <c r="U129">
        <f t="shared" si="69"/>
        <v>0.99892573081857072</v>
      </c>
      <c r="V129">
        <f t="shared" si="70"/>
        <v>-4.6356479135671327E-2</v>
      </c>
      <c r="X129">
        <f t="shared" si="87"/>
        <v>0.90333192014644415</v>
      </c>
      <c r="Y129">
        <f t="shared" si="71"/>
        <v>-114.56531911998189</v>
      </c>
      <c r="Z129">
        <f t="shared" si="88"/>
        <v>65.434680880018107</v>
      </c>
      <c r="AC129">
        <v>1</v>
      </c>
      <c r="AD129">
        <f t="shared" si="72"/>
        <v>12.803560845075001</v>
      </c>
      <c r="AE129">
        <f t="shared" si="73"/>
        <v>-4.585487281497558E-5</v>
      </c>
      <c r="AF129">
        <f t="shared" si="74"/>
        <v>9.8847071139600002E-4</v>
      </c>
      <c r="AG129">
        <f t="shared" si="89"/>
        <v>12878.253686221686</v>
      </c>
      <c r="AH129">
        <f t="shared" si="90"/>
        <v>-1609.0822586077506</v>
      </c>
      <c r="AJ129">
        <f t="shared" si="75"/>
        <v>18000</v>
      </c>
      <c r="AK129">
        <f t="shared" si="76"/>
        <v>5554.7756281710008</v>
      </c>
      <c r="AL129">
        <v>1</v>
      </c>
      <c r="AM129">
        <f t="shared" si="77"/>
        <v>12.127270195309499</v>
      </c>
      <c r="AN129">
        <f t="shared" si="91"/>
        <v>576.51024186061704</v>
      </c>
      <c r="AO129">
        <f t="shared" si="92"/>
        <v>-1436.7198452359312</v>
      </c>
      <c r="AQ129">
        <f t="shared" si="78"/>
        <v>1.1079104808331486</v>
      </c>
      <c r="AR129">
        <f t="shared" si="79"/>
        <v>-105.25149567914913</v>
      </c>
      <c r="AT129">
        <f t="shared" si="104"/>
        <v>-155090.36215545607</v>
      </c>
      <c r="AU129">
        <f t="shared" si="105"/>
        <v>-1357238.1813091822</v>
      </c>
      <c r="AV129">
        <f t="shared" si="93"/>
        <v>-1.6845719168752469</v>
      </c>
      <c r="AW129">
        <f t="shared" si="94"/>
        <v>-135596.73439096558</v>
      </c>
      <c r="AX129">
        <f t="shared" si="95"/>
        <v>-71118.166578979683</v>
      </c>
      <c r="AY129">
        <f t="shared" si="103"/>
        <v>-2.6585511192236306</v>
      </c>
      <c r="BA129">
        <f t="shared" si="80"/>
        <v>8.9218468000966951</v>
      </c>
      <c r="BB129">
        <f t="shared" si="96"/>
        <v>19.009095231185555</v>
      </c>
      <c r="BC129">
        <f t="shared" si="97"/>
        <v>0.97397920234838375</v>
      </c>
      <c r="BD129">
        <f t="shared" si="81"/>
        <v>-124.19510230815283</v>
      </c>
      <c r="BF129">
        <f t="shared" si="82"/>
        <v>1.4438368811858007</v>
      </c>
      <c r="BG129">
        <f t="shared" si="83"/>
        <v>-119.77443832854004</v>
      </c>
      <c r="BH129">
        <f t="shared" si="98"/>
        <v>60.225561671459957</v>
      </c>
      <c r="BI129">
        <f t="shared" si="99"/>
        <v>60.225561671459957</v>
      </c>
      <c r="BJ129">
        <f t="shared" si="84"/>
        <v>0</v>
      </c>
      <c r="BK129">
        <f t="shared" si="100"/>
        <v>0</v>
      </c>
      <c r="BM129">
        <f t="shared" si="101"/>
        <v>-17.565258349999755</v>
      </c>
      <c r="BN129">
        <f t="shared" si="85"/>
        <v>-175.57933602038722</v>
      </c>
      <c r="BQ129" s="56">
        <f t="shared" si="102"/>
        <v>35.911056031470693</v>
      </c>
      <c r="BR129" s="59"/>
      <c r="BS129" s="59"/>
      <c r="BT129" s="59">
        <v>1548.817</v>
      </c>
      <c r="BU129" s="59">
        <v>11.3354</v>
      </c>
      <c r="BV129" s="59">
        <v>-257.471</v>
      </c>
      <c r="BW129" s="61"/>
      <c r="BY129" s="59"/>
      <c r="BZ129" s="59"/>
      <c r="CA129" s="59"/>
      <c r="CC129" s="59"/>
    </row>
    <row r="130" spans="1:81" x14ac:dyDescent="0.25">
      <c r="A130">
        <f t="shared" si="106"/>
        <v>48000</v>
      </c>
      <c r="B130">
        <f t="shared" si="86"/>
        <v>48</v>
      </c>
      <c r="C130">
        <f t="shared" si="55"/>
        <v>1.0008285140536244</v>
      </c>
      <c r="D130">
        <f t="shared" si="56"/>
        <v>4.0692565122949567E-2</v>
      </c>
      <c r="F130">
        <f t="shared" si="57"/>
        <v>8.6322360077406637E-3</v>
      </c>
      <c r="G130">
        <f t="shared" si="58"/>
        <v>3.6495286724584658E-2</v>
      </c>
      <c r="H130">
        <f t="shared" si="59"/>
        <v>-3.1050973632754157</v>
      </c>
      <c r="J130">
        <f t="shared" si="60"/>
        <v>15</v>
      </c>
      <c r="M130">
        <f t="shared" si="61"/>
        <v>5.5618088849804168E-2</v>
      </c>
      <c r="N130">
        <f t="shared" si="62"/>
        <v>-1.5707963250000001</v>
      </c>
      <c r="O130">
        <f t="shared" si="63"/>
        <v>12.976922476652486</v>
      </c>
      <c r="P130">
        <f t="shared" si="64"/>
        <v>1.4936599826514161</v>
      </c>
      <c r="Q130">
        <f t="shared" si="65"/>
        <v>12.295657900370784</v>
      </c>
      <c r="R130">
        <f t="shared" si="66"/>
        <v>1.4893768763118067</v>
      </c>
      <c r="S130">
        <f t="shared" si="67"/>
        <v>0.95465727266766098</v>
      </c>
      <c r="T130">
        <f t="shared" si="68"/>
        <v>-0.30228990204206518</v>
      </c>
      <c r="U130">
        <f t="shared" si="69"/>
        <v>0.99890303298883287</v>
      </c>
      <c r="V130">
        <f t="shared" si="70"/>
        <v>-4.6843732258634828E-2</v>
      </c>
      <c r="X130">
        <f t="shared" si="87"/>
        <v>0.80169190063384099</v>
      </c>
      <c r="Y130">
        <f t="shared" si="71"/>
        <v>-114.66592326289972</v>
      </c>
      <c r="Z130">
        <f t="shared" si="88"/>
        <v>65.334076737100276</v>
      </c>
      <c r="AC130">
        <v>1</v>
      </c>
      <c r="AD130">
        <f t="shared" si="72"/>
        <v>12.938335169760002</v>
      </c>
      <c r="AE130">
        <f t="shared" si="73"/>
        <v>-4.6825319430782823E-5</v>
      </c>
      <c r="AF130">
        <f t="shared" si="74"/>
        <v>9.9887566625280009E-4</v>
      </c>
      <c r="AG130">
        <f t="shared" si="89"/>
        <v>12877.668447340511</v>
      </c>
      <c r="AH130">
        <f t="shared" si="90"/>
        <v>-1604.8052752991357</v>
      </c>
      <c r="AJ130">
        <f t="shared" si="75"/>
        <v>18000</v>
      </c>
      <c r="AK130">
        <f t="shared" si="76"/>
        <v>5613.2469505728004</v>
      </c>
      <c r="AL130">
        <v>1</v>
      </c>
      <c r="AM130">
        <f t="shared" si="77"/>
        <v>12.2549256710496</v>
      </c>
      <c r="AN130">
        <f t="shared" si="91"/>
        <v>574.07120840009884</v>
      </c>
      <c r="AO130">
        <f t="shared" si="92"/>
        <v>-1421.9530382600371</v>
      </c>
      <c r="AQ130">
        <f t="shared" si="78"/>
        <v>1.0849517196484757</v>
      </c>
      <c r="AR130">
        <f t="shared" si="79"/>
        <v>-104.15536508625367</v>
      </c>
      <c r="AT130">
        <f t="shared" si="104"/>
        <v>-153177.43081412232</v>
      </c>
      <c r="AU130">
        <f t="shared" si="105"/>
        <v>-1343019.3948356172</v>
      </c>
      <c r="AV130">
        <f t="shared" si="93"/>
        <v>-1.6843601132660422</v>
      </c>
      <c r="AW130">
        <f t="shared" si="94"/>
        <v>-132503.3346013322</v>
      </c>
      <c r="AX130">
        <f t="shared" si="95"/>
        <v>-70105.206587123437</v>
      </c>
      <c r="AY130">
        <f t="shared" si="103"/>
        <v>-2.6549505740248556</v>
      </c>
      <c r="BA130">
        <f t="shared" si="80"/>
        <v>9.0171474731826571</v>
      </c>
      <c r="BB130">
        <f t="shared" si="96"/>
        <v>19.101383450206242</v>
      </c>
      <c r="BC130">
        <f t="shared" si="97"/>
        <v>0.97059046075881339</v>
      </c>
      <c r="BD130">
        <f t="shared" si="81"/>
        <v>-124.38926289931752</v>
      </c>
      <c r="BF130">
        <f t="shared" si="82"/>
        <v>1.3528681448365101</v>
      </c>
      <c r="BG130">
        <f t="shared" si="83"/>
        <v>-119.96672475371925</v>
      </c>
      <c r="BH130">
        <f t="shared" si="98"/>
        <v>60.033275246280752</v>
      </c>
      <c r="BI130">
        <f t="shared" si="99"/>
        <v>60.033275246280752</v>
      </c>
      <c r="BJ130">
        <f t="shared" si="84"/>
        <v>0</v>
      </c>
      <c r="BK130">
        <f t="shared" si="100"/>
        <v>0</v>
      </c>
      <c r="BM130">
        <f t="shared" si="101"/>
        <v>-17.748515305369729</v>
      </c>
      <c r="BN130">
        <f t="shared" si="85"/>
        <v>-175.57746185440175</v>
      </c>
      <c r="BQ130" s="56">
        <f t="shared" si="102"/>
        <v>36.003344250491381</v>
      </c>
      <c r="BR130" s="59"/>
      <c r="BS130" s="59"/>
      <c r="BT130" s="59">
        <v>1584.893</v>
      </c>
      <c r="BU130" s="59">
        <v>11.160399999999999</v>
      </c>
      <c r="BV130" s="59">
        <v>-256.94200000000001</v>
      </c>
      <c r="BW130" s="61"/>
      <c r="BY130" s="59"/>
      <c r="BZ130" s="59"/>
      <c r="CA130" s="59"/>
      <c r="CC130" s="59"/>
    </row>
    <row r="131" spans="1:81" x14ac:dyDescent="0.25">
      <c r="A131">
        <f t="shared" si="106"/>
        <v>48500</v>
      </c>
      <c r="B131">
        <f t="shared" si="86"/>
        <v>48.5</v>
      </c>
      <c r="C131">
        <f t="shared" si="55"/>
        <v>1.0008458573306713</v>
      </c>
      <c r="D131">
        <f t="shared" si="56"/>
        <v>4.1115970908116202E-2</v>
      </c>
      <c r="F131">
        <f t="shared" si="57"/>
        <v>8.453753532225855E-3</v>
      </c>
      <c r="G131">
        <f t="shared" si="58"/>
        <v>3.6112831989572165E-2</v>
      </c>
      <c r="H131">
        <f t="shared" si="59"/>
        <v>-3.1054798180104282</v>
      </c>
      <c r="J131">
        <f t="shared" si="60"/>
        <v>15</v>
      </c>
      <c r="M131">
        <f t="shared" si="61"/>
        <v>5.5044706490527832E-2</v>
      </c>
      <c r="N131">
        <f t="shared" si="62"/>
        <v>-1.5707963250000001</v>
      </c>
      <c r="O131">
        <f t="shared" si="63"/>
        <v>13.111300158784713</v>
      </c>
      <c r="P131">
        <f t="shared" si="64"/>
        <v>1.4944521003914693</v>
      </c>
      <c r="Q131">
        <f t="shared" si="65"/>
        <v>12.422894825958711</v>
      </c>
      <c r="R131">
        <f t="shared" si="66"/>
        <v>1.4902126042469825</v>
      </c>
      <c r="S131">
        <f t="shared" si="67"/>
        <v>0.95377255123938554</v>
      </c>
      <c r="T131">
        <f t="shared" si="68"/>
        <v>-0.30524766488804495</v>
      </c>
      <c r="U131">
        <f t="shared" si="69"/>
        <v>0.99888009905703667</v>
      </c>
      <c r="V131">
        <f t="shared" si="70"/>
        <v>-4.7330963123467032E-2</v>
      </c>
      <c r="X131">
        <f t="shared" si="87"/>
        <v>0.7010069155350318</v>
      </c>
      <c r="Y131">
        <f t="shared" si="71"/>
        <v>-114.76769185386492</v>
      </c>
      <c r="Z131">
        <f t="shared" si="88"/>
        <v>65.232308146135082</v>
      </c>
      <c r="AC131">
        <v>1</v>
      </c>
      <c r="AD131">
        <f t="shared" si="72"/>
        <v>13.073109494445001</v>
      </c>
      <c r="AE131">
        <f t="shared" si="73"/>
        <v>-4.7805927791258182E-5</v>
      </c>
      <c r="AF131">
        <f t="shared" si="74"/>
        <v>1.0092806211095999E-3</v>
      </c>
      <c r="AG131">
        <f t="shared" si="89"/>
        <v>12877.077134330559</v>
      </c>
      <c r="AH131">
        <f t="shared" si="90"/>
        <v>-1600.7447144581872</v>
      </c>
      <c r="AJ131">
        <f t="shared" si="75"/>
        <v>18000</v>
      </c>
      <c r="AK131">
        <f t="shared" si="76"/>
        <v>5671.7182729746</v>
      </c>
      <c r="AL131">
        <v>1</v>
      </c>
      <c r="AM131">
        <f t="shared" si="77"/>
        <v>12.3825811467897</v>
      </c>
      <c r="AN131">
        <f t="shared" si="91"/>
        <v>571.70656769615869</v>
      </c>
      <c r="AO131">
        <f t="shared" si="92"/>
        <v>-1407.4846936757035</v>
      </c>
      <c r="AQ131">
        <f t="shared" si="78"/>
        <v>1.0626992561105206</v>
      </c>
      <c r="AR131">
        <f t="shared" si="79"/>
        <v>-103.08182784272051</v>
      </c>
      <c r="AT131">
        <f t="shared" si="104"/>
        <v>-151323.23078439277</v>
      </c>
      <c r="AU131">
        <f t="shared" si="105"/>
        <v>-1329093.7584957732</v>
      </c>
      <c r="AV131">
        <f t="shared" si="93"/>
        <v>-1.6841626031755477</v>
      </c>
      <c r="AW131">
        <f t="shared" si="94"/>
        <v>-129504.18894745092</v>
      </c>
      <c r="AX131">
        <f t="shared" si="95"/>
        <v>-69121.910228658002</v>
      </c>
      <c r="AY131">
        <f t="shared" si="103"/>
        <v>-2.6513167019389035</v>
      </c>
      <c r="BA131">
        <f t="shared" si="80"/>
        <v>9.1124900273640801</v>
      </c>
      <c r="BB131">
        <f t="shared" si="96"/>
        <v>19.192741320757943</v>
      </c>
      <c r="BC131">
        <f t="shared" si="97"/>
        <v>0.96715409876335579</v>
      </c>
      <c r="BD131">
        <f t="shared" si="81"/>
        <v>-124.58615193876136</v>
      </c>
      <c r="BF131">
        <f t="shared" si="82"/>
        <v>1.2629020576674694</v>
      </c>
      <c r="BG131">
        <f t="shared" si="83"/>
        <v>-120.16126747081998</v>
      </c>
      <c r="BH131">
        <f t="shared" si="98"/>
        <v>59.838732529180021</v>
      </c>
      <c r="BI131">
        <f t="shared" si="99"/>
        <v>59.838732529180021</v>
      </c>
      <c r="BJ131">
        <f t="shared" si="84"/>
        <v>0</v>
      </c>
      <c r="BK131">
        <f t="shared" si="100"/>
        <v>0</v>
      </c>
      <c r="BM131">
        <f t="shared" si="101"/>
        <v>-17.929839263090475</v>
      </c>
      <c r="BN131">
        <f t="shared" si="85"/>
        <v>-175.57511553205862</v>
      </c>
      <c r="BQ131" s="56">
        <f t="shared" si="102"/>
        <v>36.094702121043078</v>
      </c>
      <c r="BR131" s="59"/>
      <c r="BS131" s="59"/>
      <c r="BT131" s="59">
        <v>1621.81</v>
      </c>
      <c r="BU131" s="59">
        <v>10.9787</v>
      </c>
      <c r="BV131" s="59">
        <v>-256.75299999999999</v>
      </c>
      <c r="BW131" s="61"/>
      <c r="BY131" s="59"/>
      <c r="BZ131" s="59"/>
      <c r="CA131" s="59"/>
      <c r="CC131" s="59"/>
    </row>
    <row r="132" spans="1:81" x14ac:dyDescent="0.25">
      <c r="A132">
        <f t="shared" si="106"/>
        <v>49000</v>
      </c>
      <c r="B132">
        <f t="shared" si="86"/>
        <v>49</v>
      </c>
      <c r="C132">
        <f t="shared" si="55"/>
        <v>1.0008633800255795</v>
      </c>
      <c r="D132">
        <f t="shared" si="56"/>
        <v>4.1539361943562336E-2</v>
      </c>
      <c r="F132">
        <f t="shared" si="57"/>
        <v>8.2807638992864023E-3</v>
      </c>
      <c r="G132">
        <f t="shared" si="58"/>
        <v>3.573837170625449E-2</v>
      </c>
      <c r="H132">
        <f t="shared" si="59"/>
        <v>-3.1058542782937457</v>
      </c>
      <c r="J132">
        <f t="shared" si="60"/>
        <v>15</v>
      </c>
      <c r="M132">
        <f t="shared" si="61"/>
        <v>5.4483025812053054E-2</v>
      </c>
      <c r="N132">
        <f t="shared" si="62"/>
        <v>-1.5707963250000001</v>
      </c>
      <c r="O132">
        <f t="shared" si="63"/>
        <v>13.24568590068616</v>
      </c>
      <c r="P132">
        <f t="shared" si="64"/>
        <v>1.495228145553565</v>
      </c>
      <c r="Q132">
        <f t="shared" si="65"/>
        <v>12.550140252271518</v>
      </c>
      <c r="R132">
        <f t="shared" si="66"/>
        <v>1.4910313859126956</v>
      </c>
      <c r="S132">
        <f t="shared" si="67"/>
        <v>0.95288115514522509</v>
      </c>
      <c r="T132">
        <f t="shared" si="68"/>
        <v>-0.30819992486944175</v>
      </c>
      <c r="U132">
        <f t="shared" si="69"/>
        <v>0.99885692907210888</v>
      </c>
      <c r="V132">
        <f t="shared" si="70"/>
        <v>-4.7818171500377725E-2</v>
      </c>
      <c r="X132">
        <f t="shared" si="87"/>
        <v>0.60125471747596082</v>
      </c>
      <c r="Y132">
        <f t="shared" si="71"/>
        <v>-114.87057850280928</v>
      </c>
      <c r="Z132">
        <f t="shared" si="88"/>
        <v>65.129421497190719</v>
      </c>
      <c r="AC132">
        <v>1</v>
      </c>
      <c r="AD132">
        <f t="shared" si="72"/>
        <v>13.207883819130002</v>
      </c>
      <c r="AE132">
        <f t="shared" si="73"/>
        <v>-4.8796697896401698E-5</v>
      </c>
      <c r="AF132">
        <f t="shared" si="74"/>
        <v>1.0196855759664E-3</v>
      </c>
      <c r="AG132">
        <f t="shared" si="89"/>
        <v>12876.479748872578</v>
      </c>
      <c r="AH132">
        <f t="shared" si="90"/>
        <v>-1596.8939157853943</v>
      </c>
      <c r="AJ132">
        <f t="shared" si="75"/>
        <v>18000</v>
      </c>
      <c r="AK132">
        <f t="shared" si="76"/>
        <v>5730.1895953764006</v>
      </c>
      <c r="AL132">
        <v>1</v>
      </c>
      <c r="AM132">
        <f t="shared" si="77"/>
        <v>12.510236622529799</v>
      </c>
      <c r="AN132">
        <f t="shared" si="91"/>
        <v>569.41333118481737</v>
      </c>
      <c r="AO132">
        <f t="shared" si="92"/>
        <v>-1393.3059137685918</v>
      </c>
      <c r="AQ132">
        <f t="shared" si="78"/>
        <v>1.0411244143675169</v>
      </c>
      <c r="AR132">
        <f t="shared" si="79"/>
        <v>-102.03019260801666</v>
      </c>
      <c r="AT132">
        <f t="shared" si="104"/>
        <v>-149525.37636449354</v>
      </c>
      <c r="AU132">
        <f t="shared" si="105"/>
        <v>-1315452.2741335742</v>
      </c>
      <c r="AV132">
        <f t="shared" si="93"/>
        <v>-1.6839789520426516</v>
      </c>
      <c r="AW132">
        <f t="shared" si="94"/>
        <v>-126595.51745849573</v>
      </c>
      <c r="AX132">
        <f t="shared" si="95"/>
        <v>-68167.026118467329</v>
      </c>
      <c r="AY132">
        <f t="shared" si="103"/>
        <v>-2.647650004668026</v>
      </c>
      <c r="BA132">
        <f t="shared" si="80"/>
        <v>9.2078716339298179</v>
      </c>
      <c r="BB132">
        <f t="shared" si="96"/>
        <v>19.283185124110346</v>
      </c>
      <c r="BC132">
        <f t="shared" si="97"/>
        <v>0.96367105262537445</v>
      </c>
      <c r="BD132">
        <f t="shared" si="81"/>
        <v>-124.78571578254508</v>
      </c>
      <c r="BF132">
        <f t="shared" si="82"/>
        <v>1.1739143381004973</v>
      </c>
      <c r="BG132">
        <f t="shared" si="83"/>
        <v>-120.35802778901508</v>
      </c>
      <c r="BH132">
        <f t="shared" si="98"/>
        <v>59.641972210984918</v>
      </c>
      <c r="BI132">
        <f t="shared" si="99"/>
        <v>59.641972210984918</v>
      </c>
      <c r="BJ132">
        <f t="shared" si="84"/>
        <v>0</v>
      </c>
      <c r="BK132">
        <f t="shared" si="100"/>
        <v>0</v>
      </c>
      <c r="BM132">
        <f t="shared" si="101"/>
        <v>-18.109270786009851</v>
      </c>
      <c r="BN132">
        <f t="shared" si="85"/>
        <v>-175.57231200647001</v>
      </c>
      <c r="BQ132" s="56">
        <f t="shared" si="102"/>
        <v>36.185145924395485</v>
      </c>
      <c r="BR132" s="59"/>
      <c r="BS132" s="59"/>
      <c r="BT132" s="59">
        <v>1659.587</v>
      </c>
      <c r="BU132" s="59">
        <v>10.7578</v>
      </c>
      <c r="BV132" s="59">
        <v>-256.85699999999997</v>
      </c>
      <c r="BW132" s="61"/>
      <c r="BY132" s="59"/>
      <c r="BZ132" s="59"/>
      <c r="CA132" s="59"/>
      <c r="CC132" s="59"/>
    </row>
    <row r="133" spans="1:81" x14ac:dyDescent="0.25">
      <c r="A133">
        <f t="shared" si="106"/>
        <v>49500</v>
      </c>
      <c r="B133">
        <f t="shared" si="86"/>
        <v>49.5</v>
      </c>
      <c r="C133">
        <f t="shared" si="55"/>
        <v>1.0008810821289251</v>
      </c>
      <c r="D133">
        <f t="shared" si="56"/>
        <v>4.1962738078272555E-2</v>
      </c>
      <c r="F133">
        <f t="shared" si="57"/>
        <v>8.1130434548518527E-3</v>
      </c>
      <c r="G133">
        <f t="shared" si="58"/>
        <v>3.5371655993077379E-2</v>
      </c>
      <c r="H133">
        <f t="shared" si="59"/>
        <v>-3.106220994006923</v>
      </c>
      <c r="J133">
        <f t="shared" si="60"/>
        <v>15</v>
      </c>
      <c r="M133">
        <f t="shared" si="61"/>
        <v>5.3932692217991914E-2</v>
      </c>
      <c r="N133">
        <f t="shared" si="62"/>
        <v>-1.5707963250000001</v>
      </c>
      <c r="O133">
        <f t="shared" si="63"/>
        <v>13.380079459506687</v>
      </c>
      <c r="P133">
        <f t="shared" si="64"/>
        <v>1.4959886015020656</v>
      </c>
      <c r="Q133">
        <f t="shared" si="65"/>
        <v>12.677393923339007</v>
      </c>
      <c r="R133">
        <f t="shared" si="66"/>
        <v>1.4918337305061438</v>
      </c>
      <c r="S133">
        <f t="shared" si="67"/>
        <v>0.95198314963135022</v>
      </c>
      <c r="T133">
        <f t="shared" si="68"/>
        <v>-0.31114664601030889</v>
      </c>
      <c r="U133">
        <f t="shared" si="69"/>
        <v>0.99883352308347395</v>
      </c>
      <c r="V133">
        <f t="shared" si="70"/>
        <v>-4.8305357159640634E-2</v>
      </c>
      <c r="X133">
        <f t="shared" si="87"/>
        <v>0.50241381672057639</v>
      </c>
      <c r="Y133">
        <f t="shared" si="71"/>
        <v>-114.97453859152309</v>
      </c>
      <c r="Z133">
        <f t="shared" si="88"/>
        <v>65.025461408476914</v>
      </c>
      <c r="AC133">
        <v>1</v>
      </c>
      <c r="AD133">
        <f t="shared" si="72"/>
        <v>13.342658143814999</v>
      </c>
      <c r="AE133">
        <f t="shared" si="73"/>
        <v>-4.9797629746213358E-5</v>
      </c>
      <c r="AF133">
        <f t="shared" si="74"/>
        <v>1.0300905308232001E-3</v>
      </c>
      <c r="AG133">
        <f t="shared" si="89"/>
        <v>12875.876292664334</v>
      </c>
      <c r="AH133">
        <f t="shared" si="90"/>
        <v>-1593.2464877320872</v>
      </c>
      <c r="AJ133">
        <f t="shared" si="75"/>
        <v>18000</v>
      </c>
      <c r="AK133">
        <f t="shared" si="76"/>
        <v>5788.6609177782002</v>
      </c>
      <c r="AL133">
        <v>1</v>
      </c>
      <c r="AM133">
        <f t="shared" si="77"/>
        <v>12.6378920982699</v>
      </c>
      <c r="AN133">
        <f t="shared" si="91"/>
        <v>567.18865857031869</v>
      </c>
      <c r="AO133">
        <f t="shared" si="92"/>
        <v>-1379.408148595935</v>
      </c>
      <c r="AQ133">
        <f t="shared" si="78"/>
        <v>1.0201999591920017</v>
      </c>
      <c r="AR133">
        <f t="shared" si="79"/>
        <v>-100.99979596000816</v>
      </c>
      <c r="AT133">
        <f t="shared" si="104"/>
        <v>-147781.60170660305</v>
      </c>
      <c r="AU133">
        <f t="shared" si="105"/>
        <v>-1302086.3083671711</v>
      </c>
      <c r="AV133">
        <f t="shared" si="93"/>
        <v>-1.6838087426620463</v>
      </c>
      <c r="AW133">
        <f t="shared" si="94"/>
        <v>-123773.72732549472</v>
      </c>
      <c r="AX133">
        <f t="shared" si="95"/>
        <v>-67239.37028683575</v>
      </c>
      <c r="AY133">
        <f t="shared" si="103"/>
        <v>-2.6439509618638848</v>
      </c>
      <c r="BA133">
        <f t="shared" si="80"/>
        <v>9.3032893856746597</v>
      </c>
      <c r="BB133">
        <f t="shared" si="96"/>
        <v>19.372730604342323</v>
      </c>
      <c r="BC133">
        <f t="shared" si="97"/>
        <v>0.96014221920183851</v>
      </c>
      <c r="BD133">
        <f t="shared" si="81"/>
        <v>-124.98790304454943</v>
      </c>
      <c r="BF133">
        <f t="shared" si="82"/>
        <v>1.0858814409118935</v>
      </c>
      <c r="BG133">
        <f t="shared" si="83"/>
        <v>-120.55696864799647</v>
      </c>
      <c r="BH133">
        <f t="shared" si="98"/>
        <v>59.44303135200353</v>
      </c>
      <c r="BI133">
        <f t="shared" si="99"/>
        <v>59.44303135200353</v>
      </c>
      <c r="BJ133">
        <f t="shared" si="84"/>
        <v>0</v>
      </c>
      <c r="BK133">
        <f t="shared" si="100"/>
        <v>0</v>
      </c>
      <c r="BM133">
        <f t="shared" si="101"/>
        <v>-18.286849163430428</v>
      </c>
      <c r="BN133">
        <f t="shared" si="85"/>
        <v>-175.56906560344703</v>
      </c>
      <c r="BQ133" s="56">
        <f t="shared" si="102"/>
        <v>36.274691404627461</v>
      </c>
      <c r="BR133" s="59"/>
      <c r="BS133" s="59"/>
      <c r="BT133" s="59">
        <v>1698.2439999999999</v>
      </c>
      <c r="BU133" s="59">
        <v>10.580500000000001</v>
      </c>
      <c r="BV133" s="59">
        <v>-256.31299999999999</v>
      </c>
      <c r="BW133" s="61"/>
      <c r="BY133" s="59"/>
      <c r="BZ133" s="59"/>
      <c r="CA133" s="59"/>
      <c r="CC133" s="59"/>
    </row>
    <row r="134" spans="1:81" x14ac:dyDescent="0.25">
      <c r="A134">
        <f t="shared" si="106"/>
        <v>50000</v>
      </c>
      <c r="B134">
        <f t="shared" si="86"/>
        <v>50</v>
      </c>
      <c r="C134">
        <f t="shared" si="55"/>
        <v>1.0008989636311889</v>
      </c>
      <c r="D134">
        <f t="shared" si="56"/>
        <v>4.2386099161263409E-2</v>
      </c>
      <c r="F134">
        <f t="shared" si="57"/>
        <v>7.9503798403298565E-3</v>
      </c>
      <c r="G134">
        <f t="shared" si="58"/>
        <v>3.5012445344863502E-2</v>
      </c>
      <c r="H134">
        <f t="shared" si="59"/>
        <v>-3.1065802046551365</v>
      </c>
      <c r="J134">
        <f t="shared" si="60"/>
        <v>15</v>
      </c>
      <c r="M134">
        <f t="shared" si="61"/>
        <v>5.3393365295811998E-2</v>
      </c>
      <c r="N134">
        <f t="shared" si="62"/>
        <v>-1.5707963250000001</v>
      </c>
      <c r="O134">
        <f t="shared" si="63"/>
        <v>13.514480602042315</v>
      </c>
      <c r="P134">
        <f t="shared" si="64"/>
        <v>1.4967339324469626</v>
      </c>
      <c r="Q134">
        <f t="shared" si="65"/>
        <v>12.804655593350123</v>
      </c>
      <c r="R134">
        <f t="shared" si="66"/>
        <v>1.4926201270681203</v>
      </c>
      <c r="S134">
        <f t="shared" si="67"/>
        <v>0.95107860008455769</v>
      </c>
      <c r="T134">
        <f t="shared" si="68"/>
        <v>-0.31408779285431171</v>
      </c>
      <c r="U134">
        <f t="shared" si="69"/>
        <v>0.99880988114105351</v>
      </c>
      <c r="V134">
        <f t="shared" si="70"/>
        <v>-4.8792519871594019E-2</v>
      </c>
      <c r="X134">
        <f t="shared" si="87"/>
        <v>0.40446344744796214</v>
      </c>
      <c r="Y134">
        <f t="shared" si="71"/>
        <v>-115.07952918938913</v>
      </c>
      <c r="Z134">
        <f t="shared" si="88"/>
        <v>64.920470810610865</v>
      </c>
      <c r="AC134">
        <v>1</v>
      </c>
      <c r="AD134">
        <f t="shared" si="72"/>
        <v>13.477432468500002</v>
      </c>
      <c r="AE134">
        <f t="shared" si="73"/>
        <v>-5.0808723340693155E-5</v>
      </c>
      <c r="AF134">
        <f t="shared" si="74"/>
        <v>1.0404954856799999E-3</v>
      </c>
      <c r="AG134">
        <f t="shared" si="89"/>
        <v>12875.266767420626</v>
      </c>
      <c r="AH134">
        <f t="shared" si="90"/>
        <v>-1589.7962940631442</v>
      </c>
      <c r="AJ134">
        <f t="shared" si="75"/>
        <v>18000</v>
      </c>
      <c r="AK134">
        <f t="shared" si="76"/>
        <v>5847.1322401800007</v>
      </c>
      <c r="AL134">
        <v>1</v>
      </c>
      <c r="AM134">
        <f t="shared" si="77"/>
        <v>12.76554757401</v>
      </c>
      <c r="AN134">
        <f t="shared" si="91"/>
        <v>565.02984910309192</v>
      </c>
      <c r="AO134">
        <f t="shared" si="92"/>
        <v>-1365.7831792812094</v>
      </c>
      <c r="AQ134">
        <f t="shared" si="78"/>
        <v>0.99990000999900008</v>
      </c>
      <c r="AR134">
        <f t="shared" si="79"/>
        <v>-99.990000999900005</v>
      </c>
      <c r="AT134">
        <f t="shared" si="104"/>
        <v>-146089.75366352743</v>
      </c>
      <c r="AU134">
        <f t="shared" si="105"/>
        <v>-1288987.5742786978</v>
      </c>
      <c r="AV134">
        <f t="shared" si="93"/>
        <v>-1.6836515743277594</v>
      </c>
      <c r="AW134">
        <f t="shared" si="94"/>
        <v>-121035.40191674397</v>
      </c>
      <c r="AX134">
        <f t="shared" si="95"/>
        <v>-66337.821827346896</v>
      </c>
      <c r="AY134">
        <f t="shared" si="103"/>
        <v>-2.6402200323609959</v>
      </c>
      <c r="BA134">
        <f t="shared" si="80"/>
        <v>9.3987402950824812</v>
      </c>
      <c r="BB134">
        <f t="shared" si="96"/>
        <v>19.461392987833573</v>
      </c>
      <c r="BC134">
        <f t="shared" si="97"/>
        <v>0.95656845803323653</v>
      </c>
      <c r="BD134">
        <f t="shared" si="81"/>
        <v>-125.19266447673203</v>
      </c>
      <c r="BF134">
        <f t="shared" si="82"/>
        <v>0.99878052361467962</v>
      </c>
      <c r="BG134">
        <f t="shared" si="83"/>
        <v>-120.7580545310082</v>
      </c>
      <c r="BH134">
        <f t="shared" si="98"/>
        <v>59.241945468991801</v>
      </c>
      <c r="BI134">
        <f t="shared" si="99"/>
        <v>59.241945468991801</v>
      </c>
      <c r="BJ134">
        <f t="shared" si="84"/>
        <v>0</v>
      </c>
      <c r="BK134">
        <f t="shared" si="100"/>
        <v>0</v>
      </c>
      <c r="BM134">
        <f t="shared" si="101"/>
        <v>-18.462612464218893</v>
      </c>
      <c r="BN134">
        <f t="shared" si="85"/>
        <v>-175.56539005427618</v>
      </c>
      <c r="BQ134" s="56">
        <f t="shared" si="102"/>
        <v>36.363353788118708</v>
      </c>
      <c r="BR134" s="59"/>
      <c r="BS134" s="59"/>
      <c r="BT134" s="59">
        <v>1737.8009999999999</v>
      </c>
      <c r="BU134" s="59">
        <v>10.4643</v>
      </c>
      <c r="BV134" s="59">
        <v>-256.37900000000002</v>
      </c>
      <c r="BW134" s="61"/>
      <c r="BY134" s="59"/>
      <c r="BZ134" s="59"/>
      <c r="CA134" s="59"/>
      <c r="CC134" s="59"/>
    </row>
    <row r="135" spans="1:81" x14ac:dyDescent="0.25">
      <c r="A135">
        <f t="shared" si="106"/>
        <v>50500</v>
      </c>
      <c r="B135">
        <f t="shared" si="86"/>
        <v>50.5</v>
      </c>
      <c r="C135">
        <f t="shared" si="55"/>
        <v>1.0009170245227561</v>
      </c>
      <c r="D135">
        <f t="shared" si="56"/>
        <v>4.28094450415838E-2</v>
      </c>
      <c r="F135">
        <f t="shared" si="57"/>
        <v>7.7925713133265564E-3</v>
      </c>
      <c r="G135">
        <f t="shared" si="58"/>
        <v>3.4660510096448251E-2</v>
      </c>
      <c r="H135">
        <f t="shared" si="59"/>
        <v>-3.1069321399035519</v>
      </c>
      <c r="J135">
        <f t="shared" si="60"/>
        <v>15</v>
      </c>
      <c r="M135">
        <f t="shared" si="61"/>
        <v>5.2864718114665345E-2</v>
      </c>
      <c r="N135">
        <f t="shared" si="62"/>
        <v>-1.5707963250000001</v>
      </c>
      <c r="O135">
        <f t="shared" si="63"/>
        <v>13.648889104261631</v>
      </c>
      <c r="P135">
        <f t="shared" si="64"/>
        <v>1.4974645843816483</v>
      </c>
      <c r="Q135">
        <f t="shared" si="65"/>
        <v>12.931925026154662</v>
      </c>
      <c r="R135">
        <f t="shared" si="66"/>
        <v>1.4933910454685844</v>
      </c>
      <c r="S135">
        <f t="shared" si="67"/>
        <v>0.95016757202110969</v>
      </c>
      <c r="T135">
        <f t="shared" si="68"/>
        <v>-0.31702333046488029</v>
      </c>
      <c r="U135">
        <f t="shared" si="69"/>
        <v>0.99878600329526579</v>
      </c>
      <c r="V135">
        <f t="shared" si="70"/>
        <v>-4.9279659406641342E-2</v>
      </c>
      <c r="X135">
        <f t="shared" si="87"/>
        <v>0.3073835358975035</v>
      </c>
      <c r="Y135">
        <f t="shared" si="71"/>
        <v>-115.18550897392321</v>
      </c>
      <c r="Z135">
        <f t="shared" si="88"/>
        <v>64.814491026076794</v>
      </c>
      <c r="AC135">
        <v>1</v>
      </c>
      <c r="AD135">
        <f t="shared" si="72"/>
        <v>13.612206793184999</v>
      </c>
      <c r="AE135">
        <f t="shared" si="73"/>
        <v>-5.1829978679841088E-5</v>
      </c>
      <c r="AF135">
        <f t="shared" si="74"/>
        <v>1.0509004405368E-3</v>
      </c>
      <c r="AG135">
        <f t="shared" si="89"/>
        <v>12874.651174873228</v>
      </c>
      <c r="AH135">
        <f t="shared" si="90"/>
        <v>-1586.5374412179494</v>
      </c>
      <c r="AJ135">
        <f t="shared" si="75"/>
        <v>18000</v>
      </c>
      <c r="AK135">
        <f t="shared" si="76"/>
        <v>5905.6035625818004</v>
      </c>
      <c r="AL135">
        <v>1</v>
      </c>
      <c r="AM135">
        <f t="shared" si="77"/>
        <v>12.893203049750099</v>
      </c>
      <c r="AN135">
        <f t="shared" si="91"/>
        <v>562.93433344926609</v>
      </c>
      <c r="AO135">
        <f t="shared" si="92"/>
        <v>-1352.4231022553163</v>
      </c>
      <c r="AQ135">
        <f t="shared" si="78"/>
        <v>0.98019996079200156</v>
      </c>
      <c r="AR135">
        <f t="shared" si="79"/>
        <v>-99.000196039992161</v>
      </c>
      <c r="AT135">
        <f t="shared" si="104"/>
        <v>-144447.7851285431</v>
      </c>
      <c r="AU135">
        <f t="shared" si="105"/>
        <v>-1276148.1141966418</v>
      </c>
      <c r="AV135">
        <f t="shared" si="93"/>
        <v>-1.6835070620267978</v>
      </c>
      <c r="AW135">
        <f t="shared" si="94"/>
        <v>-118377.29053624564</v>
      </c>
      <c r="AX135">
        <f t="shared" si="95"/>
        <v>-65461.318869201124</v>
      </c>
      <c r="AY135">
        <f t="shared" si="103"/>
        <v>-2.6364576553412276</v>
      </c>
      <c r="BA135">
        <f t="shared" si="80"/>
        <v>9.4942212925711935</v>
      </c>
      <c r="BB135">
        <f t="shared" si="96"/>
        <v>19.54918700187585</v>
      </c>
      <c r="BC135">
        <f t="shared" si="97"/>
        <v>0.95295059331442977</v>
      </c>
      <c r="BD135">
        <f t="shared" si="81"/>
        <v>-125.3999528562058</v>
      </c>
      <c r="BF135">
        <f t="shared" si="82"/>
        <v>0.91258941471666621</v>
      </c>
      <c r="BG135">
        <f t="shared" si="83"/>
        <v>-120.96125138265677</v>
      </c>
      <c r="BH135">
        <f t="shared" si="98"/>
        <v>59.038748617343231</v>
      </c>
      <c r="BI135">
        <f t="shared" si="99"/>
        <v>59.038748617343231</v>
      </c>
      <c r="BJ135">
        <f t="shared" si="84"/>
        <v>0</v>
      </c>
      <c r="BK135">
        <f t="shared" si="100"/>
        <v>0</v>
      </c>
      <c r="BM135">
        <f t="shared" si="101"/>
        <v>-18.636597587159187</v>
      </c>
      <c r="BN135">
        <f t="shared" si="85"/>
        <v>-175.561298526451</v>
      </c>
      <c r="BQ135" s="56">
        <f t="shared" si="102"/>
        <v>36.451147802160989</v>
      </c>
      <c r="BR135" s="59"/>
      <c r="BS135" s="59"/>
      <c r="BT135" s="59">
        <v>1778.279</v>
      </c>
      <c r="BU135" s="59">
        <v>10.213699999999999</v>
      </c>
      <c r="BV135" s="59">
        <v>-256.01499999999999</v>
      </c>
      <c r="BW135" s="61"/>
      <c r="BY135" s="59"/>
      <c r="BZ135" s="59"/>
      <c r="CA135" s="59"/>
      <c r="CC135" s="59"/>
    </row>
    <row r="136" spans="1:81" x14ac:dyDescent="0.25">
      <c r="A136">
        <f t="shared" si="106"/>
        <v>51000</v>
      </c>
      <c r="B136">
        <f t="shared" si="86"/>
        <v>51</v>
      </c>
      <c r="C136">
        <f t="shared" si="55"/>
        <v>1.0009352647939158</v>
      </c>
      <c r="D136">
        <f t="shared" si="56"/>
        <v>4.3232775568315264E-2</v>
      </c>
      <c r="F136">
        <f t="shared" si="57"/>
        <v>7.639426115656993E-3</v>
      </c>
      <c r="G136">
        <f t="shared" si="58"/>
        <v>3.4315629919429262E-2</v>
      </c>
      <c r="H136">
        <f t="shared" si="59"/>
        <v>-3.1072770200805708</v>
      </c>
      <c r="J136">
        <f t="shared" si="60"/>
        <v>15</v>
      </c>
      <c r="M136">
        <f t="shared" si="61"/>
        <v>5.2346436564521565E-2</v>
      </c>
      <c r="N136">
        <f t="shared" si="62"/>
        <v>-1.5707963250000001</v>
      </c>
      <c r="O136">
        <f t="shared" si="63"/>
        <v>13.7833047508598</v>
      </c>
      <c r="P136">
        <f t="shared" si="64"/>
        <v>1.4981809859662247</v>
      </c>
      <c r="Q136">
        <f t="shared" si="65"/>
        <v>13.05920199479397</v>
      </c>
      <c r="R136">
        <f t="shared" si="66"/>
        <v>1.4941469373350786</v>
      </c>
      <c r="S136">
        <f t="shared" si="67"/>
        <v>0.94925013107565981</v>
      </c>
      <c r="T136">
        <f t="shared" si="68"/>
        <v>-0.31995322442526208</v>
      </c>
      <c r="U136">
        <f t="shared" si="69"/>
        <v>0.99876188959702583</v>
      </c>
      <c r="V136">
        <f t="shared" si="70"/>
        <v>-4.9766775535251939E-2</v>
      </c>
      <c r="X136">
        <f t="shared" si="87"/>
        <v>0.21115467025851997</v>
      </c>
      <c r="Y136">
        <f t="shared" si="71"/>
        <v>-115.29243815580733</v>
      </c>
      <c r="Z136">
        <f t="shared" si="88"/>
        <v>64.707561844192668</v>
      </c>
      <c r="AC136">
        <v>1</v>
      </c>
      <c r="AD136">
        <f t="shared" si="72"/>
        <v>13.74698111787</v>
      </c>
      <c r="AE136">
        <f t="shared" si="73"/>
        <v>-5.2861395763657165E-5</v>
      </c>
      <c r="AF136">
        <f t="shared" si="74"/>
        <v>1.0613053953936E-3</v>
      </c>
      <c r="AG136">
        <f t="shared" si="89"/>
        <v>12874.029516770917</v>
      </c>
      <c r="AH136">
        <f t="shared" si="90"/>
        <v>-1583.4642664148334</v>
      </c>
      <c r="AJ136">
        <f t="shared" si="75"/>
        <v>18000</v>
      </c>
      <c r="AK136">
        <f t="shared" si="76"/>
        <v>5964.0748849836</v>
      </c>
      <c r="AL136">
        <v>1</v>
      </c>
      <c r="AM136">
        <f t="shared" si="77"/>
        <v>13.020858525490199</v>
      </c>
      <c r="AN136">
        <f t="shared" si="91"/>
        <v>560.89966610642171</v>
      </c>
      <c r="AO136">
        <f t="shared" si="92"/>
        <v>-1339.3203143828064</v>
      </c>
      <c r="AQ136">
        <f t="shared" si="78"/>
        <v>0.96107640557424312</v>
      </c>
      <c r="AR136">
        <f t="shared" si="79"/>
        <v>-98.029793368572797</v>
      </c>
      <c r="AT136">
        <f t="shared" si="104"/>
        <v>-142853.74882992991</v>
      </c>
      <c r="AU136">
        <f t="shared" si="105"/>
        <v>-1263560.2834954814</v>
      </c>
      <c r="AV136">
        <f t="shared" si="93"/>
        <v>-1.6833748356795244</v>
      </c>
      <c r="AW136">
        <f t="shared" si="94"/>
        <v>-115796.2988684217</v>
      </c>
      <c r="AX136">
        <f t="shared" si="95"/>
        <v>-64608.854846692368</v>
      </c>
      <c r="AY136">
        <f t="shared" si="103"/>
        <v>-2.6326642514340479</v>
      </c>
      <c r="BA136">
        <f t="shared" si="80"/>
        <v>9.5897292247977877</v>
      </c>
      <c r="BB136">
        <f t="shared" si="96"/>
        <v>19.636126892451099</v>
      </c>
      <c r="BC136">
        <f t="shared" si="97"/>
        <v>0.94928941575452352</v>
      </c>
      <c r="BD136">
        <f t="shared" si="81"/>
        <v>-125.60972287867614</v>
      </c>
      <c r="BF136">
        <f t="shared" si="82"/>
        <v>0.82728658373097408</v>
      </c>
      <c r="BG136">
        <f t="shared" si="83"/>
        <v>-121.16652653118213</v>
      </c>
      <c r="BH136">
        <f t="shared" si="98"/>
        <v>58.833473468817871</v>
      </c>
      <c r="BI136">
        <f t="shared" si="99"/>
        <v>58.833473468817871</v>
      </c>
      <c r="BJ136">
        <f t="shared" si="84"/>
        <v>0</v>
      </c>
      <c r="BK136">
        <f t="shared" si="100"/>
        <v>0</v>
      </c>
      <c r="BM136">
        <f t="shared" si="101"/>
        <v>-18.808840308720121</v>
      </c>
      <c r="BN136">
        <f t="shared" si="85"/>
        <v>-175.55680365250598</v>
      </c>
      <c r="BQ136" s="56">
        <f t="shared" si="102"/>
        <v>36.538087692736234</v>
      </c>
      <c r="BR136" s="59"/>
      <c r="BS136" s="59"/>
      <c r="BT136" s="59">
        <v>1819.701</v>
      </c>
      <c r="BU136" s="59">
        <v>10.045199999999999</v>
      </c>
      <c r="BV136" s="59">
        <v>-255.833</v>
      </c>
      <c r="BW136" s="61"/>
      <c r="BY136" s="59"/>
      <c r="BZ136" s="59"/>
      <c r="CA136" s="59"/>
      <c r="CC136" s="59"/>
    </row>
    <row r="137" spans="1:81" x14ac:dyDescent="0.25">
      <c r="A137">
        <f t="shared" si="106"/>
        <v>51500</v>
      </c>
      <c r="B137">
        <f t="shared" si="86"/>
        <v>51.5</v>
      </c>
      <c r="C137">
        <f t="shared" ref="C137:C200" si="107">SQRT((A137/Fesr)^2+1)</f>
        <v>1.0009536844348619</v>
      </c>
      <c r="D137">
        <f t="shared" ref="D137:D200" si="108">ATAN(A137/Fesr)</f>
        <v>4.3656090590572266E-2</v>
      </c>
      <c r="F137">
        <f t="shared" ref="F137:F200" si="109">(Ro/(Ro+Rdcr))/SQRT((A137/(Q*Fo))^2+(1-(A137^2/Fo^2))^2)</f>
        <v>7.490761884912104E-3</v>
      </c>
      <c r="G137">
        <f t="shared" ref="G137:G200" si="110">-ATAN(A137*Fo/(Q*(Fo^2-A137^2)))</f>
        <v>3.3977593349656957E-2</v>
      </c>
      <c r="H137">
        <f t="shared" ref="H137:H200" si="111">IF(G137&gt;0,G137-Pi,G137)</f>
        <v>-3.1076150566503431</v>
      </c>
      <c r="J137">
        <f t="shared" ref="J137:J200" si="112">Vin/Vramp</f>
        <v>15</v>
      </c>
      <c r="M137">
        <f t="shared" ref="M137:M200" si="113">1/(2*Pi*_Rfb1*(Cc1ea_u+Cc2ea_u)*A137)</f>
        <v>5.1838218733798049E-2</v>
      </c>
      <c r="N137">
        <f t="shared" ref="N137:N200" si="114">-Pi/2</f>
        <v>-1.5707963250000001</v>
      </c>
      <c r="O137">
        <f t="shared" ref="O137:O200" si="115">SQRT(1+(A137/Fz1_u)^2)</f>
        <v>13.917727334838306</v>
      </c>
      <c r="P137">
        <f t="shared" ref="P137:P200" si="116">ATAN2(Fz1_u,A137)</f>
        <v>1.4988835493600001</v>
      </c>
      <c r="Q137">
        <f t="shared" ref="Q137:Q200" si="117">SQRT(1+(A137/Fz2_u)^2)</f>
        <v>13.186486281058697</v>
      </c>
      <c r="R137">
        <f t="shared" ref="R137:R200" si="118">ATAN2(Fz2_u,A137)</f>
        <v>1.4948882369278167</v>
      </c>
      <c r="S137">
        <f t="shared" ref="S137:S200" si="119">1/SQRT(1+(A137/Fp1_u)^2)</f>
        <v>0.94832634299026464</v>
      </c>
      <c r="T137">
        <f t="shared" ref="T137:T200" si="120">-ATAN2(Fp1_u,A137)</f>
        <v>-0.32287744083847486</v>
      </c>
      <c r="U137">
        <f t="shared" ref="U137:U200" si="121">1/SQRT(1+(A137/Fp2_u)^2)</f>
        <v>0.99873754009774529</v>
      </c>
      <c r="V137">
        <f t="shared" ref="V137:V200" si="122">-ATAN2(Fp2_u,A137)</f>
        <v>-5.0253868027961605E-2</v>
      </c>
      <c r="X137">
        <f t="shared" si="87"/>
        <v>0.11575807219030171</v>
      </c>
      <c r="Y137">
        <f t="shared" ref="Y137:Y200" si="123">(180/Pi)*(D137+H137+N137+P137+R137+T137+V137)</f>
        <v>-115.40027840812216</v>
      </c>
      <c r="Z137">
        <f t="shared" si="88"/>
        <v>64.599721591877838</v>
      </c>
      <c r="AC137">
        <v>1</v>
      </c>
      <c r="AD137">
        <f t="shared" ref="AD137:AD200" si="124">Rcea1_u*Cc1ea_u*A137*2*Pi</f>
        <v>13.881755442555002</v>
      </c>
      <c r="AE137">
        <f t="shared" ref="AE137:AE200" si="125">-Rcea1_u*Cc1ea_u*Cc2ea_u*(A137*2*Pi)^2</f>
        <v>-5.3902974592141371E-5</v>
      </c>
      <c r="AF137">
        <f t="shared" ref="AF137:AF200" si="126">(Cc2ea_u+Cc1ea_u)*A137*2*Pi</f>
        <v>1.0717103502503999E-3</v>
      </c>
      <c r="AG137">
        <f t="shared" si="89"/>
        <v>12873.401794879452</v>
      </c>
      <c r="AH137">
        <f t="shared" si="90"/>
        <v>-1580.5713264484561</v>
      </c>
      <c r="AJ137">
        <f t="shared" ref="AJ137:AJ200" si="127">_Rfb1</f>
        <v>18000</v>
      </c>
      <c r="AK137">
        <f t="shared" ref="AK137:AK200" si="128">_Rfb1*Rcea2_u*Cc3ea_u*A137*2*Pi</f>
        <v>6022.5462073854005</v>
      </c>
      <c r="AL137">
        <v>1</v>
      </c>
      <c r="AM137">
        <f t="shared" ref="AM137:AM200" si="129">(_Rfb1+Rcea2_u)*Cc3ea_u*A137*2*Pi</f>
        <v>13.148514001230302</v>
      </c>
      <c r="AN137">
        <f t="shared" si="91"/>
        <v>558.92351832411646</v>
      </c>
      <c r="AO137">
        <f t="shared" si="92"/>
        <v>-1326.4674989161458</v>
      </c>
      <c r="AQ137">
        <f t="shared" ref="AQ137:AQ200" si="130">Eadcg/(1+(Eadcg*A137/GBP)^2)</f>
        <v>0.94250706880301605</v>
      </c>
      <c r="AR137">
        <f t="shared" ref="AR137:AR200" si="131">-(A137*Eadcg*Eadcg/GBP)/(1+(Eadcg*A137/GBP)^2)</f>
        <v>-97.078228086710652</v>
      </c>
      <c r="AT137">
        <f t="shared" si="104"/>
        <v>-141305.79154506273</v>
      </c>
      <c r="AU137">
        <f t="shared" si="105"/>
        <v>-1251216.7353431028</v>
      </c>
      <c r="AV137">
        <f t="shared" si="93"/>
        <v>-1.6832545394236458</v>
      </c>
      <c r="AW137">
        <f t="shared" si="94"/>
        <v>-113289.48005717037</v>
      </c>
      <c r="AX137">
        <f t="shared" si="95"/>
        <v>-63779.475041122409</v>
      </c>
      <c r="AY137">
        <f t="shared" si="103"/>
        <v>-2.628840223756856</v>
      </c>
      <c r="BA137">
        <f t="shared" ref="BA137:BA200" si="132">SQRT(AT137^2+AU137^2)/SQRT(AW137^2+AX137^2)</f>
        <v>9.6852608530220596</v>
      </c>
      <c r="BB137">
        <f t="shared" si="96"/>
        <v>19.722226441221281</v>
      </c>
      <c r="BC137">
        <f t="shared" si="97"/>
        <v>0.94558568433321022</v>
      </c>
      <c r="BD137">
        <f t="shared" ref="BD137:BD200" si="133">BC137*180/Pi-180</f>
        <v>-125.82193105780986</v>
      </c>
      <c r="BF137">
        <f t="shared" ref="BF137:BF200" si="134">20*LOG(BA137*J137*F137*C137)</f>
        <v>0.7428511128252655</v>
      </c>
      <c r="BG137">
        <f t="shared" ref="BG137:BG200" si="135">(180/Pi)*(D137+H137+BC137)</f>
        <v>-121.37384861489946</v>
      </c>
      <c r="BH137">
        <f t="shared" si="98"/>
        <v>58.626151385100542</v>
      </c>
      <c r="BI137">
        <f t="shared" si="99"/>
        <v>58.626151385100542</v>
      </c>
      <c r="BJ137">
        <f t="shared" ref="BJ137:BJ200" si="136">SUM((BF138&lt;0)*(BF137&gt;0))*A137</f>
        <v>0</v>
      </c>
      <c r="BK137">
        <f t="shared" si="100"/>
        <v>0</v>
      </c>
      <c r="BM137">
        <f t="shared" si="101"/>
        <v>-18.979375328396017</v>
      </c>
      <c r="BN137">
        <f t="shared" ref="BN137:BN200" si="137">(H137+D137)*180/Pi</f>
        <v>-175.55191755708964</v>
      </c>
      <c r="BQ137" s="56">
        <f t="shared" si="102"/>
        <v>36.624187241506419</v>
      </c>
      <c r="BR137" s="59"/>
      <c r="BS137" s="59"/>
      <c r="BT137" s="59">
        <v>1862.087</v>
      </c>
      <c r="BU137" s="59">
        <v>9.8767200000000006</v>
      </c>
      <c r="BV137" s="59">
        <v>-255.47</v>
      </c>
      <c r="BW137" s="61"/>
      <c r="BY137" s="59"/>
      <c r="BZ137" s="59"/>
      <c r="CA137" s="59"/>
      <c r="CC137" s="59"/>
    </row>
    <row r="138" spans="1:81" x14ac:dyDescent="0.25">
      <c r="A138">
        <f t="shared" si="106"/>
        <v>52000</v>
      </c>
      <c r="B138">
        <f t="shared" ref="B138:B201" si="138">A138/1000</f>
        <v>52</v>
      </c>
      <c r="C138">
        <f t="shared" si="107"/>
        <v>1.0009722834356922</v>
      </c>
      <c r="D138">
        <f t="shared" si="108"/>
        <v>4.4079389957502581E-2</v>
      </c>
      <c r="F138">
        <f t="shared" si="109"/>
        <v>7.3464051061779183E-3</v>
      </c>
      <c r="G138">
        <f t="shared" si="110"/>
        <v>3.3646197343286895E-2</v>
      </c>
      <c r="H138">
        <f t="shared" si="111"/>
        <v>-3.1079464526567131</v>
      </c>
      <c r="J138">
        <f t="shared" si="112"/>
        <v>15</v>
      </c>
      <c r="M138">
        <f t="shared" si="113"/>
        <v>5.1339774322896152E-2</v>
      </c>
      <c r="N138">
        <f t="shared" si="114"/>
        <v>-1.5707963250000001</v>
      </c>
      <c r="O138">
        <f t="shared" si="115"/>
        <v>14.052156657108725</v>
      </c>
      <c r="P138">
        <f t="shared" si="116"/>
        <v>1.499572671006542</v>
      </c>
      <c r="Q138">
        <f t="shared" si="117"/>
        <v>13.313777675071808</v>
      </c>
      <c r="R138">
        <f t="shared" si="118"/>
        <v>1.4956153619649701</v>
      </c>
      <c r="S138">
        <f t="shared" si="119"/>
        <v>0.94739627360348821</v>
      </c>
      <c r="T138">
        <f t="shared" si="120"/>
        <v>-0.3257959463271618</v>
      </c>
      <c r="U138">
        <f t="shared" si="121"/>
        <v>0.99871295484933109</v>
      </c>
      <c r="V138">
        <f t="shared" si="122"/>
        <v>-5.0740936655373277E-2</v>
      </c>
      <c r="X138">
        <f t="shared" ref="X138:X201" si="139">20*LOG(C138*J138*O138*Q138*F138*M138*S138*U138)</f>
        <v>2.1175569867032933E-2</v>
      </c>
      <c r="Y138">
        <f t="shared" si="123"/>
        <v>-115.50899279950949</v>
      </c>
      <c r="Z138">
        <f t="shared" ref="Z138:Z201" si="140">Y138+180</f>
        <v>64.491007200490515</v>
      </c>
      <c r="AC138">
        <v>1</v>
      </c>
      <c r="AD138">
        <f t="shared" si="124"/>
        <v>14.01652976724</v>
      </c>
      <c r="AE138">
        <f t="shared" si="125"/>
        <v>-5.4954715165293721E-5</v>
      </c>
      <c r="AF138">
        <f t="shared" si="126"/>
        <v>1.0821153051072E-3</v>
      </c>
      <c r="AG138">
        <f t="shared" ref="AG138:AG201" si="141">AC138*AE138/(AE138^2+AF138^2)+AD138*AF138/(AE138^2+AF138^2)</f>
        <v>12872.768010981534</v>
      </c>
      <c r="AH138">
        <f t="shared" ref="AH138:AH201" si="142">AD138*AE138/(AE138^2+AF138^2)-AC138*AF138/(AE138^2+AF138^2)</f>
        <v>-1577.8533871334987</v>
      </c>
      <c r="AJ138">
        <f t="shared" si="127"/>
        <v>18000</v>
      </c>
      <c r="AK138">
        <f t="shared" si="128"/>
        <v>6081.0175297872001</v>
      </c>
      <c r="AL138">
        <v>1</v>
      </c>
      <c r="AM138">
        <f t="shared" si="129"/>
        <v>13.2761694769704</v>
      </c>
      <c r="AN138">
        <f t="shared" ref="AN138:AN201" si="143">AJ138*AL138/(AL138^2+AM138^2)+AK138*AM138/(AL138^2+AM138^2)</f>
        <v>557.00367149123269</v>
      </c>
      <c r="AO138">
        <f t="shared" ref="AO138:AO201" si="144">AK138*AL138/(AL138^2+AM138^2)-AJ138*AM138/(AL138^2+AM138^2)</f>
        <v>-1313.8576122251513</v>
      </c>
      <c r="AQ138">
        <f t="shared" si="130"/>
        <v>0.92447074050106315</v>
      </c>
      <c r="AR138">
        <f t="shared" si="131"/>
        <v>-96.144957012110567</v>
      </c>
      <c r="AT138">
        <f t="shared" si="104"/>
        <v>-139802.1487019528</v>
      </c>
      <c r="AU138">
        <f t="shared" si="105"/>
        <v>-1239110.406331897</v>
      </c>
      <c r="AV138">
        <f t="shared" ref="AV138:AV201" si="145">ATAN2(AT138,AU138)</f>
        <v>-1.683145830938922</v>
      </c>
      <c r="AW138">
        <f t="shared" ref="AW138:AW201" si="146">AG138-AH138*AO138/_Rfb2+AG138*AN138/_Rfb2+AN138-AO138*AR138+AQ138*AN138</f>
        <v>-110854.02637170213</v>
      </c>
      <c r="AX138">
        <f t="shared" ref="AX138:AX201" si="147">AH138+AH138*AN138/_Rfb2+AG138*AO138/_Rfb2+AO138+AO138*AQ138+AN138*AR138</f>
        <v>-62972.27337271205</v>
      </c>
      <c r="AY138">
        <f t="shared" si="103"/>
        <v>-2.624985958899388</v>
      </c>
      <c r="BA138">
        <f t="shared" si="132"/>
        <v>9.7808128515278749</v>
      </c>
      <c r="BB138">
        <f t="shared" ref="BB138:BB201" si="148">20*LOG(BA138)</f>
        <v>19.807498981771889</v>
      </c>
      <c r="BC138">
        <f t="shared" ref="BC138:BC201" si="149">AV138-AY138</f>
        <v>0.94184012796046601</v>
      </c>
      <c r="BD138">
        <f t="shared" si="133"/>
        <v>-126.03653563014166</v>
      </c>
      <c r="BF138">
        <f t="shared" si="134"/>
        <v>0.65926267000431604</v>
      </c>
      <c r="BG138">
        <f t="shared" si="135"/>
        <v>-121.58318751254205</v>
      </c>
      <c r="BH138">
        <f t="shared" ref="BH138:BH201" si="150">IF(BG138&gt;180,BG138-180,BG138+180)</f>
        <v>58.416812487457946</v>
      </c>
      <c r="BI138">
        <f t="shared" ref="BI138:BI201" si="151">IF(BH138&gt;180,BH138-360,BH138)</f>
        <v>58.416812487457946</v>
      </c>
      <c r="BJ138">
        <f t="shared" si="136"/>
        <v>0</v>
      </c>
      <c r="BK138">
        <f t="shared" ref="BK138:BK201" si="152">IF(BJ138&gt;0,BI138,0)</f>
        <v>0</v>
      </c>
      <c r="BM138">
        <f t="shared" ref="BM138:BM201" si="153">20*LOG(J138*F138*C138)</f>
        <v>-19.148236311767572</v>
      </c>
      <c r="BN138">
        <f t="shared" si="137"/>
        <v>-175.54665188240043</v>
      </c>
      <c r="BQ138" s="56">
        <f t="shared" ref="BQ138:BQ201" si="154">20*LOG(BA138*7)</f>
        <v>36.709459782057024</v>
      </c>
      <c r="BR138" s="59"/>
      <c r="BS138" s="59"/>
      <c r="BT138" s="59">
        <v>1905.461</v>
      </c>
      <c r="BU138" s="59">
        <v>9.7134199999999993</v>
      </c>
      <c r="BV138" s="59">
        <v>-255.059</v>
      </c>
      <c r="BW138" s="61"/>
      <c r="BY138" s="59"/>
      <c r="BZ138" s="59"/>
      <c r="CA138" s="59"/>
      <c r="CC138" s="59"/>
    </row>
    <row r="139" spans="1:81" x14ac:dyDescent="0.25">
      <c r="A139">
        <f t="shared" si="106"/>
        <v>52500</v>
      </c>
      <c r="B139">
        <f t="shared" si="138"/>
        <v>52.5</v>
      </c>
      <c r="C139">
        <f t="shared" si="107"/>
        <v>1.0009910617864086</v>
      </c>
      <c r="D139">
        <f t="shared" si="108"/>
        <v>4.4502673518287572E-2</v>
      </c>
      <c r="F139">
        <f t="shared" si="109"/>
        <v>7.2061906007995754E-3</v>
      </c>
      <c r="G139">
        <f t="shared" si="110"/>
        <v>3.3321246859389878E-2</v>
      </c>
      <c r="H139">
        <f t="shared" si="111"/>
        <v>-3.1082714031406105</v>
      </c>
      <c r="J139">
        <f t="shared" si="112"/>
        <v>15</v>
      </c>
      <c r="M139">
        <f t="shared" si="113"/>
        <v>5.0850824091249518E-2</v>
      </c>
      <c r="N139">
        <f t="shared" si="114"/>
        <v>-1.5707963250000001</v>
      </c>
      <c r="O139">
        <f t="shared" si="115"/>
        <v>14.186592526118922</v>
      </c>
      <c r="P139">
        <f t="shared" si="116"/>
        <v>1.5002487323744107</v>
      </c>
      <c r="Q139">
        <f t="shared" si="117"/>
        <v>13.441075974895186</v>
      </c>
      <c r="R139">
        <f t="shared" si="118"/>
        <v>1.4963287144014301</v>
      </c>
      <c r="S139">
        <f t="shared" si="119"/>
        <v>0.94645998883959592</v>
      </c>
      <c r="T139">
        <f t="shared" si="120"/>
        <v>-0.32870870803334984</v>
      </c>
      <c r="U139">
        <f t="shared" si="121"/>
        <v>0.99868813390418687</v>
      </c>
      <c r="V139">
        <f t="shared" si="122"/>
        <v>-5.1227981188157662E-2</v>
      </c>
      <c r="X139">
        <f t="shared" si="139"/>
        <v>-7.2610427549943388E-2</v>
      </c>
      <c r="Y139">
        <f t="shared" si="123"/>
        <v>-115.6185457310126</v>
      </c>
      <c r="Z139">
        <f t="shared" si="140"/>
        <v>64.381454268987397</v>
      </c>
      <c r="AC139">
        <v>1</v>
      </c>
      <c r="AD139">
        <f t="shared" si="124"/>
        <v>14.151304091925001</v>
      </c>
      <c r="AE139">
        <f t="shared" si="125"/>
        <v>-5.6016617483114215E-5</v>
      </c>
      <c r="AF139">
        <f t="shared" si="126"/>
        <v>1.092520259964E-3</v>
      </c>
      <c r="AG139">
        <f t="shared" si="141"/>
        <v>12872.128166876835</v>
      </c>
      <c r="AH139">
        <f t="shared" si="142"/>
        <v>-1575.3054133515757</v>
      </c>
      <c r="AJ139">
        <f t="shared" si="127"/>
        <v>18000</v>
      </c>
      <c r="AK139">
        <f t="shared" si="128"/>
        <v>6139.4888521890007</v>
      </c>
      <c r="AL139">
        <v>1</v>
      </c>
      <c r="AM139">
        <f t="shared" si="129"/>
        <v>13.403824952710501</v>
      </c>
      <c r="AN139">
        <f t="shared" si="143"/>
        <v>555.13801095535848</v>
      </c>
      <c r="AO139">
        <f t="shared" si="144"/>
        <v>-1301.4838712525091</v>
      </c>
      <c r="AQ139">
        <f t="shared" si="130"/>
        <v>0.90694721567204784</v>
      </c>
      <c r="AR139">
        <f t="shared" si="131"/>
        <v>-95.229457645565034</v>
      </c>
      <c r="AT139">
        <f t="shared" si="104"/>
        <v>-138341.1393388705</v>
      </c>
      <c r="AU139">
        <f t="shared" si="105"/>
        <v>-1227234.5029343546</v>
      </c>
      <c r="AV139">
        <f t="shared" si="145"/>
        <v>-1.6830483808099272</v>
      </c>
      <c r="AW139">
        <f t="shared" si="146"/>
        <v>-108487.26141555753</v>
      </c>
      <c r="AX139">
        <f t="shared" si="147"/>
        <v>-62186.389422116838</v>
      </c>
      <c r="AY139">
        <f t="shared" ref="AY139:AY202" si="155">ATAN2(AW139,AX139)</f>
        <v>-2.6211018278559157</v>
      </c>
      <c r="BA139">
        <f t="shared" si="132"/>
        <v>9.8763818061012145</v>
      </c>
      <c r="BB139">
        <f t="shared" si="148"/>
        <v>19.891957415148823</v>
      </c>
      <c r="BC139">
        <f t="shared" si="149"/>
        <v>0.93805344704598848</v>
      </c>
      <c r="BD139">
        <f t="shared" si="133"/>
        <v>-126.25349646515187</v>
      </c>
      <c r="BF139">
        <f t="shared" si="134"/>
        <v>0.57650148372884369</v>
      </c>
      <c r="BG139">
        <f t="shared" si="135"/>
        <v>-121.79451427725365</v>
      </c>
      <c r="BH139">
        <f t="shared" si="150"/>
        <v>58.205485722746346</v>
      </c>
      <c r="BI139">
        <f t="shared" si="151"/>
        <v>58.205485722746346</v>
      </c>
      <c r="BJ139">
        <f t="shared" si="136"/>
        <v>0</v>
      </c>
      <c r="BK139">
        <f t="shared" si="152"/>
        <v>0</v>
      </c>
      <c r="BM139">
        <f t="shared" si="153"/>
        <v>-19.315455931419979</v>
      </c>
      <c r="BN139">
        <f t="shared" si="137"/>
        <v>-175.54101781210179</v>
      </c>
      <c r="BQ139" s="56">
        <f t="shared" si="154"/>
        <v>36.793918215433962</v>
      </c>
      <c r="BR139" s="59"/>
      <c r="BS139" s="59"/>
      <c r="BT139" s="59">
        <v>1949.845</v>
      </c>
      <c r="BU139" s="59">
        <v>9.5268499999999996</v>
      </c>
      <c r="BV139" s="59">
        <v>-254.971</v>
      </c>
      <c r="BW139" s="61"/>
      <c r="BY139" s="59"/>
      <c r="BZ139" s="59"/>
      <c r="CA139" s="59"/>
      <c r="CC139" s="59"/>
    </row>
    <row r="140" spans="1:81" x14ac:dyDescent="0.25">
      <c r="A140">
        <f t="shared" si="106"/>
        <v>53000</v>
      </c>
      <c r="B140">
        <f t="shared" si="138"/>
        <v>53</v>
      </c>
      <c r="C140">
        <f t="shared" si="107"/>
        <v>1.0010100194769176</v>
      </c>
      <c r="D140">
        <f t="shared" si="108"/>
        <v>4.4925941122142515E-2</v>
      </c>
      <c r="F140">
        <f t="shared" si="109"/>
        <v>7.0699610493513056E-3</v>
      </c>
      <c r="G140">
        <f t="shared" si="110"/>
        <v>3.3002554467275985E-2</v>
      </c>
      <c r="H140">
        <f t="shared" si="111"/>
        <v>-3.1085900955327244</v>
      </c>
      <c r="J140">
        <f t="shared" si="112"/>
        <v>15</v>
      </c>
      <c r="M140">
        <f t="shared" si="113"/>
        <v>5.0371099335671687E-2</v>
      </c>
      <c r="N140">
        <f t="shared" si="114"/>
        <v>-1.5707963250000001</v>
      </c>
      <c r="O140">
        <f t="shared" si="115"/>
        <v>14.321034757500245</v>
      </c>
      <c r="P140">
        <f t="shared" si="116"/>
        <v>1.5009121006564559</v>
      </c>
      <c r="Q140">
        <f t="shared" si="117"/>
        <v>13.568380986158283</v>
      </c>
      <c r="R140">
        <f t="shared" si="118"/>
        <v>1.4970286811640632</v>
      </c>
      <c r="S140">
        <f t="shared" si="119"/>
        <v>0.9455175546978476</v>
      </c>
      <c r="T140">
        <f t="shared" si="120"/>
        <v>-0.33161569361811183</v>
      </c>
      <c r="U140">
        <f t="shared" si="121"/>
        <v>0.99866307731521087</v>
      </c>
      <c r="V140">
        <f t="shared" si="122"/>
        <v>-5.1715001397053886E-2</v>
      </c>
      <c r="X140">
        <f t="shared" si="139"/>
        <v>-0.16561695410276905</v>
      </c>
      <c r="Y140">
        <f t="shared" si="123"/>
        <v>-115.72890287636149</v>
      </c>
      <c r="Z140">
        <f t="shared" si="140"/>
        <v>64.271097123638512</v>
      </c>
      <c r="AC140">
        <v>1</v>
      </c>
      <c r="AD140">
        <f t="shared" si="124"/>
        <v>14.28607841661</v>
      </c>
      <c r="AE140">
        <f t="shared" si="125"/>
        <v>-5.7088681545602838E-5</v>
      </c>
      <c r="AF140">
        <f t="shared" si="126"/>
        <v>1.1029252148207999E-3</v>
      </c>
      <c r="AG140">
        <f t="shared" si="141"/>
        <v>12871.482264381961</v>
      </c>
      <c r="AH140">
        <f t="shared" si="142"/>
        <v>-1572.9225596615311</v>
      </c>
      <c r="AJ140">
        <f t="shared" si="127"/>
        <v>18000</v>
      </c>
      <c r="AK140">
        <f t="shared" si="128"/>
        <v>6197.9601745908003</v>
      </c>
      <c r="AL140">
        <v>1</v>
      </c>
      <c r="AM140">
        <f t="shared" si="129"/>
        <v>13.5314804284506</v>
      </c>
      <c r="AN140">
        <f t="shared" si="143"/>
        <v>553.32452024230679</v>
      </c>
      <c r="AO140">
        <f t="shared" si="144"/>
        <v>-1289.3397416497905</v>
      </c>
      <c r="AQ140">
        <f t="shared" si="130"/>
        <v>0.88991723769689424</v>
      </c>
      <c r="AR140">
        <f t="shared" si="131"/>
        <v>-94.331227195870781</v>
      </c>
      <c r="AT140">
        <f t="shared" si="104"/>
        <v>-136921.16139515914</v>
      </c>
      <c r="AU140">
        <f t="shared" si="105"/>
        <v>-1215582.4887284411</v>
      </c>
      <c r="AV140">
        <f t="shared" si="145"/>
        <v>-1.6829618719243904</v>
      </c>
      <c r="AW140">
        <f t="shared" si="146"/>
        <v>-106186.63283881175</v>
      </c>
      <c r="AX140">
        <f t="shared" si="147"/>
        <v>-61421.005663001226</v>
      </c>
      <c r="AY140">
        <f t="shared" si="155"/>
        <v>-2.6171881869086406</v>
      </c>
      <c r="BA140">
        <f t="shared" si="132"/>
        <v>9.9719642125640497</v>
      </c>
      <c r="BB140">
        <f t="shared" si="148"/>
        <v>19.975614224725685</v>
      </c>
      <c r="BC140">
        <f t="shared" si="149"/>
        <v>0.93422631498425024</v>
      </c>
      <c r="BD140">
        <f t="shared" si="133"/>
        <v>-126.47277498017922</v>
      </c>
      <c r="BF140">
        <f t="shared" si="134"/>
        <v>0.49454831888025041</v>
      </c>
      <c r="BG140">
        <f t="shared" si="135"/>
        <v>-122.00780107399972</v>
      </c>
      <c r="BH140">
        <f t="shared" si="150"/>
        <v>57.992198926000285</v>
      </c>
      <c r="BI140">
        <f t="shared" si="151"/>
        <v>57.992198926000285</v>
      </c>
      <c r="BJ140">
        <f t="shared" si="136"/>
        <v>0</v>
      </c>
      <c r="BK140">
        <f t="shared" si="152"/>
        <v>0</v>
      </c>
      <c r="BM140">
        <f t="shared" si="153"/>
        <v>-19.481065905845433</v>
      </c>
      <c r="BN140">
        <f t="shared" si="137"/>
        <v>-175.53502609382048</v>
      </c>
      <c r="BQ140" s="56">
        <f t="shared" si="154"/>
        <v>36.87757502501082</v>
      </c>
      <c r="BR140" s="59"/>
      <c r="BS140" s="59"/>
      <c r="BT140" s="59">
        <v>1995.2619999999999</v>
      </c>
      <c r="BU140" s="59">
        <v>9.3349399999999996</v>
      </c>
      <c r="BV140" s="59">
        <v>-254.804</v>
      </c>
      <c r="BW140" s="61"/>
      <c r="BY140" s="59"/>
      <c r="BZ140" s="59"/>
      <c r="CA140" s="59"/>
      <c r="CC140" s="59"/>
    </row>
    <row r="141" spans="1:81" x14ac:dyDescent="0.25">
      <c r="A141">
        <f t="shared" si="106"/>
        <v>53500</v>
      </c>
      <c r="B141">
        <f t="shared" si="138"/>
        <v>53.5</v>
      </c>
      <c r="C141">
        <f t="shared" si="107"/>
        <v>1.0010291564970304</v>
      </c>
      <c r="D141">
        <f t="shared" si="108"/>
        <v>4.5349192618316936E-2</v>
      </c>
      <c r="F141">
        <f t="shared" si="109"/>
        <v>6.9375665462163734E-3</v>
      </c>
      <c r="G141">
        <f t="shared" si="110"/>
        <v>3.2689939976833768E-2</v>
      </c>
      <c r="H141">
        <f t="shared" si="111"/>
        <v>-3.1089027100231665</v>
      </c>
      <c r="J141">
        <f t="shared" si="112"/>
        <v>15</v>
      </c>
      <c r="M141">
        <f t="shared" si="113"/>
        <v>4.9900341397955142E-2</v>
      </c>
      <c r="N141">
        <f t="shared" si="114"/>
        <v>-1.5707963250000001</v>
      </c>
      <c r="O141">
        <f t="shared" si="115"/>
        <v>14.455483173734303</v>
      </c>
      <c r="P141">
        <f t="shared" si="116"/>
        <v>1.5015631294303529</v>
      </c>
      <c r="Q141">
        <f t="shared" si="117"/>
        <v>13.695692521707381</v>
      </c>
      <c r="R141">
        <f t="shared" si="118"/>
        <v>1.4977156348462695</v>
      </c>
      <c r="S141">
        <f t="shared" si="119"/>
        <v>0.94456903724188468</v>
      </c>
      <c r="T141">
        <f t="shared" si="120"/>
        <v>-0.33451687126113433</v>
      </c>
      <c r="U141">
        <f t="shared" si="121"/>
        <v>0.99863778513579649</v>
      </c>
      <c r="V141">
        <f t="shared" si="122"/>
        <v>-5.2201997052870118E-2</v>
      </c>
      <c r="X141">
        <f t="shared" si="139"/>
        <v>-0.25786050997453835</v>
      </c>
      <c r="Y141">
        <f t="shared" si="123"/>
        <v>-115.84003112548716</v>
      </c>
      <c r="Z141">
        <f t="shared" si="140"/>
        <v>64.159968874512842</v>
      </c>
      <c r="AC141">
        <v>1</v>
      </c>
      <c r="AD141">
        <f t="shared" si="124"/>
        <v>14.420852741295</v>
      </c>
      <c r="AE141">
        <f t="shared" si="125"/>
        <v>-5.8170907352759591E-5</v>
      </c>
      <c r="AF141">
        <f t="shared" si="126"/>
        <v>1.1133301696775999E-3</v>
      </c>
      <c r="AG141">
        <f t="shared" si="141"/>
        <v>12870.830305330433</v>
      </c>
      <c r="AH141">
        <f t="shared" si="142"/>
        <v>-1570.7001614362621</v>
      </c>
      <c r="AJ141">
        <f t="shared" si="127"/>
        <v>18000</v>
      </c>
      <c r="AK141">
        <f t="shared" si="128"/>
        <v>6256.4314969925999</v>
      </c>
      <c r="AL141">
        <v>1</v>
      </c>
      <c r="AM141">
        <f t="shared" si="129"/>
        <v>13.659135904190698</v>
      </c>
      <c r="AN141">
        <f t="shared" si="143"/>
        <v>551.56127564648943</v>
      </c>
      <c r="AO141">
        <f t="shared" si="144"/>
        <v>-1277.4189265515861</v>
      </c>
      <c r="AQ141">
        <f t="shared" si="130"/>
        <v>0.8733624454148472</v>
      </c>
      <c r="AR141">
        <f t="shared" si="131"/>
        <v>-93.449781659388648</v>
      </c>
      <c r="AT141">
        <f t="shared" si="104"/>
        <v>-135540.68730860227</v>
      </c>
      <c r="AU141">
        <f t="shared" si="105"/>
        <v>-1204148.0723421772</v>
      </c>
      <c r="AV141">
        <f t="shared" si="145"/>
        <v>-1.6828859989048204</v>
      </c>
      <c r="AW141">
        <f t="shared" si="146"/>
        <v>-103949.70551674541</v>
      </c>
      <c r="AX141">
        <f t="shared" si="147"/>
        <v>-60675.344888785679</v>
      </c>
      <c r="AY141">
        <f t="shared" si="155"/>
        <v>-2.6132453784654643</v>
      </c>
      <c r="BA141">
        <f t="shared" si="132"/>
        <v>10.067556475363819</v>
      </c>
      <c r="BB141">
        <f t="shared" si="148"/>
        <v>20.058481490436819</v>
      </c>
      <c r="BC141">
        <f t="shared" si="149"/>
        <v>0.93035937956064396</v>
      </c>
      <c r="BD141">
        <f t="shared" si="133"/>
        <v>-126.69433405985467</v>
      </c>
      <c r="BF141">
        <f t="shared" si="134"/>
        <v>0.41338445398803281</v>
      </c>
      <c r="BG141">
        <f t="shared" si="135"/>
        <v>-122.22302112018149</v>
      </c>
      <c r="BH141">
        <f t="shared" si="150"/>
        <v>57.776978879818515</v>
      </c>
      <c r="BI141">
        <f t="shared" si="151"/>
        <v>57.776978879818515</v>
      </c>
      <c r="BJ141">
        <f t="shared" si="136"/>
        <v>0</v>
      </c>
      <c r="BK141">
        <f t="shared" si="152"/>
        <v>0</v>
      </c>
      <c r="BM141">
        <f t="shared" si="153"/>
        <v>-19.645097036448782</v>
      </c>
      <c r="BN141">
        <f t="shared" si="137"/>
        <v>-175.52868706032683</v>
      </c>
      <c r="BQ141" s="56">
        <f t="shared" si="154"/>
        <v>36.96044229072195</v>
      </c>
      <c r="BR141" s="59"/>
      <c r="BS141" s="59"/>
      <c r="BT141" s="59">
        <v>2041.7380000000001</v>
      </c>
      <c r="BU141" s="59">
        <v>9.0884699999999992</v>
      </c>
      <c r="BV141" s="59">
        <v>-254.411</v>
      </c>
      <c r="BW141" s="61"/>
      <c r="BY141" s="59"/>
      <c r="BZ141" s="59"/>
      <c r="CA141" s="59"/>
      <c r="CC141" s="59"/>
    </row>
    <row r="142" spans="1:81" x14ac:dyDescent="0.25">
      <c r="A142">
        <f t="shared" si="106"/>
        <v>54000</v>
      </c>
      <c r="B142">
        <f t="shared" si="138"/>
        <v>54</v>
      </c>
      <c r="C142">
        <f t="shared" si="107"/>
        <v>1.0010484728364621</v>
      </c>
      <c r="D142">
        <f t="shared" si="108"/>
        <v>4.5772427856094915E-2</v>
      </c>
      <c r="F142">
        <f t="shared" si="109"/>
        <v>6.8088641834009788E-3</v>
      </c>
      <c r="G142">
        <f t="shared" si="110"/>
        <v>3.2383230090318856E-2</v>
      </c>
      <c r="H142">
        <f t="shared" si="111"/>
        <v>-3.1092094199096811</v>
      </c>
      <c r="J142">
        <f t="shared" si="112"/>
        <v>15</v>
      </c>
      <c r="M142">
        <f t="shared" si="113"/>
        <v>4.9438301199825924E-2</v>
      </c>
      <c r="N142">
        <f t="shared" si="114"/>
        <v>-1.5707963250000001</v>
      </c>
      <c r="O142">
        <f t="shared" si="115"/>
        <v>14.589937603838118</v>
      </c>
      <c r="P142">
        <f t="shared" si="116"/>
        <v>1.5022021592828594</v>
      </c>
      <c r="Q142">
        <f t="shared" si="117"/>
        <v>13.82301040127418</v>
      </c>
      <c r="R142">
        <f t="shared" si="118"/>
        <v>1.4983899343644409</v>
      </c>
      <c r="S142">
        <f t="shared" si="119"/>
        <v>0.94361450258921997</v>
      </c>
      <c r="T142">
        <f t="shared" si="120"/>
        <v>-0.33741220966019253</v>
      </c>
      <c r="U142">
        <f t="shared" si="121"/>
        <v>0.99861225741983228</v>
      </c>
      <c r="V142">
        <f t="shared" si="122"/>
        <v>-5.2688967926484226E-2</v>
      </c>
      <c r="X142">
        <f t="shared" si="139"/>
        <v>-0.34935708325102344</v>
      </c>
      <c r="Y142">
        <f t="shared" si="123"/>
        <v>-115.95189853106298</v>
      </c>
      <c r="Z142">
        <f t="shared" si="140"/>
        <v>64.04810146893702</v>
      </c>
      <c r="AC142">
        <v>1</v>
      </c>
      <c r="AD142">
        <f t="shared" si="124"/>
        <v>14.55562706598</v>
      </c>
      <c r="AE142">
        <f t="shared" si="125"/>
        <v>-5.9263294904584488E-5</v>
      </c>
      <c r="AF142">
        <f t="shared" si="126"/>
        <v>1.1237351245344E-3</v>
      </c>
      <c r="AG142">
        <f t="shared" si="141"/>
        <v>12870.172291572697</v>
      </c>
      <c r="AH142">
        <f t="shared" si="142"/>
        <v>-1568.6337264919441</v>
      </c>
      <c r="AJ142">
        <f t="shared" si="127"/>
        <v>18000</v>
      </c>
      <c r="AK142">
        <f t="shared" si="128"/>
        <v>6314.9028193944005</v>
      </c>
      <c r="AL142">
        <v>1</v>
      </c>
      <c r="AM142">
        <f t="shared" si="129"/>
        <v>13.786791379930801</v>
      </c>
      <c r="AN142">
        <f t="shared" si="143"/>
        <v>549.84644116525385</v>
      </c>
      <c r="AO142">
        <f t="shared" si="144"/>
        <v>-1265.7153559483493</v>
      </c>
      <c r="AQ142">
        <f t="shared" si="130"/>
        <v>0.85726532361765961</v>
      </c>
      <c r="AR142">
        <f t="shared" si="131"/>
        <v>-92.584654950707247</v>
      </c>
      <c r="AT142">
        <f t="shared" si="104"/>
        <v>-134198.25989674864</v>
      </c>
      <c r="AU142">
        <f t="shared" si="105"/>
        <v>-1192925.1960705901</v>
      </c>
      <c r="AV142">
        <f t="shared" si="145"/>
        <v>-1.682820467571295</v>
      </c>
      <c r="AW142">
        <f t="shared" si="146"/>
        <v>-101774.155161242</v>
      </c>
      <c r="AX142">
        <f t="shared" si="147"/>
        <v>-59948.667818181246</v>
      </c>
      <c r="AY142">
        <f t="shared" si="155"/>
        <v>-2.6092737318550618</v>
      </c>
      <c r="BA142">
        <f t="shared" si="132"/>
        <v>10.163154906218061</v>
      </c>
      <c r="BB142">
        <f t="shared" si="148"/>
        <v>20.140570902409024</v>
      </c>
      <c r="BC142">
        <f t="shared" si="149"/>
        <v>0.92645326428376684</v>
      </c>
      <c r="BD142">
        <f t="shared" si="133"/>
        <v>-126.91813797976704</v>
      </c>
      <c r="BF142">
        <f t="shared" si="134"/>
        <v>0.33299165964234773</v>
      </c>
      <c r="BG142">
        <f t="shared" si="135"/>
        <v>-122.44014862925256</v>
      </c>
      <c r="BH142">
        <f t="shared" si="150"/>
        <v>57.559851370747438</v>
      </c>
      <c r="BI142">
        <f t="shared" si="151"/>
        <v>57.559851370747438</v>
      </c>
      <c r="BJ142">
        <f t="shared" si="136"/>
        <v>0</v>
      </c>
      <c r="BK142">
        <f t="shared" si="152"/>
        <v>0</v>
      </c>
      <c r="BM142">
        <f t="shared" si="153"/>
        <v>-19.807579242766675</v>
      </c>
      <c r="BN142">
        <f t="shared" si="137"/>
        <v>-175.52201064948557</v>
      </c>
      <c r="BQ142" s="56">
        <f t="shared" si="154"/>
        <v>37.042531702694163</v>
      </c>
      <c r="BR142" s="59"/>
      <c r="BS142" s="59"/>
      <c r="BT142" s="59">
        <v>2089.2959999999998</v>
      </c>
      <c r="BU142" s="59">
        <v>8.9698600000000006</v>
      </c>
      <c r="BV142" s="59">
        <v>-254.113</v>
      </c>
      <c r="BW142" s="61"/>
      <c r="BY142" s="59"/>
      <c r="BZ142" s="59"/>
      <c r="CA142" s="59"/>
      <c r="CC142" s="59"/>
    </row>
    <row r="143" spans="1:81" x14ac:dyDescent="0.25">
      <c r="A143">
        <f t="shared" si="106"/>
        <v>54500</v>
      </c>
      <c r="B143">
        <f t="shared" si="138"/>
        <v>54.5</v>
      </c>
      <c r="C143">
        <f t="shared" si="107"/>
        <v>1.0010679684848325</v>
      </c>
      <c r="D143">
        <f t="shared" si="108"/>
        <v>4.6195646684795401E-2</v>
      </c>
      <c r="F143">
        <f t="shared" si="109"/>
        <v>6.6837176614055168E-3</v>
      </c>
      <c r="G143">
        <f t="shared" si="110"/>
        <v>3.2082258074147232E-2</v>
      </c>
      <c r="H143">
        <f t="shared" si="111"/>
        <v>-3.1095103919258529</v>
      </c>
      <c r="J143">
        <f t="shared" si="112"/>
        <v>15</v>
      </c>
      <c r="M143">
        <f t="shared" si="113"/>
        <v>4.8984738803497241E-2</v>
      </c>
      <c r="N143">
        <f t="shared" si="114"/>
        <v>-1.5707963250000001</v>
      </c>
      <c r="O143">
        <f t="shared" si="115"/>
        <v>14.724397883066464</v>
      </c>
      <c r="P143">
        <f t="shared" si="116"/>
        <v>1.5028295184000895</v>
      </c>
      <c r="Q143">
        <f t="shared" si="117"/>
        <v>13.950334451162444</v>
      </c>
      <c r="R143">
        <f t="shared" si="118"/>
        <v>1.4990519255787325</v>
      </c>
      <c r="S143">
        <f t="shared" si="119"/>
        <v>0.94265401690082884</v>
      </c>
      <c r="T143">
        <f t="shared" si="120"/>
        <v>-0.34030167803053257</v>
      </c>
      <c r="U143">
        <f t="shared" si="121"/>
        <v>0.9985864942217012</v>
      </c>
      <c r="V143">
        <f t="shared" si="122"/>
        <v>-5.3175913788844412E-2</v>
      </c>
      <c r="X143">
        <f t="shared" si="139"/>
        <v>-0.44012217057884206</v>
      </c>
      <c r="Y143">
        <f t="shared" si="123"/>
        <v>-116.06447425788643</v>
      </c>
      <c r="Z143">
        <f t="shared" si="140"/>
        <v>63.935525742113569</v>
      </c>
      <c r="AC143">
        <v>1</v>
      </c>
      <c r="AD143">
        <f t="shared" si="124"/>
        <v>14.690401390665</v>
      </c>
      <c r="AE143">
        <f t="shared" si="125"/>
        <v>-6.0365844201077535E-5</v>
      </c>
      <c r="AF143">
        <f t="shared" si="126"/>
        <v>1.1341400793911998E-3</v>
      </c>
      <c r="AG143">
        <f t="shared" si="141"/>
        <v>12869.5082249761</v>
      </c>
      <c r="AH143">
        <f t="shared" si="142"/>
        <v>-1566.7189271780358</v>
      </c>
      <c r="AJ143">
        <f t="shared" si="127"/>
        <v>18000</v>
      </c>
      <c r="AK143">
        <f t="shared" si="128"/>
        <v>6373.374141796201</v>
      </c>
      <c r="AL143">
        <v>1</v>
      </c>
      <c r="AM143">
        <f t="shared" si="129"/>
        <v>13.914446855670901</v>
      </c>
      <c r="AN143">
        <f t="shared" si="143"/>
        <v>548.178263752455</v>
      </c>
      <c r="AO143">
        <f t="shared" si="144"/>
        <v>-1254.2231766212806</v>
      </c>
      <c r="AQ143">
        <f t="shared" si="130"/>
        <v>0.84160915670762493</v>
      </c>
      <c r="AR143">
        <f t="shared" si="131"/>
        <v>-91.735398081131123</v>
      </c>
      <c r="AT143">
        <f t="shared" si="104"/>
        <v>-132892.48850145581</v>
      </c>
      <c r="AU143">
        <f t="shared" si="105"/>
        <v>-1181908.0251216739</v>
      </c>
      <c r="AV143">
        <f t="shared" si="145"/>
        <v>-1.682764994433438</v>
      </c>
      <c r="AW143">
        <f t="shared" si="146"/>
        <v>-99657.762333887964</v>
      </c>
      <c r="AX143">
        <f t="shared" si="147"/>
        <v>-59240.270865478364</v>
      </c>
      <c r="AY143">
        <f t="shared" si="155"/>
        <v>-2.6052735640819842</v>
      </c>
      <c r="BA143">
        <f t="shared" si="132"/>
        <v>10.25875572281414</v>
      </c>
      <c r="BB143">
        <f t="shared" si="148"/>
        <v>20.221893774023219</v>
      </c>
      <c r="BC143">
        <f t="shared" si="149"/>
        <v>0.92250856964854622</v>
      </c>
      <c r="BD143">
        <f t="shared" si="133"/>
        <v>-127.14415233409133</v>
      </c>
      <c r="BF143">
        <f t="shared" si="134"/>
        <v>0.2533521780199553</v>
      </c>
      <c r="BG143">
        <f t="shared" si="135"/>
        <v>-122.65915875715203</v>
      </c>
      <c r="BH143">
        <f t="shared" si="150"/>
        <v>57.340841242847972</v>
      </c>
      <c r="BI143">
        <f t="shared" si="151"/>
        <v>57.340841242847972</v>
      </c>
      <c r="BJ143">
        <f t="shared" si="136"/>
        <v>0</v>
      </c>
      <c r="BK143">
        <f t="shared" si="152"/>
        <v>0</v>
      </c>
      <c r="BM143">
        <f t="shared" si="153"/>
        <v>-19.968541596003266</v>
      </c>
      <c r="BN143">
        <f t="shared" si="137"/>
        <v>-175.51500642306073</v>
      </c>
      <c r="BQ143" s="56">
        <f t="shared" si="154"/>
        <v>37.123854574308353</v>
      </c>
      <c r="BR143" s="59"/>
      <c r="BS143" s="59"/>
      <c r="BT143" s="59">
        <v>2137.962</v>
      </c>
      <c r="BU143" s="59">
        <v>8.68736</v>
      </c>
      <c r="BV143" s="59">
        <v>-254.34</v>
      </c>
      <c r="BW143" s="61"/>
      <c r="BY143" s="59"/>
      <c r="BZ143" s="59"/>
      <c r="CA143" s="59"/>
      <c r="CC143" s="59"/>
    </row>
    <row r="144" spans="1:81" x14ac:dyDescent="0.25">
      <c r="A144">
        <f t="shared" si="106"/>
        <v>55000</v>
      </c>
      <c r="B144">
        <f t="shared" si="138"/>
        <v>55</v>
      </c>
      <c r="C144">
        <f t="shared" si="107"/>
        <v>1.0010876434316653</v>
      </c>
      <c r="D144">
        <f t="shared" si="108"/>
        <v>4.6618848953772551E-2</v>
      </c>
      <c r="F144">
        <f t="shared" si="109"/>
        <v>6.5619969251575839E-3</v>
      </c>
      <c r="G144">
        <f t="shared" si="110"/>
        <v>3.1786863449358847E-2</v>
      </c>
      <c r="H144">
        <f t="shared" si="111"/>
        <v>-3.1098057865506412</v>
      </c>
      <c r="J144">
        <f t="shared" si="112"/>
        <v>15</v>
      </c>
      <c r="M144">
        <f t="shared" si="113"/>
        <v>4.8539422996192717E-2</v>
      </c>
      <c r="N144">
        <f t="shared" si="114"/>
        <v>-1.5707963250000001</v>
      </c>
      <c r="O144">
        <f t="shared" si="115"/>
        <v>14.858863852630302</v>
      </c>
      <c r="P144">
        <f t="shared" si="116"/>
        <v>1.5034455231259443</v>
      </c>
      <c r="Q144">
        <f t="shared" si="117"/>
        <v>14.077664503951578</v>
      </c>
      <c r="R144">
        <f t="shared" si="118"/>
        <v>1.4997019418803834</v>
      </c>
      <c r="S144">
        <f t="shared" si="119"/>
        <v>0.94168764637084468</v>
      </c>
      <c r="T144">
        <f t="shared" si="120"/>
        <v>-0.34318524610416329</v>
      </c>
      <c r="U144">
        <f t="shared" si="121"/>
        <v>0.99856049559628002</v>
      </c>
      <c r="V144">
        <f t="shared" si="122"/>
        <v>-5.3662834410969848E-2</v>
      </c>
      <c r="X144">
        <f t="shared" si="139"/>
        <v>-0.53017079678704326</v>
      </c>
      <c r="Y144">
        <f t="shared" si="123"/>
        <v>-116.17772853492677</v>
      </c>
      <c r="Z144">
        <f t="shared" si="140"/>
        <v>63.822271465073229</v>
      </c>
      <c r="AC144">
        <v>1</v>
      </c>
      <c r="AD144">
        <f t="shared" si="124"/>
        <v>14.825175715350001</v>
      </c>
      <c r="AE144">
        <f t="shared" si="125"/>
        <v>-6.1478555242238712E-5</v>
      </c>
      <c r="AF144">
        <f t="shared" si="126"/>
        <v>1.1445450342479999E-3</v>
      </c>
      <c r="AG144">
        <f t="shared" si="141"/>
        <v>12868.838107424857</v>
      </c>
      <c r="AH144">
        <f t="shared" si="142"/>
        <v>-1564.951592898736</v>
      </c>
      <c r="AJ144">
        <f t="shared" si="127"/>
        <v>18000</v>
      </c>
      <c r="AK144">
        <f t="shared" si="128"/>
        <v>6431.8454641980006</v>
      </c>
      <c r="AL144">
        <v>1</v>
      </c>
      <c r="AM144">
        <f t="shared" si="129"/>
        <v>14.042102331411</v>
      </c>
      <c r="AN144">
        <f t="shared" si="143"/>
        <v>546.55506886851686</v>
      </c>
      <c r="AO144">
        <f t="shared" si="144"/>
        <v>-1242.936742605101</v>
      </c>
      <c r="AQ144">
        <f t="shared" si="130"/>
        <v>0.82637798529047191</v>
      </c>
      <c r="AR144">
        <f t="shared" si="131"/>
        <v>-90.901578381951907</v>
      </c>
      <c r="AT144">
        <f t="shared" si="104"/>
        <v>-131622.04537760196</v>
      </c>
      <c r="AU144">
        <f t="shared" si="105"/>
        <v>-1171090.9374511472</v>
      </c>
      <c r="AV144">
        <f t="shared" si="145"/>
        <v>-1.682719306209759</v>
      </c>
      <c r="AW144">
        <f t="shared" si="146"/>
        <v>-97598.406832225111</v>
      </c>
      <c r="AX144">
        <f t="shared" si="147"/>
        <v>-58549.484062780059</v>
      </c>
      <c r="AY144">
        <f t="shared" si="155"/>
        <v>-2.601245180544304</v>
      </c>
      <c r="BA144">
        <f t="shared" si="132"/>
        <v>10.354355047564054</v>
      </c>
      <c r="BB144">
        <f t="shared" si="148"/>
        <v>20.302461054435383</v>
      </c>
      <c r="BC144">
        <f t="shared" si="149"/>
        <v>0.91852587433454502</v>
      </c>
      <c r="BD144">
        <f t="shared" si="133"/>
        <v>-127.37234396693088</v>
      </c>
      <c r="BF144">
        <f t="shared" si="134"/>
        <v>0.1744487034568247</v>
      </c>
      <c r="BG144">
        <f t="shared" si="135"/>
        <v>-122.88002755138169</v>
      </c>
      <c r="BH144">
        <f t="shared" si="150"/>
        <v>57.119972448618313</v>
      </c>
      <c r="BI144">
        <f t="shared" si="151"/>
        <v>57.119972448618313</v>
      </c>
      <c r="BJ144">
        <f t="shared" si="136"/>
        <v>0</v>
      </c>
      <c r="BK144">
        <f t="shared" si="152"/>
        <v>0</v>
      </c>
      <c r="BM144">
        <f t="shared" si="153"/>
        <v>-20.128012350978558</v>
      </c>
      <c r="BN144">
        <f t="shared" si="137"/>
        <v>-175.5076835844508</v>
      </c>
      <c r="BQ144" s="56">
        <f t="shared" si="154"/>
        <v>37.204421854720515</v>
      </c>
      <c r="BR144" s="59"/>
      <c r="BS144" s="59"/>
      <c r="BT144" s="59">
        <v>2187.7620000000002</v>
      </c>
      <c r="BU144" s="59">
        <v>8.5308799999999998</v>
      </c>
      <c r="BV144" s="59">
        <v>-253.785</v>
      </c>
      <c r="BW144" s="61"/>
      <c r="BY144" s="59"/>
      <c r="BZ144" s="59"/>
      <c r="CA144" s="59"/>
      <c r="CC144" s="59"/>
    </row>
    <row r="145" spans="1:81" x14ac:dyDescent="0.25">
      <c r="A145">
        <f t="shared" si="106"/>
        <v>55500</v>
      </c>
      <c r="B145">
        <f t="shared" si="138"/>
        <v>55.5</v>
      </c>
      <c r="C145">
        <f t="shared" si="107"/>
        <v>1.0011074976663898</v>
      </c>
      <c r="D145">
        <f t="shared" si="108"/>
        <v>4.7042034512416037E-2</v>
      </c>
      <c r="F145">
        <f t="shared" si="109"/>
        <v>6.4435778231754764E-3</v>
      </c>
      <c r="G145">
        <f t="shared" si="110"/>
        <v>3.1496891699518789E-2</v>
      </c>
      <c r="H145">
        <f t="shared" si="111"/>
        <v>-3.1100957583004814</v>
      </c>
      <c r="J145">
        <f t="shared" si="112"/>
        <v>15</v>
      </c>
      <c r="M145">
        <f t="shared" si="113"/>
        <v>4.8102130897127927E-2</v>
      </c>
      <c r="N145">
        <f t="shared" si="114"/>
        <v>-1.5707963250000001</v>
      </c>
      <c r="O145">
        <f t="shared" si="115"/>
        <v>14.99333535943031</v>
      </c>
      <c r="P145">
        <f t="shared" si="116"/>
        <v>1.5040504784906779</v>
      </c>
      <c r="Q145">
        <f t="shared" si="117"/>
        <v>14.2050003982161</v>
      </c>
      <c r="R145">
        <f t="shared" si="118"/>
        <v>1.5003403047476724</v>
      </c>
      <c r="S145">
        <f t="shared" si="119"/>
        <v>0.94071545721636107</v>
      </c>
      <c r="T145">
        <f t="shared" si="120"/>
        <v>-0.34606288412905878</v>
      </c>
      <c r="U145">
        <f t="shared" si="121"/>
        <v>0.99853426159893932</v>
      </c>
      <c r="V145">
        <f t="shared" si="122"/>
        <v>-5.4149729563951324E-2</v>
      </c>
      <c r="X145">
        <f t="shared" si="139"/>
        <v>-0.61951753353423911</v>
      </c>
      <c r="Y145">
        <f t="shared" si="123"/>
        <v>-116.29163260987723</v>
      </c>
      <c r="Z145">
        <f t="shared" si="140"/>
        <v>63.708367390122774</v>
      </c>
      <c r="AC145">
        <v>1</v>
      </c>
      <c r="AD145">
        <f t="shared" si="124"/>
        <v>14.959950040035</v>
      </c>
      <c r="AE145">
        <f t="shared" si="125"/>
        <v>-6.2601428028068032E-5</v>
      </c>
      <c r="AF145">
        <f t="shared" si="126"/>
        <v>1.1549499891048E-3</v>
      </c>
      <c r="AG145">
        <f t="shared" si="141"/>
        <v>12868.161940820071</v>
      </c>
      <c r="AH145">
        <f t="shared" si="142"/>
        <v>-1563.3277030386944</v>
      </c>
      <c r="AJ145">
        <f t="shared" si="127"/>
        <v>18000</v>
      </c>
      <c r="AK145">
        <f t="shared" si="128"/>
        <v>6490.3167865997993</v>
      </c>
      <c r="AL145">
        <v>1</v>
      </c>
      <c r="AM145">
        <f t="shared" si="129"/>
        <v>14.1697578071511</v>
      </c>
      <c r="AN145">
        <f t="shared" si="143"/>
        <v>544.97525630604173</v>
      </c>
      <c r="AO145">
        <f t="shared" si="144"/>
        <v>-1231.8506061469075</v>
      </c>
      <c r="AQ145">
        <f t="shared" si="130"/>
        <v>0.81155656549261479</v>
      </c>
      <c r="AR145">
        <f t="shared" si="131"/>
        <v>-90.082778769680246</v>
      </c>
      <c r="AT145">
        <f t="shared" si="104"/>
        <v>-130385.66230845237</v>
      </c>
      <c r="AU145">
        <f t="shared" si="105"/>
        <v>-1160468.5141487313</v>
      </c>
      <c r="AV145">
        <f t="shared" si="145"/>
        <v>-1.6826831393726496</v>
      </c>
      <c r="AW145">
        <f t="shared" si="146"/>
        <v>-95594.062422863717</v>
      </c>
      <c r="AX145">
        <f t="shared" si="147"/>
        <v>-57875.669122475272</v>
      </c>
      <c r="AY145">
        <f t="shared" si="155"/>
        <v>-2.5971888757161468</v>
      </c>
      <c r="BA145">
        <f t="shared" si="132"/>
        <v>10.449948906414601</v>
      </c>
      <c r="BB145">
        <f t="shared" si="148"/>
        <v>20.382283340584625</v>
      </c>
      <c r="BC145">
        <f t="shared" si="149"/>
        <v>0.91450573634349719</v>
      </c>
      <c r="BD145">
        <f t="shared" si="133"/>
        <v>-127.60268090714132</v>
      </c>
      <c r="BF145">
        <f t="shared" si="134"/>
        <v>9.6264364005484632E-2</v>
      </c>
      <c r="BG145">
        <f t="shared" si="135"/>
        <v>-123.10273190256613</v>
      </c>
      <c r="BH145">
        <f t="shared" si="150"/>
        <v>56.897268097433866</v>
      </c>
      <c r="BI145">
        <f t="shared" si="151"/>
        <v>56.897268097433866</v>
      </c>
      <c r="BJ145">
        <f t="shared" si="136"/>
        <v>0</v>
      </c>
      <c r="BK145">
        <f t="shared" si="152"/>
        <v>0</v>
      </c>
      <c r="BM145">
        <f t="shared" si="153"/>
        <v>-20.28601897657914</v>
      </c>
      <c r="BN145">
        <f t="shared" si="137"/>
        <v>-175.5000509954248</v>
      </c>
      <c r="BQ145" s="56">
        <f t="shared" si="154"/>
        <v>37.28424414086976</v>
      </c>
      <c r="BR145" s="59"/>
      <c r="BS145" s="59"/>
      <c r="BT145" s="59">
        <v>2238.721</v>
      </c>
      <c r="BU145" s="59">
        <v>8.3496900000000007</v>
      </c>
      <c r="BV145" s="59">
        <v>-253.78300000000002</v>
      </c>
      <c r="BW145" s="61"/>
      <c r="BY145" s="59"/>
      <c r="BZ145" s="59"/>
      <c r="CA145" s="59"/>
      <c r="CC145" s="59"/>
    </row>
    <row r="146" spans="1:81" x14ac:dyDescent="0.25">
      <c r="A146">
        <f t="shared" si="106"/>
        <v>56000</v>
      </c>
      <c r="B146">
        <f t="shared" si="138"/>
        <v>56</v>
      </c>
      <c r="C146">
        <f t="shared" si="107"/>
        <v>1.001127531178339</v>
      </c>
      <c r="D146">
        <f t="shared" si="108"/>
        <v>4.7465203210151352E-2</v>
      </c>
      <c r="F146">
        <f t="shared" si="109"/>
        <v>6.3283417882803797E-3</v>
      </c>
      <c r="G146">
        <f t="shared" si="110"/>
        <v>3.1212193994915257E-2</v>
      </c>
      <c r="H146">
        <f t="shared" si="111"/>
        <v>-3.1103804560050849</v>
      </c>
      <c r="J146">
        <f t="shared" si="112"/>
        <v>15</v>
      </c>
      <c r="M146">
        <f t="shared" si="113"/>
        <v>4.7672647585546422E-2</v>
      </c>
      <c r="N146">
        <f t="shared" si="114"/>
        <v>-1.5707963250000001</v>
      </c>
      <c r="O146">
        <f t="shared" si="115"/>
        <v>15.127812255804592</v>
      </c>
      <c r="P146">
        <f t="shared" si="116"/>
        <v>1.5046446787114485</v>
      </c>
      <c r="Q146">
        <f t="shared" si="117"/>
        <v>14.332341978259997</v>
      </c>
      <c r="R146">
        <f t="shared" si="118"/>
        <v>1.5009673242724375</v>
      </c>
      <c r="S146">
        <f t="shared" si="119"/>
        <v>0.93973751566734343</v>
      </c>
      <c r="T146">
        <f t="shared" si="120"/>
        <v>-0.34893456286827235</v>
      </c>
      <c r="U146">
        <f t="shared" si="121"/>
        <v>0.99850779228554365</v>
      </c>
      <c r="V146">
        <f t="shared" si="122"/>
        <v>-5.4636599018951869E-2</v>
      </c>
      <c r="X146">
        <f t="shared" si="139"/>
        <v>-0.70817651703931961</v>
      </c>
      <c r="Y146">
        <f t="shared" si="123"/>
        <v>-116.4061587060591</v>
      </c>
      <c r="Z146">
        <f t="shared" si="140"/>
        <v>63.593841293940898</v>
      </c>
      <c r="AC146">
        <v>1</v>
      </c>
      <c r="AD146">
        <f t="shared" si="124"/>
        <v>15.094724364720001</v>
      </c>
      <c r="AE146">
        <f t="shared" si="125"/>
        <v>-6.373446255856549E-5</v>
      </c>
      <c r="AF146">
        <f t="shared" si="126"/>
        <v>1.1653549439615998E-3</v>
      </c>
      <c r="AG146">
        <f t="shared" si="141"/>
        <v>12867.479727079701</v>
      </c>
      <c r="AH146">
        <f t="shared" si="142"/>
        <v>-1561.8433802677005</v>
      </c>
      <c r="AJ146">
        <f t="shared" si="127"/>
        <v>18000</v>
      </c>
      <c r="AK146">
        <f t="shared" si="128"/>
        <v>6548.7881090015999</v>
      </c>
      <c r="AL146">
        <v>1</v>
      </c>
      <c r="AM146">
        <f t="shared" si="129"/>
        <v>14.297413282891199</v>
      </c>
      <c r="AN146">
        <f t="shared" si="143"/>
        <v>543.43729627166977</v>
      </c>
      <c r="AO146">
        <f t="shared" si="144"/>
        <v>-1220.9595091314513</v>
      </c>
      <c r="AQ146">
        <f t="shared" si="130"/>
        <v>0.79713033080908724</v>
      </c>
      <c r="AR146">
        <f t="shared" si="131"/>
        <v>-89.278597050617776</v>
      </c>
      <c r="AT146">
        <f t="shared" si="104"/>
        <v>-129182.12743156856</v>
      </c>
      <c r="AU146">
        <f t="shared" si="105"/>
        <v>-1150035.5303413265</v>
      </c>
      <c r="AV146">
        <f t="shared" si="145"/>
        <v>-1.6826562397174598</v>
      </c>
      <c r="AW146">
        <f t="shared" si="146"/>
        <v>-93642.791897226169</v>
      </c>
      <c r="AX146">
        <f t="shared" si="147"/>
        <v>-57218.217629249761</v>
      </c>
      <c r="AY146">
        <f t="shared" si="155"/>
        <v>-2.5931049337972851</v>
      </c>
      <c r="BA146">
        <f t="shared" si="132"/>
        <v>10.545533227713117</v>
      </c>
      <c r="BB146">
        <f t="shared" si="148"/>
        <v>20.461370888714502</v>
      </c>
      <c r="BC146">
        <f t="shared" si="149"/>
        <v>0.91044869407982532</v>
      </c>
      <c r="BD146">
        <f t="shared" si="133"/>
        <v>-127.83513230642154</v>
      </c>
      <c r="BF146">
        <f t="shared" si="134"/>
        <v>1.8782703919359406E-2</v>
      </c>
      <c r="BG146">
        <f t="shared" si="135"/>
        <v>-123.32724949834584</v>
      </c>
      <c r="BH146">
        <f t="shared" si="150"/>
        <v>56.672750501654164</v>
      </c>
      <c r="BI146">
        <f t="shared" si="151"/>
        <v>56.672750501654164</v>
      </c>
      <c r="BJ146">
        <f t="shared" si="136"/>
        <v>56000</v>
      </c>
      <c r="BK146">
        <f t="shared" si="152"/>
        <v>56.672750501654164</v>
      </c>
      <c r="BM146">
        <f t="shared" si="153"/>
        <v>-20.442588184795142</v>
      </c>
      <c r="BN146">
        <f t="shared" si="137"/>
        <v>-175.49211719192428</v>
      </c>
      <c r="BQ146" s="56">
        <f t="shared" si="154"/>
        <v>37.363331688999637</v>
      </c>
      <c r="BR146" s="59"/>
      <c r="BS146" s="59"/>
      <c r="BT146" s="59">
        <v>2290.8679999999999</v>
      </c>
      <c r="BU146" s="59">
        <v>8.2818299999999994</v>
      </c>
      <c r="BV146" s="59">
        <v>-253.62</v>
      </c>
      <c r="BW146" s="61"/>
      <c r="BY146" s="59"/>
      <c r="BZ146" s="59"/>
      <c r="CA146" s="59"/>
      <c r="CC146" s="59"/>
    </row>
    <row r="147" spans="1:81" x14ac:dyDescent="0.25">
      <c r="A147">
        <f t="shared" si="106"/>
        <v>56500</v>
      </c>
      <c r="B147">
        <f t="shared" si="138"/>
        <v>56.5</v>
      </c>
      <c r="C147">
        <f t="shared" si="107"/>
        <v>1.0011477439567502</v>
      </c>
      <c r="D147">
        <f t="shared" si="108"/>
        <v>4.7888354896440152E-2</v>
      </c>
      <c r="F147">
        <f t="shared" si="109"/>
        <v>6.2161755383113798E-3</v>
      </c>
      <c r="G147">
        <f t="shared" si="110"/>
        <v>3.0932626931999021E-2</v>
      </c>
      <c r="H147">
        <f t="shared" si="111"/>
        <v>-3.110660023068001</v>
      </c>
      <c r="J147">
        <f t="shared" si="112"/>
        <v>15</v>
      </c>
      <c r="M147">
        <f t="shared" si="113"/>
        <v>4.7250765748506188E-2</v>
      </c>
      <c r="N147">
        <f t="shared" si="114"/>
        <v>-1.5707963250000001</v>
      </c>
      <c r="O147">
        <f t="shared" si="115"/>
        <v>15.262294399289665</v>
      </c>
      <c r="P147">
        <f t="shared" si="116"/>
        <v>1.505228407666563</v>
      </c>
      <c r="Q147">
        <f t="shared" si="117"/>
        <v>14.45968909386508</v>
      </c>
      <c r="R147">
        <f t="shared" si="118"/>
        <v>1.5015832996589606</v>
      </c>
      <c r="S147">
        <f t="shared" si="119"/>
        <v>0.93875388795665082</v>
      </c>
      <c r="T147">
        <f t="shared" si="120"/>
        <v>-0.351800253598964</v>
      </c>
      <c r="U147">
        <f t="shared" si="121"/>
        <v>0.99848108771245014</v>
      </c>
      <c r="V147">
        <f t="shared" si="122"/>
        <v>-5.5123442547207413E-2</v>
      </c>
      <c r="X147">
        <f t="shared" si="139"/>
        <v>-0.79616146494956919</v>
      </c>
      <c r="Y147">
        <f t="shared" si="123"/>
        <v>-116.52127998153981</v>
      </c>
      <c r="Z147">
        <f t="shared" si="140"/>
        <v>63.478720018460194</v>
      </c>
      <c r="AC147">
        <v>1</v>
      </c>
      <c r="AD147">
        <f t="shared" si="124"/>
        <v>15.229498689405</v>
      </c>
      <c r="AE147">
        <f t="shared" si="125"/>
        <v>-6.4877658833731097E-5</v>
      </c>
      <c r="AF147">
        <f t="shared" si="126"/>
        <v>1.1757598988183999E-3</v>
      </c>
      <c r="AG147">
        <f t="shared" si="141"/>
        <v>12866.791468138548</v>
      </c>
      <c r="AH147">
        <f t="shared" si="142"/>
        <v>-1560.494884200878</v>
      </c>
      <c r="AJ147">
        <f t="shared" si="127"/>
        <v>18000</v>
      </c>
      <c r="AK147">
        <f t="shared" si="128"/>
        <v>6607.2594314034004</v>
      </c>
      <c r="AL147">
        <v>1</v>
      </c>
      <c r="AM147">
        <f t="shared" si="129"/>
        <v>14.4250687586313</v>
      </c>
      <c r="AN147">
        <f t="shared" si="143"/>
        <v>541.93972570639824</v>
      </c>
      <c r="AO147">
        <f t="shared" si="144"/>
        <v>-1210.2583749451799</v>
      </c>
      <c r="AQ147">
        <f t="shared" si="130"/>
        <v>0.78308535630383713</v>
      </c>
      <c r="AR147">
        <f t="shared" si="131"/>
        <v>-88.488645262333591</v>
      </c>
      <c r="AT147">
        <f t="shared" si="104"/>
        <v>-128010.28226042338</v>
      </c>
      <c r="AU147">
        <f t="shared" si="105"/>
        <v>-1139786.9465809371</v>
      </c>
      <c r="AV147">
        <f t="shared" si="145"/>
        <v>-1.68263836195418</v>
      </c>
      <c r="AW147">
        <f t="shared" si="146"/>
        <v>-91742.742427574121</v>
      </c>
      <c r="AX147">
        <f t="shared" si="147"/>
        <v>-56576.549351838796</v>
      </c>
      <c r="AY147">
        <f t="shared" si="155"/>
        <v>-2.5889936293318012</v>
      </c>
      <c r="BA147">
        <f t="shared" si="132"/>
        <v>10.641103841129379</v>
      </c>
      <c r="BB147">
        <f t="shared" si="148"/>
        <v>20.539733625432405</v>
      </c>
      <c r="BC147">
        <f t="shared" si="149"/>
        <v>0.90635526737762118</v>
      </c>
      <c r="BD147">
        <f t="shared" si="133"/>
        <v>-128.069668380472</v>
      </c>
      <c r="BF147">
        <f t="shared" si="134"/>
        <v>-5.8012332989484862E-2</v>
      </c>
      <c r="BG147">
        <f t="shared" si="135"/>
        <v>-123.55355877946464</v>
      </c>
      <c r="BH147">
        <f t="shared" si="150"/>
        <v>56.446441220535363</v>
      </c>
      <c r="BI147">
        <f t="shared" si="151"/>
        <v>56.446441220535363</v>
      </c>
      <c r="BJ147">
        <f t="shared" si="136"/>
        <v>0</v>
      </c>
      <c r="BK147">
        <f t="shared" si="152"/>
        <v>0</v>
      </c>
      <c r="BM147">
        <f t="shared" si="153"/>
        <v>-20.597745958421889</v>
      </c>
      <c r="BN147">
        <f t="shared" si="137"/>
        <v>-175.48389039899266</v>
      </c>
      <c r="BQ147" s="56">
        <f t="shared" si="154"/>
        <v>37.441694425717543</v>
      </c>
      <c r="BR147" s="59"/>
      <c r="BS147" s="59"/>
      <c r="BT147" s="59">
        <v>2344.2289999999998</v>
      </c>
      <c r="BU147" s="59">
        <v>8.0662299999999991</v>
      </c>
      <c r="BV147" s="59">
        <v>-253.17099999999999</v>
      </c>
      <c r="BW147" s="61"/>
      <c r="BY147" s="59"/>
      <c r="BZ147" s="59"/>
      <c r="CA147" s="59"/>
      <c r="CC147" s="59"/>
    </row>
    <row r="148" spans="1:81" x14ac:dyDescent="0.25">
      <c r="A148">
        <f t="shared" si="106"/>
        <v>57000</v>
      </c>
      <c r="B148">
        <f t="shared" si="138"/>
        <v>57</v>
      </c>
      <c r="C148">
        <f t="shared" si="107"/>
        <v>1.001168135990766</v>
      </c>
      <c r="D148">
        <f t="shared" si="108"/>
        <v>4.8311489420780576E-2</v>
      </c>
      <c r="F148">
        <f t="shared" si="109"/>
        <v>6.1069707954213874E-3</v>
      </c>
      <c r="G148">
        <f t="shared" si="110"/>
        <v>3.0658052287086159E-2</v>
      </c>
      <c r="H148">
        <f t="shared" si="111"/>
        <v>-3.1109345977129141</v>
      </c>
      <c r="J148">
        <f t="shared" si="112"/>
        <v>15</v>
      </c>
      <c r="M148">
        <f t="shared" si="113"/>
        <v>4.68362853472035E-2</v>
      </c>
      <c r="N148">
        <f t="shared" si="114"/>
        <v>-1.5707963250000001</v>
      </c>
      <c r="O148">
        <f t="shared" si="115"/>
        <v>15.396781652393926</v>
      </c>
      <c r="P148">
        <f t="shared" si="116"/>
        <v>1.5058019393450164</v>
      </c>
      <c r="Q148">
        <f t="shared" si="117"/>
        <v>14.587041600052446</v>
      </c>
      <c r="R148">
        <f t="shared" si="118"/>
        <v>1.5021885196968936</v>
      </c>
      <c r="S148">
        <f t="shared" si="119"/>
        <v>0.93776464031016882</v>
      </c>
      <c r="T148">
        <f t="shared" si="120"/>
        <v>-0.35465992811134228</v>
      </c>
      <c r="U148">
        <f t="shared" si="121"/>
        <v>0.99845414793650922</v>
      </c>
      <c r="V148">
        <f t="shared" si="122"/>
        <v>-5.5610259920027397E-2</v>
      </c>
      <c r="X148">
        <f t="shared" si="139"/>
        <v>-0.88348569239650965</v>
      </c>
      <c r="Y148">
        <f t="shared" si="123"/>
        <v>-116.63697049032972</v>
      </c>
      <c r="Z148">
        <f t="shared" si="140"/>
        <v>63.363029509670284</v>
      </c>
      <c r="AC148">
        <v>1</v>
      </c>
      <c r="AD148">
        <f t="shared" si="124"/>
        <v>15.364273014090001</v>
      </c>
      <c r="AE148">
        <f t="shared" si="125"/>
        <v>-6.6031016853564827E-5</v>
      </c>
      <c r="AF148">
        <f t="shared" si="126"/>
        <v>1.1861648536751999E-3</v>
      </c>
      <c r="AG148">
        <f t="shared" si="141"/>
        <v>12866.097165948258</v>
      </c>
      <c r="AH148">
        <f t="shared" si="142"/>
        <v>-1559.278605392557</v>
      </c>
      <c r="AJ148">
        <f t="shared" si="127"/>
        <v>18000</v>
      </c>
      <c r="AK148">
        <f t="shared" si="128"/>
        <v>6665.7307538052009</v>
      </c>
      <c r="AL148">
        <v>1</v>
      </c>
      <c r="AM148">
        <f t="shared" si="129"/>
        <v>14.552724234371402</v>
      </c>
      <c r="AN148">
        <f t="shared" si="143"/>
        <v>540.48114482794483</v>
      </c>
      <c r="AO148">
        <f t="shared" si="144"/>
        <v>-1199.7423007532316</v>
      </c>
      <c r="AQ148">
        <f t="shared" si="130"/>
        <v>0.76940832499807643</v>
      </c>
      <c r="AR148">
        <f t="shared" si="131"/>
        <v>-87.712549049780719</v>
      </c>
      <c r="AT148">
        <f t="shared" si="104"/>
        <v>-126869.01888805357</v>
      </c>
      <c r="AU148">
        <f t="shared" si="105"/>
        <v>-1129717.9006874617</v>
      </c>
      <c r="AV148">
        <f t="shared" si="145"/>
        <v>-1.6826292693203615</v>
      </c>
      <c r="AW148">
        <f t="shared" si="146"/>
        <v>-89892.141202696876</v>
      </c>
      <c r="AX148">
        <f t="shared" si="147"/>
        <v>-55950.110665549866</v>
      </c>
      <c r="AY148">
        <f t="shared" si="155"/>
        <v>-2.5848552277977053</v>
      </c>
      <c r="BA148">
        <f t="shared" si="132"/>
        <v>10.736656476634098</v>
      </c>
      <c r="BB148">
        <f t="shared" si="148"/>
        <v>20.617381158330264</v>
      </c>
      <c r="BC148">
        <f t="shared" si="149"/>
        <v>0.90222595847734377</v>
      </c>
      <c r="BD148">
        <f t="shared" si="133"/>
        <v>-128.30626035303402</v>
      </c>
      <c r="BF148">
        <f t="shared" si="134"/>
        <v>-0.13413641916923863</v>
      </c>
      <c r="BG148">
        <f t="shared" si="135"/>
        <v>-123.7816388979208</v>
      </c>
      <c r="BH148">
        <f t="shared" si="150"/>
        <v>56.2183611020792</v>
      </c>
      <c r="BI148">
        <f t="shared" si="151"/>
        <v>56.2183611020792</v>
      </c>
      <c r="BJ148">
        <f t="shared" si="136"/>
        <v>0</v>
      </c>
      <c r="BK148">
        <f t="shared" si="152"/>
        <v>0</v>
      </c>
      <c r="BM148">
        <f t="shared" si="153"/>
        <v>-20.751517577499499</v>
      </c>
      <c r="BN148">
        <f t="shared" si="137"/>
        <v>-175.47537854488678</v>
      </c>
      <c r="BQ148" s="56">
        <f t="shared" si="154"/>
        <v>37.519341958615399</v>
      </c>
      <c r="BR148" s="59"/>
      <c r="BS148" s="59"/>
      <c r="BT148" s="59">
        <v>2398.8330000000001</v>
      </c>
      <c r="BU148" s="59">
        <v>7.8140200000000002</v>
      </c>
      <c r="BV148" s="59">
        <v>-252.65800000000002</v>
      </c>
      <c r="BW148" s="61"/>
      <c r="BY148" s="59"/>
      <c r="BZ148" s="59"/>
      <c r="CA148" s="59"/>
      <c r="CC148" s="59"/>
    </row>
    <row r="149" spans="1:81" x14ac:dyDescent="0.25">
      <c r="A149">
        <f t="shared" si="106"/>
        <v>57500</v>
      </c>
      <c r="B149">
        <f t="shared" si="138"/>
        <v>57.5</v>
      </c>
      <c r="C149">
        <f t="shared" si="107"/>
        <v>1.0011887072694332</v>
      </c>
      <c r="D149">
        <f t="shared" si="108"/>
        <v>4.8734606632707518E-2</v>
      </c>
      <c r="F149">
        <f t="shared" si="109"/>
        <v>6.0006240226448794E-3</v>
      </c>
      <c r="G149">
        <f t="shared" si="110"/>
        <v>3.0388336783417652E-2</v>
      </c>
      <c r="H149">
        <f t="shared" si="111"/>
        <v>-3.1112043132165828</v>
      </c>
      <c r="J149">
        <f t="shared" si="112"/>
        <v>15</v>
      </c>
      <c r="M149">
        <f t="shared" si="113"/>
        <v>4.6429013300706083E-2</v>
      </c>
      <c r="N149">
        <f t="shared" si="114"/>
        <v>-1.5707963250000001</v>
      </c>
      <c r="O149">
        <f t="shared" si="115"/>
        <v>15.531273882382877</v>
      </c>
      <c r="P149">
        <f t="shared" si="116"/>
        <v>1.5063655382728112</v>
      </c>
      <c r="Q149">
        <f t="shared" si="117"/>
        <v>14.71439935685631</v>
      </c>
      <c r="R149">
        <f t="shared" si="118"/>
        <v>1.5027832632097831</v>
      </c>
      <c r="S149">
        <f t="shared" si="119"/>
        <v>0.93676983893705867</v>
      </c>
      <c r="T149">
        <f t="shared" si="120"/>
        <v>-0.35751355870752211</v>
      </c>
      <c r="U149">
        <f t="shared" si="121"/>
        <v>0.99842697301506345</v>
      </c>
      <c r="V149">
        <f t="shared" si="122"/>
        <v>-5.6097050908795423E-2</v>
      </c>
      <c r="X149">
        <f t="shared" si="139"/>
        <v>-0.97016212728621698</v>
      </c>
      <c r="Y149">
        <f t="shared" si="123"/>
        <v>-116.75320514553906</v>
      </c>
      <c r="Z149">
        <f t="shared" si="140"/>
        <v>63.246794854460944</v>
      </c>
      <c r="AC149">
        <v>1</v>
      </c>
      <c r="AD149">
        <f t="shared" si="124"/>
        <v>15.499047338775</v>
      </c>
      <c r="AE149">
        <f t="shared" si="125"/>
        <v>-6.7194536618066708E-5</v>
      </c>
      <c r="AF149">
        <f t="shared" si="126"/>
        <v>1.196569808532E-3</v>
      </c>
      <c r="AG149">
        <f t="shared" si="141"/>
        <v>12865.39682247728</v>
      </c>
      <c r="AH149">
        <f t="shared" si="142"/>
        <v>-1558.1910596435096</v>
      </c>
      <c r="AJ149">
        <f t="shared" si="127"/>
        <v>18000</v>
      </c>
      <c r="AK149">
        <f t="shared" si="128"/>
        <v>6724.2020762070006</v>
      </c>
      <c r="AL149">
        <v>1</v>
      </c>
      <c r="AM149">
        <f t="shared" si="129"/>
        <v>14.680379710111501</v>
      </c>
      <c r="AN149">
        <f t="shared" si="143"/>
        <v>539.06021387999704</v>
      </c>
      <c r="AO149">
        <f t="shared" si="144"/>
        <v>-1189.406550165274</v>
      </c>
      <c r="AQ149">
        <f t="shared" si="130"/>
        <v>0.75608649629517621</v>
      </c>
      <c r="AR149">
        <f t="shared" si="131"/>
        <v>-86.949947073945253</v>
      </c>
      <c r="AT149">
        <f t="shared" si="104"/>
        <v>-125757.27736014387</v>
      </c>
      <c r="AU149">
        <f t="shared" si="105"/>
        <v>-1119823.7000185472</v>
      </c>
      <c r="AV149">
        <f t="shared" si="145"/>
        <v>-1.6826287332139989</v>
      </c>
      <c r="AW149">
        <f t="shared" si="146"/>
        <v>-88089.291324212812</v>
      </c>
      <c r="AX149">
        <f t="shared" si="147"/>
        <v>-55338.373077329918</v>
      </c>
      <c r="AY149">
        <f t="shared" si="155"/>
        <v>-2.5806899861692405</v>
      </c>
      <c r="BA149">
        <f t="shared" si="132"/>
        <v>10.832186763534832</v>
      </c>
      <c r="BB149">
        <f t="shared" si="148"/>
        <v>20.694322786188735</v>
      </c>
      <c r="BC149">
        <f t="shared" si="149"/>
        <v>0.89806125295524164</v>
      </c>
      <c r="BD149">
        <f t="shared" si="133"/>
        <v>-128.54488040263797</v>
      </c>
      <c r="BF149">
        <f t="shared" si="134"/>
        <v>-0.209604858370427</v>
      </c>
      <c r="BG149">
        <f t="shared" si="135"/>
        <v>-124.01146967706138</v>
      </c>
      <c r="BH149">
        <f t="shared" si="150"/>
        <v>55.988530322938615</v>
      </c>
      <c r="BI149">
        <f t="shared" si="151"/>
        <v>55.988530322938615</v>
      </c>
      <c r="BJ149">
        <f t="shared" si="136"/>
        <v>0</v>
      </c>
      <c r="BK149">
        <f t="shared" si="152"/>
        <v>0</v>
      </c>
      <c r="BM149">
        <f t="shared" si="153"/>
        <v>-20.903927644559168</v>
      </c>
      <c r="BN149">
        <f t="shared" si="137"/>
        <v>-175.46658927442343</v>
      </c>
      <c r="BQ149" s="56">
        <f t="shared" si="154"/>
        <v>37.596283586473874</v>
      </c>
      <c r="BR149" s="59"/>
      <c r="BS149" s="59"/>
      <c r="BT149" s="59">
        <v>2454.7089999999998</v>
      </c>
      <c r="BU149" s="59">
        <v>7.6423899999999998</v>
      </c>
      <c r="BV149" s="59">
        <v>-251.97399999999999</v>
      </c>
      <c r="BW149" s="61"/>
      <c r="BY149" s="59"/>
      <c r="BZ149" s="59"/>
      <c r="CA149" s="59"/>
      <c r="CC149" s="59"/>
    </row>
    <row r="150" spans="1:81" x14ac:dyDescent="0.25">
      <c r="A150">
        <f t="shared" si="106"/>
        <v>58000</v>
      </c>
      <c r="B150">
        <f t="shared" si="138"/>
        <v>58</v>
      </c>
      <c r="C150">
        <f t="shared" si="107"/>
        <v>1.0012094577817034</v>
      </c>
      <c r="D150">
        <f t="shared" si="108"/>
        <v>4.9157706381793016E-2</v>
      </c>
      <c r="F150">
        <f t="shared" si="109"/>
        <v>5.8970361765314158E-3</v>
      </c>
      <c r="G150">
        <f t="shared" si="110"/>
        <v>3.0123351870734758E-2</v>
      </c>
      <c r="H150">
        <f t="shared" si="111"/>
        <v>-3.1114692981292653</v>
      </c>
      <c r="J150">
        <f t="shared" si="112"/>
        <v>15</v>
      </c>
      <c r="M150">
        <f t="shared" si="113"/>
        <v>4.6028763186044826E-2</v>
      </c>
      <c r="N150">
        <f t="shared" si="114"/>
        <v>-1.5707963250000001</v>
      </c>
      <c r="O150">
        <f t="shared" si="115"/>
        <v>15.665770961075335</v>
      </c>
      <c r="P150">
        <f t="shared" si="116"/>
        <v>1.50691945991744</v>
      </c>
      <c r="Q150">
        <f t="shared" si="117"/>
        <v>14.84176222910942</v>
      </c>
      <c r="R150">
        <f t="shared" si="118"/>
        <v>1.5033677994806482</v>
      </c>
      <c r="S150">
        <f t="shared" si="119"/>
        <v>0.93576955002012163</v>
      </c>
      <c r="T150">
        <f t="shared" si="120"/>
        <v>-0.36036111820029965</v>
      </c>
      <c r="U150">
        <f t="shared" si="121"/>
        <v>0.99839956300594757</v>
      </c>
      <c r="V150">
        <f t="shared" si="122"/>
        <v>-5.6583815284969897E-2</v>
      </c>
      <c r="X150">
        <f t="shared" si="139"/>
        <v>-1.056203324867937</v>
      </c>
      <c r="Y150">
        <f t="shared" si="123"/>
        <v>-116.8699596843778</v>
      </c>
      <c r="Z150">
        <f t="shared" si="140"/>
        <v>63.130040315622196</v>
      </c>
      <c r="AC150">
        <v>1</v>
      </c>
      <c r="AD150">
        <f t="shared" si="124"/>
        <v>15.633821663460001</v>
      </c>
      <c r="AE150">
        <f t="shared" si="125"/>
        <v>-6.8368218127236725E-5</v>
      </c>
      <c r="AF150">
        <f t="shared" si="126"/>
        <v>1.2069747633887999E-3</v>
      </c>
      <c r="AG150">
        <f t="shared" si="141"/>
        <v>12864.690439710874</v>
      </c>
      <c r="AH150">
        <f t="shared" si="142"/>
        <v>-1557.2288826026429</v>
      </c>
      <c r="AJ150">
        <f t="shared" si="127"/>
        <v>18000</v>
      </c>
      <c r="AK150">
        <f t="shared" si="128"/>
        <v>6782.6733986088011</v>
      </c>
      <c r="AL150">
        <v>1</v>
      </c>
      <c r="AM150">
        <f t="shared" si="129"/>
        <v>14.808035185851599</v>
      </c>
      <c r="AN150">
        <f t="shared" si="143"/>
        <v>537.67565007434098</v>
      </c>
      <c r="AO150">
        <f t="shared" si="144"/>
        <v>-1179.2465462676716</v>
      </c>
      <c r="AQ150">
        <f t="shared" si="130"/>
        <v>0.74310767630229624</v>
      </c>
      <c r="AR150">
        <f t="shared" si="131"/>
        <v>-86.200490451066358</v>
      </c>
      <c r="AT150">
        <f t="shared" ref="AT150:AT213" si="156">-AR150*AH150+AG150*AQ150</f>
        <v>-124674.04320591193</v>
      </c>
      <c r="AU150">
        <f t="shared" ref="AU150:AU213" si="157">AQ150*AH150+AG150*AR150</f>
        <v>-1110099.8141406437</v>
      </c>
      <c r="AV150">
        <f t="shared" si="145"/>
        <v>-1.6826365328451867</v>
      </c>
      <c r="AW150">
        <f t="shared" si="146"/>
        <v>-86332.56794588294</v>
      </c>
      <c r="AX150">
        <f t="shared" si="147"/>
        <v>-54740.831845831046</v>
      </c>
      <c r="AY150">
        <f t="shared" si="155"/>
        <v>-2.5764981534535059</v>
      </c>
      <c r="BA150">
        <f t="shared" si="132"/>
        <v>10.927690229570064</v>
      </c>
      <c r="BB150">
        <f t="shared" si="148"/>
        <v>20.770567508785817</v>
      </c>
      <c r="BC150">
        <f t="shared" si="149"/>
        <v>0.8938616206083192</v>
      </c>
      <c r="BD150">
        <f t="shared" si="133"/>
        <v>-128.78550161189821</v>
      </c>
      <c r="BF150">
        <f t="shared" si="134"/>
        <v>-0.28443259995467418</v>
      </c>
      <c r="BG150">
        <f t="shared" si="135"/>
        <v>-124.24303157350698</v>
      </c>
      <c r="BH150">
        <f t="shared" si="150"/>
        <v>55.756968426493017</v>
      </c>
      <c r="BI150">
        <f t="shared" si="151"/>
        <v>55.756968426493017</v>
      </c>
      <c r="BJ150">
        <f t="shared" si="136"/>
        <v>0</v>
      </c>
      <c r="BK150">
        <f t="shared" si="152"/>
        <v>0</v>
      </c>
      <c r="BM150">
        <f t="shared" si="153"/>
        <v>-21.055000108740494</v>
      </c>
      <c r="BN150">
        <f t="shared" si="137"/>
        <v>-175.45752996160877</v>
      </c>
      <c r="BQ150" s="56">
        <f t="shared" si="154"/>
        <v>37.672528309070955</v>
      </c>
      <c r="BR150" s="59"/>
      <c r="BS150" s="59"/>
      <c r="BT150" s="59">
        <v>2511.886</v>
      </c>
      <c r="BU150" s="59">
        <v>7.45716</v>
      </c>
      <c r="BV150" s="59">
        <v>-252.25200000000001</v>
      </c>
      <c r="BW150" s="61"/>
      <c r="BY150" s="59"/>
      <c r="BZ150" s="59"/>
      <c r="CA150" s="59"/>
      <c r="CC150" s="59"/>
    </row>
    <row r="151" spans="1:81" x14ac:dyDescent="0.25">
      <c r="A151">
        <f t="shared" si="106"/>
        <v>58500</v>
      </c>
      <c r="B151">
        <f t="shared" si="138"/>
        <v>58.5</v>
      </c>
      <c r="C151">
        <f t="shared" si="107"/>
        <v>1.0012303875164326</v>
      </c>
      <c r="D151">
        <f t="shared" si="108"/>
        <v>4.9580788517646517E-2</v>
      </c>
      <c r="F151">
        <f t="shared" si="109"/>
        <v>5.7961124747330063E-3</v>
      </c>
      <c r="G151">
        <f t="shared" si="110"/>
        <v>2.9862973516589227E-2</v>
      </c>
      <c r="H151">
        <f t="shared" si="111"/>
        <v>-3.111729676483411</v>
      </c>
      <c r="J151">
        <f t="shared" si="112"/>
        <v>15</v>
      </c>
      <c r="M151">
        <f t="shared" si="113"/>
        <v>4.563535495368546E-2</v>
      </c>
      <c r="N151">
        <f t="shared" si="114"/>
        <v>-1.5707963250000001</v>
      </c>
      <c r="O151">
        <f t="shared" si="115"/>
        <v>15.800272764650066</v>
      </c>
      <c r="P151">
        <f t="shared" si="116"/>
        <v>1.5074639510718273</v>
      </c>
      <c r="Q151">
        <f t="shared" si="117"/>
        <v>14.969130086239398</v>
      </c>
      <c r="R151">
        <f t="shared" si="118"/>
        <v>1.5039423886559709</v>
      </c>
      <c r="S151">
        <f t="shared" si="119"/>
        <v>0.9347638397062803</v>
      </c>
      <c r="T151">
        <f t="shared" si="120"/>
        <v>-0.3632025799118459</v>
      </c>
      <c r="U151">
        <f t="shared" si="121"/>
        <v>0.99837191796748836</v>
      </c>
      <c r="V151">
        <f t="shared" si="122"/>
        <v>-5.7070552820084657E-2</v>
      </c>
      <c r="X151">
        <f t="shared" si="139"/>
        <v>-1.1416214816217043</v>
      </c>
      <c r="Y151">
        <f t="shared" si="123"/>
        <v>-116.98721063489293</v>
      </c>
      <c r="Z151">
        <f t="shared" si="140"/>
        <v>63.012789365107068</v>
      </c>
      <c r="AC151">
        <v>1</v>
      </c>
      <c r="AD151">
        <f t="shared" si="124"/>
        <v>15.768595988145002</v>
      </c>
      <c r="AE151">
        <f t="shared" si="125"/>
        <v>-6.9552061381074852E-5</v>
      </c>
      <c r="AF151">
        <f t="shared" si="126"/>
        <v>1.2173797182456001E-3</v>
      </c>
      <c r="AG151">
        <f t="shared" si="141"/>
        <v>12863.978019651091</v>
      </c>
      <c r="AH151">
        <f t="shared" si="142"/>
        <v>-1556.3888246455253</v>
      </c>
      <c r="AJ151">
        <f t="shared" si="127"/>
        <v>18000</v>
      </c>
      <c r="AK151">
        <f t="shared" si="128"/>
        <v>6841.1447210105998</v>
      </c>
      <c r="AL151">
        <v>1</v>
      </c>
      <c r="AM151">
        <f t="shared" si="129"/>
        <v>14.9356906615917</v>
      </c>
      <c r="AN151">
        <f t="shared" si="143"/>
        <v>536.32622471292279</v>
      </c>
      <c r="AO151">
        <f t="shared" si="144"/>
        <v>-1169.2578650009327</v>
      </c>
      <c r="AQ151">
        <f t="shared" si="130"/>
        <v>0.73046018991964934</v>
      </c>
      <c r="AR151">
        <f t="shared" si="131"/>
        <v>-85.463842220598977</v>
      </c>
      <c r="AT151">
        <f t="shared" si="156"/>
        <v>-123618.34511605214</v>
      </c>
      <c r="AU151">
        <f t="shared" si="157"/>
        <v>-1100541.8678771534</v>
      </c>
      <c r="AV151">
        <f t="shared" si="145"/>
        <v>-1.6826524549054389</v>
      </c>
      <c r="AW151">
        <f t="shared" si="146"/>
        <v>-84620.414639656839</v>
      </c>
      <c r="AX151">
        <f t="shared" si="147"/>
        <v>-54157.004689546069</v>
      </c>
      <c r="AY151">
        <f t="shared" si="155"/>
        <v>-2.5722799712028941</v>
      </c>
      <c r="BA151">
        <f t="shared" si="132"/>
        <v>11.023162300062308</v>
      </c>
      <c r="BB151">
        <f t="shared" si="148"/>
        <v>20.846124036329421</v>
      </c>
      <c r="BC151">
        <f t="shared" si="149"/>
        <v>0.88962751629745518</v>
      </c>
      <c r="BD151">
        <f t="shared" si="133"/>
        <v>-129.02809791920606</v>
      </c>
      <c r="BF151">
        <f t="shared" si="134"/>
        <v>-0.3586342525106857</v>
      </c>
      <c r="BG151">
        <f t="shared" si="135"/>
        <v>-124.47630564080153</v>
      </c>
      <c r="BH151">
        <f t="shared" si="150"/>
        <v>55.523694359198473</v>
      </c>
      <c r="BI151">
        <f t="shared" si="151"/>
        <v>55.523694359198473</v>
      </c>
      <c r="BJ151">
        <f t="shared" si="136"/>
        <v>0</v>
      </c>
      <c r="BK151">
        <f t="shared" si="152"/>
        <v>0</v>
      </c>
      <c r="BM151">
        <f t="shared" si="153"/>
        <v>-21.204758288840107</v>
      </c>
      <c r="BN151">
        <f t="shared" si="137"/>
        <v>-175.44820772159548</v>
      </c>
      <c r="BQ151" s="56">
        <f t="shared" si="154"/>
        <v>37.748084836614559</v>
      </c>
      <c r="BR151" s="59"/>
      <c r="BS151" s="59"/>
      <c r="BT151" s="59">
        <v>2570.3960000000002</v>
      </c>
      <c r="BU151" s="59">
        <v>7.31271</v>
      </c>
      <c r="BV151" s="59">
        <v>-251.702</v>
      </c>
      <c r="BW151" s="61"/>
      <c r="BY151" s="59"/>
      <c r="BZ151" s="59"/>
      <c r="CA151" s="59"/>
      <c r="CC151" s="59"/>
    </row>
    <row r="152" spans="1:81" x14ac:dyDescent="0.25">
      <c r="A152">
        <f t="shared" si="106"/>
        <v>59000</v>
      </c>
      <c r="B152">
        <f t="shared" si="138"/>
        <v>59</v>
      </c>
      <c r="C152">
        <f t="shared" si="107"/>
        <v>1.0012514964623815</v>
      </c>
      <c r="D152">
        <f t="shared" si="108"/>
        <v>5.0003852889915212E-2</v>
      </c>
      <c r="F152">
        <f t="shared" si="109"/>
        <v>5.6977621775193086E-3</v>
      </c>
      <c r="G152">
        <f t="shared" si="110"/>
        <v>2.9607082008663053E-2</v>
      </c>
      <c r="H152">
        <f t="shared" si="111"/>
        <v>-3.1119855679913373</v>
      </c>
      <c r="J152">
        <f t="shared" si="112"/>
        <v>15</v>
      </c>
      <c r="M152">
        <f t="shared" si="113"/>
        <v>4.5248614657467795E-2</v>
      </c>
      <c r="N152">
        <f t="shared" si="114"/>
        <v>-1.5707963250000001</v>
      </c>
      <c r="O152">
        <f t="shared" si="115"/>
        <v>15.934779173462134</v>
      </c>
      <c r="P152">
        <f t="shared" si="116"/>
        <v>1.5079992502189319</v>
      </c>
      <c r="Q152">
        <f t="shared" si="117"/>
        <v>15.096502802075349</v>
      </c>
      <c r="R152">
        <f t="shared" si="118"/>
        <v>1.5045072821293577</v>
      </c>
      <c r="S152">
        <f t="shared" si="119"/>
        <v>0.93375277409717972</v>
      </c>
      <c r="T152">
        <f t="shared" si="120"/>
        <v>-0.36603791767232036</v>
      </c>
      <c r="U152">
        <f t="shared" si="121"/>
        <v>0.99834403795850413</v>
      </c>
      <c r="V152">
        <f t="shared" si="122"/>
        <v>-5.7557263285749602E-2</v>
      </c>
      <c r="X152">
        <f t="shared" si="139"/>
        <v>-1.2264284485031409</v>
      </c>
      <c r="Y152">
        <f t="shared" si="123"/>
        <v>-117.1049352843426</v>
      </c>
      <c r="Z152">
        <f t="shared" si="140"/>
        <v>62.895064715657398</v>
      </c>
      <c r="AC152">
        <v>1</v>
      </c>
      <c r="AD152">
        <f t="shared" si="124"/>
        <v>15.903370312830001</v>
      </c>
      <c r="AE152">
        <f t="shared" si="125"/>
        <v>-7.0746066379581143E-5</v>
      </c>
      <c r="AF152">
        <f t="shared" si="126"/>
        <v>1.2277846731024E-3</v>
      </c>
      <c r="AG152">
        <f t="shared" si="141"/>
        <v>12863.259564316757</v>
      </c>
      <c r="AH152">
        <f t="shared" si="142"/>
        <v>-1555.6677460133392</v>
      </c>
      <c r="AJ152">
        <f t="shared" si="127"/>
        <v>18000</v>
      </c>
      <c r="AK152">
        <f t="shared" si="128"/>
        <v>6899.6160434124004</v>
      </c>
      <c r="AL152">
        <v>1</v>
      </c>
      <c r="AM152">
        <f t="shared" si="129"/>
        <v>15.063346137331799</v>
      </c>
      <c r="AN152">
        <f t="shared" si="143"/>
        <v>535.01076047786148</v>
      </c>
      <c r="AO152">
        <f t="shared" si="144"/>
        <v>-1159.4362288627426</v>
      </c>
      <c r="AQ152">
        <f t="shared" si="130"/>
        <v>0.71813285457809695</v>
      </c>
      <c r="AR152">
        <f t="shared" si="131"/>
        <v>-84.739676840215438</v>
      </c>
      <c r="AT152">
        <f t="shared" si="156"/>
        <v>-122589.2527578149</v>
      </c>
      <c r="AU152">
        <f t="shared" si="157"/>
        <v>-1091145.6347112323</v>
      </c>
      <c r="AV152">
        <f t="shared" si="145"/>
        <v>-1.6826762932536403</v>
      </c>
      <c r="AW152">
        <f t="shared" si="146"/>
        <v>-82951.339973387585</v>
      </c>
      <c r="AX152">
        <f t="shared" si="147"/>
        <v>-53586.430576647428</v>
      </c>
      <c r="AY152">
        <f t="shared" si="155"/>
        <v>-2.5680356740047583</v>
      </c>
      <c r="BA152">
        <f t="shared" si="132"/>
        <v>11.118598297131307</v>
      </c>
      <c r="BB152">
        <f t="shared" si="148"/>
        <v>20.921000798532852</v>
      </c>
      <c r="BC152">
        <f t="shared" si="149"/>
        <v>0.88535938075111797</v>
      </c>
      <c r="BD152">
        <f t="shared" si="133"/>
        <v>-129.27264407268041</v>
      </c>
      <c r="BF152">
        <f t="shared" si="134"/>
        <v>-0.43222409681535295</v>
      </c>
      <c r="BG152">
        <f t="shared" si="135"/>
        <v>-124.71127349468897</v>
      </c>
      <c r="BH152">
        <f t="shared" si="150"/>
        <v>55.288726505311033</v>
      </c>
      <c r="BI152">
        <f t="shared" si="151"/>
        <v>55.288726505311033</v>
      </c>
      <c r="BJ152">
        <f t="shared" si="136"/>
        <v>0</v>
      </c>
      <c r="BK152">
        <f t="shared" si="152"/>
        <v>0</v>
      </c>
      <c r="BM152">
        <f t="shared" si="153"/>
        <v>-21.353224895348202</v>
      </c>
      <c r="BN152">
        <f t="shared" si="137"/>
        <v>-175.43862942200857</v>
      </c>
      <c r="BQ152" s="56">
        <f t="shared" si="154"/>
        <v>37.822961598817983</v>
      </c>
      <c r="BR152" s="59"/>
      <c r="BS152" s="59"/>
      <c r="BT152" s="59">
        <v>2630.268</v>
      </c>
      <c r="BU152" s="59">
        <v>7.13504</v>
      </c>
      <c r="BV152" s="59">
        <v>-251.40100000000001</v>
      </c>
      <c r="BW152" s="61"/>
      <c r="BY152" s="59"/>
      <c r="BZ152" s="59"/>
      <c r="CA152" s="59"/>
      <c r="CC152" s="59"/>
    </row>
    <row r="153" spans="1:81" x14ac:dyDescent="0.25">
      <c r="A153">
        <f t="shared" si="106"/>
        <v>59500</v>
      </c>
      <c r="B153">
        <f t="shared" si="138"/>
        <v>59.5</v>
      </c>
      <c r="C153">
        <f t="shared" si="107"/>
        <v>1.0012727846082159</v>
      </c>
      <c r="D153">
        <f t="shared" si="108"/>
        <v>5.042689934828435E-2</v>
      </c>
      <c r="F153">
        <f t="shared" si="109"/>
        <v>5.6018983822733346E-3</v>
      </c>
      <c r="G153">
        <f t="shared" si="110"/>
        <v>2.9355561767423159E-2</v>
      </c>
      <c r="H153">
        <f t="shared" si="111"/>
        <v>-3.1122370882325772</v>
      </c>
      <c r="J153">
        <f t="shared" si="112"/>
        <v>15</v>
      </c>
      <c r="M153">
        <f t="shared" si="113"/>
        <v>4.4868374198161344E-2</v>
      </c>
      <c r="N153">
        <f t="shared" si="114"/>
        <v>-1.5707963250000001</v>
      </c>
      <c r="O153">
        <f t="shared" si="115"/>
        <v>16.069290071868487</v>
      </c>
      <c r="P153">
        <f t="shared" si="116"/>
        <v>1.5085255878781374</v>
      </c>
      <c r="Q153">
        <f t="shared" si="117"/>
        <v>15.223880254664152</v>
      </c>
      <c r="R153">
        <f t="shared" si="118"/>
        <v>1.5050627229060596</v>
      </c>
      <c r="S153">
        <f t="shared" si="119"/>
        <v>0.93273641923990847</v>
      </c>
      <c r="T153">
        <f t="shared" si="120"/>
        <v>-0.36886710581840598</v>
      </c>
      <c r="U153">
        <f t="shared" si="121"/>
        <v>0.99831592303830385</v>
      </c>
      <c r="V153">
        <f t="shared" si="122"/>
        <v>-5.8043946453651338E-2</v>
      </c>
      <c r="X153">
        <f t="shared" si="139"/>
        <v>-1.3106357435811531</v>
      </c>
      <c r="Y153">
        <f t="shared" si="123"/>
        <v>-117.22311164911454</v>
      </c>
      <c r="Z153">
        <f t="shared" si="140"/>
        <v>62.776888350885457</v>
      </c>
      <c r="AC153">
        <v>1</v>
      </c>
      <c r="AD153">
        <f t="shared" si="124"/>
        <v>16.038144637515003</v>
      </c>
      <c r="AE153">
        <f t="shared" si="125"/>
        <v>-7.195023312275557E-5</v>
      </c>
      <c r="AF153">
        <f t="shared" si="126"/>
        <v>1.2381896279592E-3</v>
      </c>
      <c r="AG153">
        <f t="shared" si="141"/>
        <v>12862.535075743459</v>
      </c>
      <c r="AH153">
        <f t="shared" si="142"/>
        <v>-1555.0626121969167</v>
      </c>
      <c r="AJ153">
        <f t="shared" si="127"/>
        <v>18000</v>
      </c>
      <c r="AK153">
        <f t="shared" si="128"/>
        <v>6958.0873658142</v>
      </c>
      <c r="AL153">
        <v>1</v>
      </c>
      <c r="AM153">
        <f t="shared" si="129"/>
        <v>15.191001613071901</v>
      </c>
      <c r="AN153">
        <f t="shared" si="143"/>
        <v>533.72812887831742</v>
      </c>
      <c r="AO153">
        <f t="shared" si="144"/>
        <v>-1149.7775009181689</v>
      </c>
      <c r="AQ153">
        <f t="shared" si="130"/>
        <v>0.70611495551475778</v>
      </c>
      <c r="AR153">
        <f t="shared" si="131"/>
        <v>-84.02767970625618</v>
      </c>
      <c r="AT153">
        <f t="shared" si="156"/>
        <v>-121585.87471804097</v>
      </c>
      <c r="AU153">
        <f t="shared" si="157"/>
        <v>-1081907.0305222911</v>
      </c>
      <c r="AV153">
        <f t="shared" si="145"/>
        <v>-1.6827078486176599</v>
      </c>
      <c r="AW153">
        <f t="shared" si="146"/>
        <v>-81323.914286265703</v>
      </c>
      <c r="AX153">
        <f t="shared" si="147"/>
        <v>-53028.668590674424</v>
      </c>
      <c r="AY153">
        <f t="shared" si="155"/>
        <v>-2.563765489949605</v>
      </c>
      <c r="BA153">
        <f t="shared" si="132"/>
        <v>11.213993438968277</v>
      </c>
      <c r="BB153">
        <f t="shared" si="148"/>
        <v>20.995205953350627</v>
      </c>
      <c r="BC153">
        <f t="shared" si="149"/>
        <v>0.88105764133194509</v>
      </c>
      <c r="BD153">
        <f t="shared" si="133"/>
        <v>-129.51911558624568</v>
      </c>
      <c r="BF153">
        <f t="shared" si="134"/>
        <v>-0.50521609817542745</v>
      </c>
      <c r="BG153">
        <f t="shared" si="135"/>
        <v>-124.9479172799257</v>
      </c>
      <c r="BH153">
        <f t="shared" si="150"/>
        <v>55.052082720074296</v>
      </c>
      <c r="BI153">
        <f t="shared" si="151"/>
        <v>55.052082720074296</v>
      </c>
      <c r="BJ153">
        <f t="shared" si="136"/>
        <v>0</v>
      </c>
      <c r="BK153">
        <f t="shared" si="152"/>
        <v>0</v>
      </c>
      <c r="BM153">
        <f t="shared" si="153"/>
        <v>-21.500422051526051</v>
      </c>
      <c r="BN153">
        <f t="shared" si="137"/>
        <v>-175.42880169368001</v>
      </c>
      <c r="BQ153" s="56">
        <f t="shared" si="154"/>
        <v>37.897166753635766</v>
      </c>
      <c r="BR153" s="59"/>
      <c r="BS153" s="59"/>
      <c r="BT153" s="59">
        <v>2691.5349999999999</v>
      </c>
      <c r="BU153" s="59">
        <v>6.8809300000000002</v>
      </c>
      <c r="BV153" s="59">
        <v>-251.244</v>
      </c>
      <c r="BW153" s="61"/>
      <c r="BY153" s="59"/>
      <c r="BZ153" s="59"/>
      <c r="CA153" s="59"/>
      <c r="CC153" s="59"/>
    </row>
    <row r="154" spans="1:81" x14ac:dyDescent="0.25">
      <c r="A154">
        <f t="shared" si="106"/>
        <v>60000</v>
      </c>
      <c r="B154">
        <f t="shared" si="138"/>
        <v>60</v>
      </c>
      <c r="C154">
        <f t="shared" si="107"/>
        <v>1.0012942519425059</v>
      </c>
      <c r="D154">
        <f t="shared" si="108"/>
        <v>5.0849927742477562E-2</v>
      </c>
      <c r="F154">
        <f t="shared" si="109"/>
        <v>5.5084378300923236E-3</v>
      </c>
      <c r="G154">
        <f t="shared" si="110"/>
        <v>2.9108301168483633E-2</v>
      </c>
      <c r="H154">
        <f t="shared" si="111"/>
        <v>-3.1124843488315164</v>
      </c>
      <c r="J154">
        <f t="shared" si="112"/>
        <v>15</v>
      </c>
      <c r="M154">
        <f t="shared" si="113"/>
        <v>4.4494471079843327E-2</v>
      </c>
      <c r="N154">
        <f t="shared" si="114"/>
        <v>-1.5707963250000001</v>
      </c>
      <c r="O154">
        <f t="shared" si="115"/>
        <v>16.203805348062176</v>
      </c>
      <c r="P154">
        <f t="shared" si="116"/>
        <v>1.5090431869344834</v>
      </c>
      <c r="Q154">
        <f t="shared" si="117"/>
        <v>15.351262326095862</v>
      </c>
      <c r="R154">
        <f t="shared" si="118"/>
        <v>1.5056089459494522</v>
      </c>
      <c r="S154">
        <f t="shared" si="119"/>
        <v>0.93171484111784286</v>
      </c>
      <c r="T154">
        <f t="shared" si="120"/>
        <v>-0.37169011919176731</v>
      </c>
      <c r="U154">
        <f t="shared" si="121"/>
        <v>0.99828757326668738</v>
      </c>
      <c r="V154">
        <f t="shared" si="122"/>
        <v>-5.8530602095553809E-2</v>
      </c>
      <c r="X154">
        <f t="shared" si="139"/>
        <v>-1.3942545641017285</v>
      </c>
      <c r="Y154">
        <f t="shared" si="123"/>
        <v>-117.34171844609973</v>
      </c>
      <c r="Z154">
        <f t="shared" si="140"/>
        <v>62.658281553900267</v>
      </c>
      <c r="AC154">
        <v>1</v>
      </c>
      <c r="AD154">
        <f t="shared" si="124"/>
        <v>16.172918962200001</v>
      </c>
      <c r="AE154">
        <f t="shared" si="125"/>
        <v>-7.3164561610598134E-5</v>
      </c>
      <c r="AF154">
        <f t="shared" si="126"/>
        <v>1.2485945828160001E-3</v>
      </c>
      <c r="AG154">
        <f t="shared" si="141"/>
        <v>12861.804555983528</v>
      </c>
      <c r="AH154">
        <f t="shared" si="142"/>
        <v>-1554.5704895515869</v>
      </c>
      <c r="AJ154">
        <f t="shared" si="127"/>
        <v>18000</v>
      </c>
      <c r="AK154">
        <f t="shared" si="128"/>
        <v>7016.5586882160005</v>
      </c>
      <c r="AL154">
        <v>1</v>
      </c>
      <c r="AM154">
        <f t="shared" si="129"/>
        <v>15.318657088812001</v>
      </c>
      <c r="AN154">
        <f t="shared" si="143"/>
        <v>532.47724784394723</v>
      </c>
      <c r="AO154">
        <f t="shared" si="144"/>
        <v>-1140.2776790997873</v>
      </c>
      <c r="AQ154">
        <f t="shared" si="130"/>
        <v>0.69439622248454969</v>
      </c>
      <c r="AR154">
        <f t="shared" si="131"/>
        <v>-83.327546698145966</v>
      </c>
      <c r="AT154">
        <f t="shared" si="156"/>
        <v>-120607.35656565995</v>
      </c>
      <c r="AU154">
        <f t="shared" si="157"/>
        <v>-1072822.1076366745</v>
      </c>
      <c r="AV154">
        <f t="shared" si="145"/>
        <v>-1.6827469283107277</v>
      </c>
      <c r="AW154">
        <f t="shared" si="146"/>
        <v>-79736.766649046753</v>
      </c>
      <c r="AX154">
        <f t="shared" si="147"/>
        <v>-52483.2968666815</v>
      </c>
      <c r="AY154">
        <f t="shared" si="155"/>
        <v>-2.5594696410790383</v>
      </c>
      <c r="BA154">
        <f t="shared" si="132"/>
        <v>11.309342839172469</v>
      </c>
      <c r="BB154">
        <f t="shared" si="148"/>
        <v>21.068747395391551</v>
      </c>
      <c r="BC154">
        <f t="shared" si="149"/>
        <v>0.8767227127683106</v>
      </c>
      <c r="BD154">
        <f t="shared" si="133"/>
        <v>-129.76748869771646</v>
      </c>
      <c r="BF154">
        <f t="shared" si="134"/>
        <v>-0.57762391818283243</v>
      </c>
      <c r="BG154">
        <f t="shared" si="135"/>
        <v>-125.18621963854258</v>
      </c>
      <c r="BH154">
        <f t="shared" si="150"/>
        <v>54.813780361457418</v>
      </c>
      <c r="BI154">
        <f t="shared" si="151"/>
        <v>54.813780361457418</v>
      </c>
      <c r="BJ154">
        <f t="shared" si="136"/>
        <v>0</v>
      </c>
      <c r="BK154">
        <f t="shared" si="152"/>
        <v>0</v>
      </c>
      <c r="BM154">
        <f t="shared" si="153"/>
        <v>-21.646371313574381</v>
      </c>
      <c r="BN154">
        <f t="shared" si="137"/>
        <v>-175.41873094082612</v>
      </c>
      <c r="BQ154" s="56">
        <f t="shared" si="154"/>
        <v>37.970708195676686</v>
      </c>
      <c r="BR154" s="59"/>
      <c r="BS154" s="59"/>
      <c r="BT154" s="59">
        <v>2754.2289999999998</v>
      </c>
      <c r="BU154" s="59">
        <v>6.7009400000000001</v>
      </c>
      <c r="BV154" s="59">
        <v>-251.05099999999999</v>
      </c>
      <c r="BW154" s="61"/>
      <c r="BY154" s="59"/>
      <c r="BZ154" s="59"/>
      <c r="CA154" s="59"/>
      <c r="CC154" s="59"/>
    </row>
    <row r="155" spans="1:81" x14ac:dyDescent="0.25">
      <c r="A155">
        <f t="shared" si="106"/>
        <v>60500</v>
      </c>
      <c r="B155">
        <f t="shared" si="138"/>
        <v>60.5</v>
      </c>
      <c r="C155">
        <f t="shared" si="107"/>
        <v>1.0013158984537267</v>
      </c>
      <c r="D155">
        <f t="shared" si="108"/>
        <v>5.1272937922257171E-2</v>
      </c>
      <c r="F155">
        <f t="shared" si="109"/>
        <v>5.417300723684371E-3</v>
      </c>
      <c r="G155">
        <f t="shared" si="110"/>
        <v>2.8865192374091384E-2</v>
      </c>
      <c r="H155">
        <f t="shared" si="111"/>
        <v>-3.1127274576259087</v>
      </c>
      <c r="J155">
        <f t="shared" si="112"/>
        <v>15</v>
      </c>
      <c r="M155">
        <f t="shared" si="113"/>
        <v>4.4126748178357017E-2</v>
      </c>
      <c r="N155">
        <f t="shared" si="114"/>
        <v>-1.5707963250000001</v>
      </c>
      <c r="O155">
        <f t="shared" si="115"/>
        <v>16.338324893914741</v>
      </c>
      <c r="P155">
        <f t="shared" si="116"/>
        <v>1.509552262951714</v>
      </c>
      <c r="Q155">
        <f t="shared" si="117"/>
        <v>15.478648902337699</v>
      </c>
      <c r="R155">
        <f t="shared" si="118"/>
        <v>1.5061461785105053</v>
      </c>
      <c r="S155">
        <f t="shared" si="119"/>
        <v>0.93068810564161208</v>
      </c>
      <c r="T155">
        <f t="shared" si="120"/>
        <v>-0.37450693313743189</v>
      </c>
      <c r="U155">
        <f t="shared" si="121"/>
        <v>0.99825898870394558</v>
      </c>
      <c r="V155">
        <f t="shared" si="122"/>
        <v>-5.9017229983298926E-2</v>
      </c>
      <c r="X155">
        <f t="shared" si="139"/>
        <v>-1.4772957980092429</v>
      </c>
      <c r="Y155">
        <f t="shared" si="123"/>
        <v>-117.46073506544185</v>
      </c>
      <c r="Z155">
        <f t="shared" si="140"/>
        <v>62.539264934558148</v>
      </c>
      <c r="AC155">
        <v>1</v>
      </c>
      <c r="AD155">
        <f t="shared" si="124"/>
        <v>16.307693286885002</v>
      </c>
      <c r="AE155">
        <f t="shared" si="125"/>
        <v>-7.4389051843108849E-5</v>
      </c>
      <c r="AF155">
        <f t="shared" si="126"/>
        <v>1.2589995376728E-3</v>
      </c>
      <c r="AG155">
        <f t="shared" si="141"/>
        <v>12861.068007106051</v>
      </c>
      <c r="AH155">
        <f t="shared" si="142"/>
        <v>-1554.1885411294656</v>
      </c>
      <c r="AJ155">
        <f t="shared" si="127"/>
        <v>18000</v>
      </c>
      <c r="AK155">
        <f t="shared" si="128"/>
        <v>7075.0300106178011</v>
      </c>
      <c r="AL155">
        <v>1</v>
      </c>
      <c r="AM155">
        <f t="shared" si="129"/>
        <v>15.4463125645521</v>
      </c>
      <c r="AN155">
        <f t="shared" si="143"/>
        <v>531.25707945541126</v>
      </c>
      <c r="AO155">
        <f t="shared" si="144"/>
        <v>-1130.9328907815698</v>
      </c>
      <c r="AQ155">
        <f t="shared" si="130"/>
        <v>0.68296680781314023</v>
      </c>
      <c r="AR155">
        <f t="shared" si="131"/>
        <v>-82.638983745389979</v>
      </c>
      <c r="AT155">
        <f t="shared" si="156"/>
        <v>-119652.87902578835</v>
      </c>
      <c r="AU155">
        <f t="shared" si="157"/>
        <v>-1063887.0491742671</v>
      </c>
      <c r="AV155">
        <f t="shared" si="145"/>
        <v>-1.6827933459617268</v>
      </c>
      <c r="AW155">
        <f t="shared" si="146"/>
        <v>-78188.581997087997</v>
      </c>
      <c r="AX155">
        <f t="shared" si="147"/>
        <v>-51949.91159288495</v>
      </c>
      <c r="AY155">
        <f t="shared" si="155"/>
        <v>-2.555148343814583</v>
      </c>
      <c r="BA155">
        <f t="shared" si="132"/>
        <v>11.404641506151227</v>
      </c>
      <c r="BB155">
        <f t="shared" si="148"/>
        <v>21.141632764024845</v>
      </c>
      <c r="BC155">
        <f t="shared" si="149"/>
        <v>0.8723549978528562</v>
      </c>
      <c r="BD155">
        <f t="shared" si="133"/>
        <v>-130.01774032877429</v>
      </c>
      <c r="BF155">
        <f t="shared" si="134"/>
        <v>-0.64946092591459292</v>
      </c>
      <c r="BG155">
        <f t="shared" si="135"/>
        <v>-125.42616367947737</v>
      </c>
      <c r="BH155">
        <f t="shared" si="150"/>
        <v>54.573836320522631</v>
      </c>
      <c r="BI155">
        <f t="shared" si="151"/>
        <v>54.573836320522631</v>
      </c>
      <c r="BJ155">
        <f t="shared" si="136"/>
        <v>0</v>
      </c>
      <c r="BK155">
        <f t="shared" si="152"/>
        <v>0</v>
      </c>
      <c r="BM155">
        <f t="shared" si="153"/>
        <v>-21.791093689939437</v>
      </c>
      <c r="BN155">
        <f t="shared" si="137"/>
        <v>-175.40842335070309</v>
      </c>
      <c r="BQ155" s="56">
        <f t="shared" si="154"/>
        <v>38.04359356430998</v>
      </c>
      <c r="BR155" s="59"/>
      <c r="BS155" s="59"/>
      <c r="BT155" s="59">
        <v>2818.3829999999998</v>
      </c>
      <c r="BU155" s="59">
        <v>6.5356199999999998</v>
      </c>
      <c r="BV155" s="59">
        <v>-250.48</v>
      </c>
      <c r="BW155" s="61"/>
      <c r="BY155" s="59"/>
      <c r="BZ155" s="59"/>
      <c r="CA155" s="59"/>
      <c r="CC155" s="59"/>
    </row>
    <row r="156" spans="1:81" x14ac:dyDescent="0.25">
      <c r="A156">
        <f t="shared" si="106"/>
        <v>61000</v>
      </c>
      <c r="B156">
        <f t="shared" si="138"/>
        <v>61</v>
      </c>
      <c r="C156">
        <f t="shared" si="107"/>
        <v>1.0013377241302581</v>
      </c>
      <c r="D156">
        <f t="shared" si="108"/>
        <v>5.1695929737424512E-2</v>
      </c>
      <c r="F156">
        <f t="shared" si="109"/>
        <v>5.3284105558119134E-3</v>
      </c>
      <c r="G156">
        <f t="shared" si="110"/>
        <v>2.8626131173190936E-2</v>
      </c>
      <c r="H156">
        <f t="shared" si="111"/>
        <v>-3.1129665188268092</v>
      </c>
      <c r="J156">
        <f t="shared" si="112"/>
        <v>15</v>
      </c>
      <c r="M156">
        <f t="shared" si="113"/>
        <v>4.3765053521157372E-2</v>
      </c>
      <c r="N156">
        <f t="shared" si="114"/>
        <v>-1.5707963250000001</v>
      </c>
      <c r="O156">
        <f t="shared" si="115"/>
        <v>16.472848604826325</v>
      </c>
      <c r="P156">
        <f t="shared" si="116"/>
        <v>1.5100530244700718</v>
      </c>
      <c r="Q156">
        <f t="shared" si="117"/>
        <v>15.606039873076158</v>
      </c>
      <c r="R156">
        <f t="shared" si="118"/>
        <v>1.5066746404412112</v>
      </c>
      <c r="S156">
        <f t="shared" si="119"/>
        <v>0.92965627864019129</v>
      </c>
      <c r="T156">
        <f t="shared" si="120"/>
        <v>-0.37731752350209874</v>
      </c>
      <c r="U156">
        <f t="shared" si="121"/>
        <v>0.99823016941085863</v>
      </c>
      <c r="V156">
        <f t="shared" si="122"/>
        <v>-5.9503829888807196E-2</v>
      </c>
      <c r="X156">
        <f t="shared" si="139"/>
        <v>-1.5597700349543817</v>
      </c>
      <c r="Y156">
        <f t="shared" si="123"/>
        <v>-117.5801415445829</v>
      </c>
      <c r="Z156">
        <f t="shared" si="140"/>
        <v>62.419858455417099</v>
      </c>
      <c r="AC156">
        <v>1</v>
      </c>
      <c r="AD156">
        <f t="shared" si="124"/>
        <v>16.442467611569999</v>
      </c>
      <c r="AE156">
        <f t="shared" si="125"/>
        <v>-7.5623703820287686E-5</v>
      </c>
      <c r="AF156">
        <f t="shared" si="126"/>
        <v>1.2694044925296E-3</v>
      </c>
      <c r="AG156">
        <f t="shared" si="141"/>
        <v>12860.325431196794</v>
      </c>
      <c r="AH156">
        <f t="shared" si="142"/>
        <v>-1553.9140227167143</v>
      </c>
      <c r="AJ156">
        <f t="shared" si="127"/>
        <v>18000</v>
      </c>
      <c r="AK156">
        <f t="shared" si="128"/>
        <v>7133.5013330196016</v>
      </c>
      <c r="AL156">
        <v>1</v>
      </c>
      <c r="AM156">
        <f t="shared" si="129"/>
        <v>15.5739680402922</v>
      </c>
      <c r="AN156">
        <f t="shared" si="143"/>
        <v>530.06662780310398</v>
      </c>
      <c r="AO156">
        <f t="shared" si="144"/>
        <v>-1121.7393876114004</v>
      </c>
      <c r="AQ156">
        <f t="shared" si="130"/>
        <v>0.67181726570372857</v>
      </c>
      <c r="AR156">
        <f t="shared" si="131"/>
        <v>-81.961706415854891</v>
      </c>
      <c r="AT156">
        <f t="shared" si="156"/>
        <v>-118721.65625814065</v>
      </c>
      <c r="AU156">
        <f t="shared" si="157"/>
        <v>-1055098.1636739844</v>
      </c>
      <c r="AV156">
        <f t="shared" si="145"/>
        <v>-1.6828469212586161</v>
      </c>
      <c r="AW156">
        <f t="shared" si="146"/>
        <v>-76678.098425076168</v>
      </c>
      <c r="AX156">
        <f t="shared" si="147"/>
        <v>-51428.126073235835</v>
      </c>
      <c r="AY156">
        <f t="shared" si="155"/>
        <v>-2.5508018093684455</v>
      </c>
      <c r="BA156">
        <f t="shared" si="132"/>
        <v>11.499884342584657</v>
      </c>
      <c r="BB156">
        <f t="shared" si="148"/>
        <v>21.213869451194221</v>
      </c>
      <c r="BC156">
        <f t="shared" si="149"/>
        <v>0.86795488810982935</v>
      </c>
      <c r="BD156">
        <f t="shared" si="133"/>
        <v>-130.26984804673219</v>
      </c>
      <c r="BF156">
        <f t="shared" si="134"/>
        <v>-0.72074020860659216</v>
      </c>
      <c r="BG156">
        <f t="shared" si="135"/>
        <v>-125.66773294950252</v>
      </c>
      <c r="BH156">
        <f t="shared" si="150"/>
        <v>54.332267050497478</v>
      </c>
      <c r="BI156">
        <f t="shared" si="151"/>
        <v>54.332267050497478</v>
      </c>
      <c r="BJ156">
        <f t="shared" si="136"/>
        <v>0</v>
      </c>
      <c r="BK156">
        <f t="shared" si="152"/>
        <v>0</v>
      </c>
      <c r="BM156">
        <f t="shared" si="153"/>
        <v>-21.934609659800806</v>
      </c>
      <c r="BN156">
        <f t="shared" si="137"/>
        <v>-175.39788490277033</v>
      </c>
      <c r="BQ156" s="56">
        <f t="shared" si="154"/>
        <v>38.115830251479352</v>
      </c>
      <c r="BR156" s="59"/>
      <c r="BS156" s="59"/>
      <c r="BT156" s="59">
        <v>2884.0320000000002</v>
      </c>
      <c r="BU156" s="59">
        <v>6.3265200000000004</v>
      </c>
      <c r="BV156" s="59">
        <v>-250.202</v>
      </c>
      <c r="BW156" s="61"/>
      <c r="BY156" s="59"/>
      <c r="BZ156" s="59"/>
      <c r="CA156" s="59"/>
      <c r="CC156" s="59"/>
    </row>
    <row r="157" spans="1:81" x14ac:dyDescent="0.25">
      <c r="A157">
        <f t="shared" si="106"/>
        <v>61500</v>
      </c>
      <c r="B157">
        <f t="shared" si="138"/>
        <v>61.5</v>
      </c>
      <c r="C157">
        <f t="shared" si="107"/>
        <v>1.0013597289603851</v>
      </c>
      <c r="D157">
        <f t="shared" si="108"/>
        <v>5.2118903037820241E-2</v>
      </c>
      <c r="F157">
        <f t="shared" si="109"/>
        <v>5.2416939475886286E-3</v>
      </c>
      <c r="G157">
        <f t="shared" si="110"/>
        <v>2.8391016829561268E-2</v>
      </c>
      <c r="H157">
        <f t="shared" si="111"/>
        <v>-3.1132016331704389</v>
      </c>
      <c r="J157">
        <f t="shared" si="112"/>
        <v>15</v>
      </c>
      <c r="M157">
        <f t="shared" si="113"/>
        <v>4.3409240077895934E-2</v>
      </c>
      <c r="N157">
        <f t="shared" si="114"/>
        <v>-1.5707963250000001</v>
      </c>
      <c r="O157">
        <f t="shared" si="115"/>
        <v>16.607376379583002</v>
      </c>
      <c r="P157">
        <f t="shared" si="116"/>
        <v>1.5105456732896871</v>
      </c>
      <c r="Q157">
        <f t="shared" si="117"/>
        <v>15.73343513156674</v>
      </c>
      <c r="R157">
        <f t="shared" si="118"/>
        <v>1.5071945444928703</v>
      </c>
      <c r="S157">
        <f t="shared" si="119"/>
        <v>0.92861942585211632</v>
      </c>
      <c r="T157">
        <f t="shared" si="120"/>
        <v>-0.38012186663237268</v>
      </c>
      <c r="U157">
        <f t="shared" si="121"/>
        <v>0.99820111544869672</v>
      </c>
      <c r="V157">
        <f t="shared" si="122"/>
        <v>-5.9990401584078361E-2</v>
      </c>
      <c r="X157">
        <f t="shared" si="139"/>
        <v>-1.6416875768162065</v>
      </c>
      <c r="Y157">
        <f t="shared" si="123"/>
        <v>-117.69991854353627</v>
      </c>
      <c r="Z157">
        <f t="shared" si="140"/>
        <v>62.30008145646373</v>
      </c>
      <c r="AC157">
        <v>1</v>
      </c>
      <c r="AD157">
        <f t="shared" si="124"/>
        <v>16.577241936255</v>
      </c>
      <c r="AE157">
        <f t="shared" si="125"/>
        <v>-7.6868517542134674E-5</v>
      </c>
      <c r="AF157">
        <f t="shared" si="126"/>
        <v>1.2798094473864001E-3</v>
      </c>
      <c r="AG157">
        <f t="shared" si="141"/>
        <v>12859.576830358266</v>
      </c>
      <c r="AH157">
        <f t="shared" si="142"/>
        <v>-1553.7442790641128</v>
      </c>
      <c r="AJ157">
        <f t="shared" si="127"/>
        <v>18000</v>
      </c>
      <c r="AK157">
        <f t="shared" si="128"/>
        <v>7191.9726554214003</v>
      </c>
      <c r="AL157">
        <v>1</v>
      </c>
      <c r="AM157">
        <f t="shared" si="129"/>
        <v>15.701623516032299</v>
      </c>
      <c r="AN157">
        <f t="shared" si="143"/>
        <v>528.90493696590397</v>
      </c>
      <c r="AO157">
        <f t="shared" si="144"/>
        <v>-1112.6935405880199</v>
      </c>
      <c r="AQ157">
        <f t="shared" si="130"/>
        <v>0.66093853271645742</v>
      </c>
      <c r="AR157">
        <f t="shared" si="131"/>
        <v>-81.295439524124262</v>
      </c>
      <c r="AT157">
        <f t="shared" si="156"/>
        <v>-117812.93423299909</v>
      </c>
      <c r="AU157">
        <f t="shared" si="157"/>
        <v>-1046451.8799822412</v>
      </c>
      <c r="AV157">
        <f t="shared" si="145"/>
        <v>-1.6829074797042405</v>
      </c>
      <c r="AW157">
        <f t="shared" si="146"/>
        <v>-75204.104633124356</v>
      </c>
      <c r="AX157">
        <f t="shared" si="147"/>
        <v>-50917.569846701263</v>
      </c>
      <c r="AY157">
        <f t="shared" si="155"/>
        <v>-2.5464302441371998</v>
      </c>
      <c r="BA157">
        <f t="shared" si="132"/>
        <v>11.595066144956606</v>
      </c>
      <c r="BB157">
        <f t="shared" si="148"/>
        <v>21.28546460895442</v>
      </c>
      <c r="BC157">
        <f t="shared" si="149"/>
        <v>0.86352276443295928</v>
      </c>
      <c r="BD157">
        <f t="shared" si="133"/>
        <v>-130.52379002798705</v>
      </c>
      <c r="BF157">
        <f t="shared" si="134"/>
        <v>-0.79147458182800878</v>
      </c>
      <c r="BG157">
        <f t="shared" si="135"/>
        <v>-125.91091140537861</v>
      </c>
      <c r="BH157">
        <f t="shared" si="150"/>
        <v>54.089088594621387</v>
      </c>
      <c r="BI157">
        <f t="shared" si="151"/>
        <v>54.089088594621387</v>
      </c>
      <c r="BJ157">
        <f t="shared" si="136"/>
        <v>0</v>
      </c>
      <c r="BK157">
        <f t="shared" si="152"/>
        <v>0</v>
      </c>
      <c r="BM157">
        <f t="shared" si="153"/>
        <v>-22.076939190782426</v>
      </c>
      <c r="BN157">
        <f t="shared" si="137"/>
        <v>-175.38712137739159</v>
      </c>
      <c r="BQ157" s="56">
        <f t="shared" si="154"/>
        <v>38.187425409239559</v>
      </c>
      <c r="BR157" s="59"/>
      <c r="BS157" s="59"/>
      <c r="BT157" s="59">
        <v>2951.2089999999998</v>
      </c>
      <c r="BU157" s="59">
        <v>6.1830800000000004</v>
      </c>
      <c r="BV157" s="59">
        <v>-249.92599999999999</v>
      </c>
      <c r="BW157" s="61"/>
      <c r="BY157" s="59"/>
      <c r="BZ157" s="59"/>
      <c r="CA157" s="59"/>
      <c r="CC157" s="59"/>
    </row>
    <row r="158" spans="1:81" x14ac:dyDescent="0.25">
      <c r="A158">
        <f t="shared" si="106"/>
        <v>62000</v>
      </c>
      <c r="B158">
        <f t="shared" si="138"/>
        <v>62</v>
      </c>
      <c r="C158">
        <f t="shared" si="107"/>
        <v>1.0013819129322967</v>
      </c>
      <c r="D158">
        <f t="shared" si="108"/>
        <v>5.2541857673324685E-2</v>
      </c>
      <c r="F158">
        <f t="shared" si="109"/>
        <v>5.1570804959872535E-3</v>
      </c>
      <c r="G158">
        <f t="shared" si="110"/>
        <v>2.8159751937551346E-2</v>
      </c>
      <c r="H158">
        <f t="shared" si="111"/>
        <v>-3.1134328980624488</v>
      </c>
      <c r="J158">
        <f t="shared" si="112"/>
        <v>15</v>
      </c>
      <c r="M158">
        <f t="shared" si="113"/>
        <v>4.3059165561138701E-2</v>
      </c>
      <c r="N158">
        <f t="shared" si="114"/>
        <v>-1.5707963250000001</v>
      </c>
      <c r="O158">
        <f t="shared" si="115"/>
        <v>16.741908120221034</v>
      </c>
      <c r="P158">
        <f t="shared" si="116"/>
        <v>1.5110304047403753</v>
      </c>
      <c r="Q158">
        <f t="shared" si="117"/>
        <v>15.860834574490935</v>
      </c>
      <c r="R158">
        <f t="shared" si="118"/>
        <v>1.5077060966000819</v>
      </c>
      <c r="S158">
        <f t="shared" si="119"/>
        <v>0.92757761291682894</v>
      </c>
      <c r="T158">
        <f t="shared" si="120"/>
        <v>-0.38291993937292801</v>
      </c>
      <c r="U158">
        <f t="shared" si="121"/>
        <v>0.99817182687921957</v>
      </c>
      <c r="V158">
        <f t="shared" si="122"/>
        <v>-6.0476944841192044E-2</v>
      </c>
      <c r="X158">
        <f t="shared" si="139"/>
        <v>-1.723058447763983</v>
      </c>
      <c r="Y158">
        <f t="shared" si="123"/>
        <v>-117.82004732131701</v>
      </c>
      <c r="Z158">
        <f t="shared" si="140"/>
        <v>62.179952678682994</v>
      </c>
      <c r="AC158">
        <v>1</v>
      </c>
      <c r="AD158">
        <f t="shared" si="124"/>
        <v>16.71201626094</v>
      </c>
      <c r="AE158">
        <f t="shared" si="125"/>
        <v>-7.8123493008649812E-5</v>
      </c>
      <c r="AF158">
        <f t="shared" si="126"/>
        <v>1.2902144022431999E-3</v>
      </c>
      <c r="AG158">
        <f t="shared" si="141"/>
        <v>12858.822206709645</v>
      </c>
      <c r="AH158">
        <f t="shared" si="142"/>
        <v>-1553.6767403000188</v>
      </c>
      <c r="AJ158">
        <f t="shared" si="127"/>
        <v>18000</v>
      </c>
      <c r="AK158">
        <f t="shared" si="128"/>
        <v>7250.4439778231999</v>
      </c>
      <c r="AL158">
        <v>1</v>
      </c>
      <c r="AM158">
        <f t="shared" si="129"/>
        <v>15.8292789917724</v>
      </c>
      <c r="AN158">
        <f t="shared" si="143"/>
        <v>527.7710891023255</v>
      </c>
      <c r="AO158">
        <f t="shared" si="144"/>
        <v>-1103.7918353690798</v>
      </c>
      <c r="AQ158">
        <f t="shared" si="130"/>
        <v>0.65032190934512579</v>
      </c>
      <c r="AR158">
        <f t="shared" si="131"/>
        <v>-80.639916758795607</v>
      </c>
      <c r="AT158">
        <f t="shared" si="156"/>
        <v>-116925.9891984735</v>
      </c>
      <c r="AU158">
        <f t="shared" si="157"/>
        <v>-1037944.7423894752</v>
      </c>
      <c r="AV158">
        <f t="shared" si="145"/>
        <v>-1.682974852383843</v>
      </c>
      <c r="AW158">
        <f t="shared" si="146"/>
        <v>-73765.437514651116</v>
      </c>
      <c r="AX158">
        <f t="shared" si="147"/>
        <v>-50417.887859361734</v>
      </c>
      <c r="AY158">
        <f t="shared" si="155"/>
        <v>-2.5420338500793096</v>
      </c>
      <c r="BA158">
        <f t="shared" si="132"/>
        <v>11.69018160315289</v>
      </c>
      <c r="BB158">
        <f t="shared" si="148"/>
        <v>21.356425156743374</v>
      </c>
      <c r="BC158">
        <f t="shared" si="149"/>
        <v>0.85905899769546656</v>
      </c>
      <c r="BD158">
        <f t="shared" si="133"/>
        <v>-130.77954502306849</v>
      </c>
      <c r="BF158">
        <f t="shared" si="134"/>
        <v>-0.86167659918236617</v>
      </c>
      <c r="BG158">
        <f t="shared" si="135"/>
        <v>-126.15568338716936</v>
      </c>
      <c r="BH158">
        <f t="shared" si="150"/>
        <v>53.844316612830639</v>
      </c>
      <c r="BI158">
        <f t="shared" si="151"/>
        <v>53.844316612830639</v>
      </c>
      <c r="BJ158">
        <f t="shared" si="136"/>
        <v>0</v>
      </c>
      <c r="BK158">
        <f t="shared" si="152"/>
        <v>0</v>
      </c>
      <c r="BM158">
        <f t="shared" si="153"/>
        <v>-22.218101755925737</v>
      </c>
      <c r="BN158">
        <f t="shared" si="137"/>
        <v>-175.37613836410088</v>
      </c>
      <c r="BQ158" s="56">
        <f t="shared" si="154"/>
        <v>38.258385957028509</v>
      </c>
      <c r="BR158" s="59"/>
      <c r="BS158" s="59"/>
      <c r="BT158" s="59">
        <v>3019.9520000000002</v>
      </c>
      <c r="BU158" s="59">
        <v>6.0130600000000003</v>
      </c>
      <c r="BV158" s="59">
        <v>-249.65100000000001</v>
      </c>
      <c r="BW158" s="61"/>
      <c r="BY158" s="59"/>
      <c r="BZ158" s="59"/>
      <c r="CA158" s="59"/>
      <c r="CC158" s="59"/>
    </row>
    <row r="159" spans="1:81" x14ac:dyDescent="0.25">
      <c r="A159">
        <f t="shared" si="106"/>
        <v>62500</v>
      </c>
      <c r="B159">
        <f t="shared" si="138"/>
        <v>62.5</v>
      </c>
      <c r="C159">
        <f t="shared" si="107"/>
        <v>1.001404276034088</v>
      </c>
      <c r="D159">
        <f t="shared" si="108"/>
        <v>5.2964793493858082E-2</v>
      </c>
      <c r="F159">
        <f t="shared" si="109"/>
        <v>5.0745026299626583E-3</v>
      </c>
      <c r="G159">
        <f t="shared" si="110"/>
        <v>2.7932242284972982E-2</v>
      </c>
      <c r="H159">
        <f t="shared" si="111"/>
        <v>-3.1136604077150274</v>
      </c>
      <c r="J159">
        <f t="shared" si="112"/>
        <v>15</v>
      </c>
      <c r="M159">
        <f t="shared" si="113"/>
        <v>4.2714692236649601E-2</v>
      </c>
      <c r="N159">
        <f t="shared" si="114"/>
        <v>-1.5707963250000001</v>
      </c>
      <c r="O159">
        <f t="shared" si="115"/>
        <v>16.876443731897524</v>
      </c>
      <c r="P159">
        <f t="shared" si="116"/>
        <v>1.5115074079385913</v>
      </c>
      <c r="Q159">
        <f t="shared" si="117"/>
        <v>15.988238101819988</v>
      </c>
      <c r="R159">
        <f t="shared" si="118"/>
        <v>1.5082094961512318</v>
      </c>
      <c r="S159">
        <f t="shared" si="119"/>
        <v>0.92653090536614691</v>
      </c>
      <c r="T159">
        <f t="shared" si="120"/>
        <v>-0.38571171906460167</v>
      </c>
      <c r="U159">
        <f t="shared" si="121"/>
        <v>0.99814230376467561</v>
      </c>
      <c r="V159">
        <f t="shared" si="122"/>
        <v>-6.096345943230834E-2</v>
      </c>
      <c r="X159">
        <f t="shared" si="139"/>
        <v>-1.8038924038829973</v>
      </c>
      <c r="Y159">
        <f t="shared" si="123"/>
        <v>-117.94050971346846</v>
      </c>
      <c r="Z159">
        <f t="shared" si="140"/>
        <v>62.059490286531542</v>
      </c>
      <c r="AC159">
        <v>1</v>
      </c>
      <c r="AD159">
        <f t="shared" si="124"/>
        <v>16.846790585625001</v>
      </c>
      <c r="AE159">
        <f t="shared" si="125"/>
        <v>-7.9388630219833073E-5</v>
      </c>
      <c r="AF159">
        <f t="shared" si="126"/>
        <v>1.3006193571E-3</v>
      </c>
      <c r="AG159">
        <f t="shared" si="141"/>
        <v>12858.061562386782</v>
      </c>
      <c r="AH159">
        <f t="shared" si="142"/>
        <v>-1553.7089185155057</v>
      </c>
      <c r="AJ159">
        <f t="shared" si="127"/>
        <v>18000</v>
      </c>
      <c r="AK159">
        <f t="shared" si="128"/>
        <v>7308.9153002250005</v>
      </c>
      <c r="AL159">
        <v>1</v>
      </c>
      <c r="AM159">
        <f t="shared" si="129"/>
        <v>15.956934467512502</v>
      </c>
      <c r="AN159">
        <f t="shared" si="143"/>
        <v>526.66420264699423</v>
      </c>
      <c r="AO159">
        <f t="shared" si="144"/>
        <v>-1095.0308677978105</v>
      </c>
      <c r="AQ159">
        <f t="shared" si="130"/>
        <v>0.63995904262127223</v>
      </c>
      <c r="AR159">
        <f t="shared" si="131"/>
        <v>-79.994880327659033</v>
      </c>
      <c r="AT159">
        <f t="shared" si="156"/>
        <v>-116060.126233234</v>
      </c>
      <c r="AU159">
        <f t="shared" si="157"/>
        <v>-1029573.4060008083</v>
      </c>
      <c r="AV159">
        <f t="shared" si="145"/>
        <v>-1.6830488757436235</v>
      </c>
      <c r="AW159">
        <f t="shared" si="146"/>
        <v>-72360.979877130929</v>
      </c>
      <c r="AX159">
        <f t="shared" si="147"/>
        <v>-49928.739685729764</v>
      </c>
      <c r="AY159">
        <f t="shared" si="155"/>
        <v>-2.5376128250773506</v>
      </c>
      <c r="BA159">
        <f t="shared" si="132"/>
        <v>11.785225300128603</v>
      </c>
      <c r="BB159">
        <f t="shared" si="148"/>
        <v>21.426757788403023</v>
      </c>
      <c r="BC159">
        <f t="shared" si="149"/>
        <v>0.85456394933372715</v>
      </c>
      <c r="BD159">
        <f t="shared" si="133"/>
        <v>-131.03709232319764</v>
      </c>
      <c r="BF159">
        <f t="shared" si="134"/>
        <v>-0.93135856155875063</v>
      </c>
      <c r="BG159">
        <f t="shared" si="135"/>
        <v>-126.40203359265547</v>
      </c>
      <c r="BH159">
        <f t="shared" si="150"/>
        <v>53.597966407344529</v>
      </c>
      <c r="BI159">
        <f t="shared" si="151"/>
        <v>53.597966407344529</v>
      </c>
      <c r="BJ159">
        <f t="shared" si="136"/>
        <v>0</v>
      </c>
      <c r="BK159">
        <f t="shared" si="152"/>
        <v>0</v>
      </c>
      <c r="BM159">
        <f t="shared" si="153"/>
        <v>-22.358116349961776</v>
      </c>
      <c r="BN159">
        <f t="shared" si="137"/>
        <v>-175.36494126945783</v>
      </c>
      <c r="BQ159" s="56">
        <f t="shared" si="154"/>
        <v>38.328718588688162</v>
      </c>
      <c r="BR159" s="59"/>
      <c r="BS159" s="59"/>
      <c r="BT159" s="59">
        <v>3090.2950000000001</v>
      </c>
      <c r="BU159" s="59">
        <v>5.8544900000000002</v>
      </c>
      <c r="BV159" s="59">
        <v>-248.41800000000001</v>
      </c>
      <c r="BW159" s="61"/>
      <c r="BY159" s="59"/>
      <c r="BZ159" s="59"/>
      <c r="CA159" s="59"/>
      <c r="CC159" s="59"/>
    </row>
    <row r="160" spans="1:81" x14ac:dyDescent="0.25">
      <c r="A160">
        <f t="shared" si="106"/>
        <v>63000</v>
      </c>
      <c r="B160">
        <f t="shared" si="138"/>
        <v>63</v>
      </c>
      <c r="C160">
        <f t="shared" si="107"/>
        <v>1.001426818253758</v>
      </c>
      <c r="D160">
        <f t="shared" si="108"/>
        <v>5.3387710349381001E-2</v>
      </c>
      <c r="F160">
        <f t="shared" si="109"/>
        <v>4.9938954746375618E-3</v>
      </c>
      <c r="G160">
        <f t="shared" si="110"/>
        <v>2.77083967227384E-2</v>
      </c>
      <c r="H160">
        <f t="shared" si="111"/>
        <v>-3.1138842532772619</v>
      </c>
      <c r="J160">
        <f t="shared" si="112"/>
        <v>15</v>
      </c>
      <c r="M160">
        <f t="shared" si="113"/>
        <v>4.2375686742707933E-2</v>
      </c>
      <c r="N160">
        <f t="shared" si="114"/>
        <v>-1.5707963250000001</v>
      </c>
      <c r="O160">
        <f t="shared" si="115"/>
        <v>17.010983122767243</v>
      </c>
      <c r="P160">
        <f t="shared" si="116"/>
        <v>1.5119768660322503</v>
      </c>
      <c r="Q160">
        <f t="shared" si="117"/>
        <v>16.115645616685129</v>
      </c>
      <c r="R160">
        <f t="shared" si="118"/>
        <v>1.508704936246217</v>
      </c>
      <c r="S160">
        <f t="shared" si="119"/>
        <v>0.92547936861586455</v>
      </c>
      <c r="T160">
        <f t="shared" si="120"/>
        <v>-0.38849718354241797</v>
      </c>
      <c r="U160">
        <f t="shared" si="121"/>
        <v>0.99811254616780176</v>
      </c>
      <c r="V160">
        <f t="shared" si="122"/>
        <v>-6.1449945129668504E-2</v>
      </c>
      <c r="X160">
        <f t="shared" si="139"/>
        <v>-1.8841989423870065</v>
      </c>
      <c r="Y160">
        <f t="shared" si="123"/>
        <v>-118.06128811062439</v>
      </c>
      <c r="Z160">
        <f t="shared" si="140"/>
        <v>61.938711889375611</v>
      </c>
      <c r="AC160">
        <v>1</v>
      </c>
      <c r="AD160">
        <f t="shared" si="124"/>
        <v>16.981564910310002</v>
      </c>
      <c r="AE160">
        <f t="shared" si="125"/>
        <v>-8.0663929175684457E-5</v>
      </c>
      <c r="AF160">
        <f t="shared" si="126"/>
        <v>1.3110243119568001E-3</v>
      </c>
      <c r="AG160">
        <f t="shared" si="141"/>
        <v>12857.294899542192</v>
      </c>
      <c r="AH160">
        <f t="shared" si="142"/>
        <v>-1553.8384045121247</v>
      </c>
      <c r="AJ160">
        <f t="shared" si="127"/>
        <v>18000</v>
      </c>
      <c r="AK160">
        <f t="shared" si="128"/>
        <v>7367.386622626801</v>
      </c>
      <c r="AL160">
        <v>1</v>
      </c>
      <c r="AM160">
        <f t="shared" si="129"/>
        <v>16.084589943252599</v>
      </c>
      <c r="AN160">
        <f t="shared" si="143"/>
        <v>525.58343060586935</v>
      </c>
      <c r="AO160">
        <f t="shared" si="144"/>
        <v>-1086.4073396365666</v>
      </c>
      <c r="AQ160">
        <f t="shared" si="130"/>
        <v>0.62984190968067011</v>
      </c>
      <c r="AR160">
        <f t="shared" si="131"/>
        <v>-79.360080619764446</v>
      </c>
      <c r="AT160">
        <f t="shared" si="156"/>
        <v>-115214.67787931318</v>
      </c>
      <c r="AU160">
        <f t="shared" si="157"/>
        <v>-1021334.6323277877</v>
      </c>
      <c r="AV160">
        <f t="shared" si="145"/>
        <v>-1.6831293913797454</v>
      </c>
      <c r="AW160">
        <f t="shared" si="146"/>
        <v>-70989.658287429585</v>
      </c>
      <c r="AX160">
        <f t="shared" si="147"/>
        <v>-49449.798795967858</v>
      </c>
      <c r="AY160">
        <f t="shared" si="155"/>
        <v>-2.5331673632857248</v>
      </c>
      <c r="BA160">
        <f t="shared" si="132"/>
        <v>11.880191711645761</v>
      </c>
      <c r="BB160">
        <f t="shared" si="148"/>
        <v>21.496468978960877</v>
      </c>
      <c r="BC160">
        <f t="shared" si="149"/>
        <v>0.85003797190597941</v>
      </c>
      <c r="BD160">
        <f t="shared" si="133"/>
        <v>-131.29641172827539</v>
      </c>
      <c r="BF160">
        <f t="shared" si="134"/>
        <v>-1.000532525955879</v>
      </c>
      <c r="BG160">
        <f t="shared" si="135"/>
        <v>-126.64994705279256</v>
      </c>
      <c r="BH160">
        <f t="shared" si="150"/>
        <v>53.350052947207445</v>
      </c>
      <c r="BI160">
        <f t="shared" si="151"/>
        <v>53.350052947207445</v>
      </c>
      <c r="BJ160">
        <f t="shared" si="136"/>
        <v>0</v>
      </c>
      <c r="BK160">
        <f t="shared" si="152"/>
        <v>0</v>
      </c>
      <c r="BM160">
        <f t="shared" si="153"/>
        <v>-22.49700150491676</v>
      </c>
      <c r="BN160">
        <f t="shared" si="137"/>
        <v>-175.35353532451717</v>
      </c>
      <c r="BQ160" s="56">
        <f t="shared" si="154"/>
        <v>38.398429779246015</v>
      </c>
      <c r="BR160" s="59"/>
      <c r="BS160" s="59"/>
      <c r="BT160" s="59">
        <v>3162.2779999999998</v>
      </c>
      <c r="BU160" s="59">
        <v>5.6099300000000003</v>
      </c>
      <c r="BV160" s="59">
        <v>-248.626</v>
      </c>
      <c r="BW160" s="61"/>
      <c r="BY160" s="59"/>
      <c r="BZ160" s="59"/>
      <c r="CA160" s="59"/>
      <c r="CC160" s="59"/>
    </row>
    <row r="161" spans="1:81" x14ac:dyDescent="0.25">
      <c r="A161">
        <f t="shared" si="106"/>
        <v>63500</v>
      </c>
      <c r="B161">
        <f t="shared" si="138"/>
        <v>63.5</v>
      </c>
      <c r="C161">
        <f t="shared" si="107"/>
        <v>1.0014495395792113</v>
      </c>
      <c r="D161">
        <f t="shared" si="108"/>
        <v>5.3810608089894567E-2</v>
      </c>
      <c r="F161">
        <f t="shared" si="109"/>
        <v>4.915196723037878E-3</v>
      </c>
      <c r="G161">
        <f t="shared" si="110"/>
        <v>2.7488127040857218E-2</v>
      </c>
      <c r="H161">
        <f t="shared" si="111"/>
        <v>-3.1141045229591429</v>
      </c>
      <c r="J161">
        <f t="shared" si="112"/>
        <v>15</v>
      </c>
      <c r="M161">
        <f t="shared" si="113"/>
        <v>4.2042019917962199E-2</v>
      </c>
      <c r="N161">
        <f t="shared" si="114"/>
        <v>-1.5707963250000001</v>
      </c>
      <c r="O161">
        <f t="shared" si="115"/>
        <v>17.145526203865231</v>
      </c>
      <c r="P161">
        <f t="shared" si="116"/>
        <v>1.5124389564340759</v>
      </c>
      <c r="Q161">
        <f t="shared" si="117"/>
        <v>16.243057025253893</v>
      </c>
      <c r="R161">
        <f t="shared" si="118"/>
        <v>1.5091926039421075</v>
      </c>
      <c r="S161">
        <f t="shared" si="119"/>
        <v>0.92442306795748186</v>
      </c>
      <c r="T161">
        <f t="shared" si="120"/>
        <v>-0.39127631113354672</v>
      </c>
      <c r="U161">
        <f t="shared" si="121"/>
        <v>0.9980825541518239</v>
      </c>
      <c r="V161">
        <f t="shared" si="122"/>
        <v>-6.1936401705595522E-2</v>
      </c>
      <c r="X161">
        <f t="shared" si="139"/>
        <v>-1.9639873104385126</v>
      </c>
      <c r="Y161">
        <f t="shared" si="123"/>
        <v>-118.18236543805172</v>
      </c>
      <c r="Z161">
        <f t="shared" si="140"/>
        <v>61.817634561948282</v>
      </c>
      <c r="AC161">
        <v>1</v>
      </c>
      <c r="AD161">
        <f t="shared" si="124"/>
        <v>17.116339234994999</v>
      </c>
      <c r="AE161">
        <f t="shared" si="125"/>
        <v>-8.1949389876203978E-5</v>
      </c>
      <c r="AF161">
        <f t="shared" si="126"/>
        <v>1.3214292668135999E-3</v>
      </c>
      <c r="AG161">
        <f t="shared" si="141"/>
        <v>12856.522220345038</v>
      </c>
      <c r="AH161">
        <f t="shared" si="142"/>
        <v>-1554.0628647033082</v>
      </c>
      <c r="AJ161">
        <f t="shared" si="127"/>
        <v>18000</v>
      </c>
      <c r="AK161">
        <f t="shared" si="128"/>
        <v>7425.8579450286006</v>
      </c>
      <c r="AL161">
        <v>1</v>
      </c>
      <c r="AM161">
        <f t="shared" si="129"/>
        <v>16.212245418992701</v>
      </c>
      <c r="AN161">
        <f t="shared" si="143"/>
        <v>524.52795894408439</v>
      </c>
      <c r="AO161">
        <f t="shared" si="144"/>
        <v>-1077.918054496223</v>
      </c>
      <c r="AQ161">
        <f t="shared" si="130"/>
        <v>0.61996280223186606</v>
      </c>
      <c r="AR161">
        <f t="shared" si="131"/>
        <v>-78.735275883446988</v>
      </c>
      <c r="AT161">
        <f t="shared" si="156"/>
        <v>-114389.00284995355</v>
      </c>
      <c r="AU161">
        <f t="shared" si="157"/>
        <v>-1013225.2850889789</v>
      </c>
      <c r="AV161">
        <f t="shared" si="145"/>
        <v>-1.6832162458372122</v>
      </c>
      <c r="AW161">
        <f t="shared" si="146"/>
        <v>-69650.441034013973</v>
      </c>
      <c r="AX161">
        <f t="shared" si="147"/>
        <v>-48980.751865933242</v>
      </c>
      <c r="AY161">
        <f t="shared" si="155"/>
        <v>-2.5286976554646134</v>
      </c>
      <c r="BA161">
        <f t="shared" si="132"/>
        <v>11.975075206082824</v>
      </c>
      <c r="BB161">
        <f t="shared" si="148"/>
        <v>21.565564991183734</v>
      </c>
      <c r="BC161">
        <f t="shared" si="149"/>
        <v>0.84548140962740126</v>
      </c>
      <c r="BD161">
        <f t="shared" si="133"/>
        <v>-131.55748351622475</v>
      </c>
      <c r="BF161">
        <f t="shared" si="134"/>
        <v>-1.0692103139000624</v>
      </c>
      <c r="BG161">
        <f t="shared" si="135"/>
        <v>-126.89940910815807</v>
      </c>
      <c r="BH161">
        <f t="shared" si="150"/>
        <v>53.100590891841932</v>
      </c>
      <c r="BI161">
        <f t="shared" si="151"/>
        <v>53.100590891841932</v>
      </c>
      <c r="BJ161">
        <f t="shared" si="136"/>
        <v>0</v>
      </c>
      <c r="BK161">
        <f t="shared" si="152"/>
        <v>0</v>
      </c>
      <c r="BM161">
        <f t="shared" si="153"/>
        <v>-22.634775305083792</v>
      </c>
      <c r="BN161">
        <f t="shared" si="137"/>
        <v>-175.34192559193335</v>
      </c>
      <c r="BQ161" s="56">
        <f t="shared" si="154"/>
        <v>38.467525791468866</v>
      </c>
      <c r="BR161" s="59"/>
      <c r="BS161" s="59"/>
      <c r="BT161" s="59">
        <v>3235.9369999999999</v>
      </c>
      <c r="BU161" s="59">
        <v>5.4320899999999996</v>
      </c>
      <c r="BV161" s="59">
        <v>-248.57499999999999</v>
      </c>
      <c r="BW161" s="61"/>
      <c r="BY161" s="59"/>
      <c r="BZ161" s="59"/>
      <c r="CA161" s="59"/>
      <c r="CC161" s="59"/>
    </row>
    <row r="162" spans="1:81" x14ac:dyDescent="0.25">
      <c r="A162">
        <f t="shared" si="106"/>
        <v>64000</v>
      </c>
      <c r="B162">
        <f t="shared" si="138"/>
        <v>64</v>
      </c>
      <c r="C162">
        <f t="shared" si="107"/>
        <v>1.0014724399982573</v>
      </c>
      <c r="D162">
        <f t="shared" si="108"/>
        <v>5.4233486565440824E-2</v>
      </c>
      <c r="F162">
        <f t="shared" si="109"/>
        <v>4.8383465149011767E-3</v>
      </c>
      <c r="G162">
        <f t="shared" si="110"/>
        <v>2.7271347850432559E-2</v>
      </c>
      <c r="H162">
        <f t="shared" si="111"/>
        <v>-3.1143213021495675</v>
      </c>
      <c r="J162">
        <f t="shared" si="112"/>
        <v>15</v>
      </c>
      <c r="M162">
        <f t="shared" si="113"/>
        <v>4.1713566637353122E-2</v>
      </c>
      <c r="N162">
        <f t="shared" si="114"/>
        <v>-1.5707963250000001</v>
      </c>
      <c r="O162">
        <f t="shared" si="115"/>
        <v>17.280072888994862</v>
      </c>
      <c r="P162">
        <f t="shared" si="116"/>
        <v>1.5128938510440988</v>
      </c>
      <c r="Q162">
        <f t="shared" si="117"/>
        <v>16.370472236612166</v>
      </c>
      <c r="R162">
        <f t="shared" si="118"/>
        <v>1.5096726804873939</v>
      </c>
      <c r="S162">
        <f t="shared" si="119"/>
        <v>0.92336206855006442</v>
      </c>
      <c r="T162">
        <f t="shared" si="120"/>
        <v>-0.39404908065519456</v>
      </c>
      <c r="U162">
        <f t="shared" si="121"/>
        <v>0.99805232778045494</v>
      </c>
      <c r="V162">
        <f t="shared" si="122"/>
        <v>-6.2422828932494782E-2</v>
      </c>
      <c r="X162">
        <f t="shared" si="139"/>
        <v>-2.0432665135970893</v>
      </c>
      <c r="Y162">
        <f t="shared" si="123"/>
        <v>-118.30372513612106</v>
      </c>
      <c r="Z162">
        <f t="shared" si="140"/>
        <v>61.696274863878941</v>
      </c>
      <c r="AC162">
        <v>1</v>
      </c>
      <c r="AD162">
        <f t="shared" si="124"/>
        <v>17.25111355968</v>
      </c>
      <c r="AE162">
        <f t="shared" si="125"/>
        <v>-8.3245012321391662E-5</v>
      </c>
      <c r="AF162">
        <f t="shared" si="126"/>
        <v>1.3318342216704E-3</v>
      </c>
      <c r="AG162">
        <f t="shared" si="141"/>
        <v>12855.743526981103</v>
      </c>
      <c r="AH162">
        <f t="shared" si="142"/>
        <v>-1554.3800381610233</v>
      </c>
      <c r="AJ162">
        <f t="shared" si="127"/>
        <v>18000</v>
      </c>
      <c r="AK162">
        <f t="shared" si="128"/>
        <v>7484.3292674304003</v>
      </c>
      <c r="AL162">
        <v>1</v>
      </c>
      <c r="AM162">
        <f t="shared" si="129"/>
        <v>16.3399008947328</v>
      </c>
      <c r="AN162">
        <f t="shared" si="143"/>
        <v>523.49700506071156</v>
      </c>
      <c r="AO162">
        <f t="shared" si="144"/>
        <v>-1069.5599139510616</v>
      </c>
      <c r="AQ162">
        <f t="shared" si="130"/>
        <v>0.61031431187061336</v>
      </c>
      <c r="AR162">
        <f t="shared" si="131"/>
        <v>-78.12023191943851</v>
      </c>
      <c r="AT162">
        <f t="shared" si="156"/>
        <v>-113582.48480783026</v>
      </c>
      <c r="AU162">
        <f t="shared" si="157"/>
        <v>-1005242.3262079599</v>
      </c>
      <c r="AV162">
        <f t="shared" si="145"/>
        <v>-1.683309290418088</v>
      </c>
      <c r="AW162">
        <f t="shared" si="146"/>
        <v>-68342.336198857636</v>
      </c>
      <c r="AX162">
        <f t="shared" si="147"/>
        <v>-48521.298127206595</v>
      </c>
      <c r="AY162">
        <f t="shared" si="155"/>
        <v>-2.5242038893008636</v>
      </c>
      <c r="BA162">
        <f t="shared" si="132"/>
        <v>12.069870044317714</v>
      </c>
      <c r="BB162">
        <f t="shared" si="148"/>
        <v>21.634051881914598</v>
      </c>
      <c r="BC162">
        <f t="shared" si="149"/>
        <v>0.84089459888277562</v>
      </c>
      <c r="BD162">
        <f t="shared" si="133"/>
        <v>-131.82028841361733</v>
      </c>
      <c r="BF162">
        <f t="shared" si="134"/>
        <v>-1.1374035194768752</v>
      </c>
      <c r="BG162">
        <f t="shared" si="135"/>
        <v>-127.15040538633903</v>
      </c>
      <c r="BH162">
        <f t="shared" si="150"/>
        <v>52.849594613660969</v>
      </c>
      <c r="BI162">
        <f t="shared" si="151"/>
        <v>52.849594613660969</v>
      </c>
      <c r="BJ162">
        <f t="shared" si="136"/>
        <v>0</v>
      </c>
      <c r="BK162">
        <f t="shared" si="152"/>
        <v>0</v>
      </c>
      <c r="BM162">
        <f t="shared" si="153"/>
        <v>-22.771455401391471</v>
      </c>
      <c r="BN162">
        <f t="shared" si="137"/>
        <v>-175.3301169727217</v>
      </c>
      <c r="BQ162" s="56">
        <f t="shared" si="154"/>
        <v>38.536012682199733</v>
      </c>
      <c r="BR162" s="59"/>
      <c r="BS162" s="59"/>
      <c r="BT162" s="59">
        <v>3311.3110000000001</v>
      </c>
      <c r="BU162" s="59">
        <v>5.2356100000000003</v>
      </c>
      <c r="BV162" s="59">
        <v>-247.75799999999998</v>
      </c>
      <c r="BW162" s="61"/>
      <c r="BY162" s="59"/>
      <c r="BZ162" s="59"/>
      <c r="CA162" s="59"/>
      <c r="CC162" s="59"/>
    </row>
    <row r="163" spans="1:81" x14ac:dyDescent="0.25">
      <c r="A163">
        <f t="shared" si="106"/>
        <v>64500</v>
      </c>
      <c r="B163">
        <f t="shared" si="138"/>
        <v>64.5</v>
      </c>
      <c r="C163">
        <f t="shared" si="107"/>
        <v>1.0014955194986104</v>
      </c>
      <c r="D163">
        <f t="shared" si="108"/>
        <v>5.4656345626103033E-2</v>
      </c>
      <c r="F163">
        <f t="shared" si="109"/>
        <v>4.7632873221153654E-3</v>
      </c>
      <c r="G163">
        <f t="shared" si="110"/>
        <v>2.7057976471319054E-2</v>
      </c>
      <c r="H163">
        <f t="shared" si="111"/>
        <v>-3.1145346735286812</v>
      </c>
      <c r="J163">
        <f t="shared" si="112"/>
        <v>15</v>
      </c>
      <c r="M163">
        <f t="shared" si="113"/>
        <v>4.1390205655668214E-2</v>
      </c>
      <c r="N163">
        <f t="shared" si="114"/>
        <v>-1.5707963250000001</v>
      </c>
      <c r="O163">
        <f t="shared" si="115"/>
        <v>17.414623094621074</v>
      </c>
      <c r="P163">
        <f t="shared" si="116"/>
        <v>1.5133417164618868</v>
      </c>
      <c r="Q163">
        <f t="shared" si="117"/>
        <v>16.497891162651744</v>
      </c>
      <c r="R163">
        <f t="shared" si="118"/>
        <v>1.5101453415454351</v>
      </c>
      <c r="S163">
        <f t="shared" si="119"/>
        <v>0.92229643541223505</v>
      </c>
      <c r="T163">
        <f t="shared" si="120"/>
        <v>-0.39681547141243334</v>
      </c>
      <c r="U163">
        <f t="shared" si="121"/>
        <v>0.99802186711789564</v>
      </c>
      <c r="V163">
        <f t="shared" si="122"/>
        <v>-6.290922658285468E-2</v>
      </c>
      <c r="X163">
        <f t="shared" si="139"/>
        <v>-2.1220453239143269</v>
      </c>
      <c r="Y163">
        <f t="shared" si="123"/>
        <v>-118.42535114165673</v>
      </c>
      <c r="Z163">
        <f t="shared" si="140"/>
        <v>61.574648858343267</v>
      </c>
      <c r="AC163">
        <v>1</v>
      </c>
      <c r="AD163">
        <f t="shared" si="124"/>
        <v>17.385887884365001</v>
      </c>
      <c r="AE163">
        <f t="shared" si="125"/>
        <v>-8.4550796511247484E-5</v>
      </c>
      <c r="AF163">
        <f t="shared" si="126"/>
        <v>1.3422391765272E-3</v>
      </c>
      <c r="AG163">
        <f t="shared" si="141"/>
        <v>12854.958821652792</v>
      </c>
      <c r="AH163">
        <f t="shared" si="142"/>
        <v>-1554.787733799797</v>
      </c>
      <c r="AJ163">
        <f t="shared" si="127"/>
        <v>18000</v>
      </c>
      <c r="AK163">
        <f t="shared" si="128"/>
        <v>7542.8005898321999</v>
      </c>
      <c r="AL163">
        <v>1</v>
      </c>
      <c r="AM163">
        <f t="shared" si="129"/>
        <v>16.467556370472899</v>
      </c>
      <c r="AN163">
        <f t="shared" si="143"/>
        <v>522.48981634513871</v>
      </c>
      <c r="AO163">
        <f t="shared" si="144"/>
        <v>-1061.3299138294042</v>
      </c>
      <c r="AQ163">
        <f t="shared" si="130"/>
        <v>0.60088931618795816</v>
      </c>
      <c r="AR163">
        <f t="shared" si="131"/>
        <v>-77.514721788246604</v>
      </c>
      <c r="AT163">
        <f t="shared" si="156"/>
        <v>-112794.53120930238</v>
      </c>
      <c r="AU163">
        <f t="shared" si="157"/>
        <v>-997382.81199796288</v>
      </c>
      <c r="AV163">
        <f t="shared" si="145"/>
        <v>-1.6834083809985541</v>
      </c>
      <c r="AW163">
        <f t="shared" si="146"/>
        <v>-67064.38983235482</v>
      </c>
      <c r="AX163">
        <f t="shared" si="147"/>
        <v>-48071.148754471738</v>
      </c>
      <c r="AY163">
        <f t="shared" si="155"/>
        <v>-2.5196862497164516</v>
      </c>
      <c r="BA163">
        <f t="shared" si="132"/>
        <v>12.164570379685816</v>
      </c>
      <c r="BB163">
        <f t="shared" si="148"/>
        <v>21.70193550820315</v>
      </c>
      <c r="BC163">
        <f t="shared" si="149"/>
        <v>0.83627786871789755</v>
      </c>
      <c r="BD163">
        <f t="shared" si="133"/>
        <v>-132.08480756751786</v>
      </c>
      <c r="BF163">
        <f t="shared" si="134"/>
        <v>-1.2051235169952252</v>
      </c>
      <c r="BG163">
        <f t="shared" si="135"/>
        <v>-127.40292178021313</v>
      </c>
      <c r="BH163">
        <f t="shared" si="150"/>
        <v>52.597078219786866</v>
      </c>
      <c r="BI163">
        <f t="shared" si="151"/>
        <v>52.597078219786866</v>
      </c>
      <c r="BJ163">
        <f t="shared" si="136"/>
        <v>0</v>
      </c>
      <c r="BK163">
        <f t="shared" si="152"/>
        <v>0</v>
      </c>
      <c r="BM163">
        <f t="shared" si="153"/>
        <v>-22.907059025198375</v>
      </c>
      <c r="BN163">
        <f t="shared" si="137"/>
        <v>-175.31811421269529</v>
      </c>
      <c r="BQ163" s="56">
        <f t="shared" si="154"/>
        <v>38.603896308488281</v>
      </c>
      <c r="BR163" s="59"/>
      <c r="BS163" s="59"/>
      <c r="BT163" s="59">
        <v>3388.442</v>
      </c>
      <c r="BU163" s="59">
        <v>5.0528199999999996</v>
      </c>
      <c r="BV163" s="59">
        <v>-247.756</v>
      </c>
      <c r="BW163" s="61"/>
      <c r="BY163" s="59"/>
      <c r="BZ163" s="59"/>
      <c r="CA163" s="59"/>
      <c r="CC163" s="59"/>
    </row>
    <row r="164" spans="1:81" x14ac:dyDescent="0.25">
      <c r="A164">
        <f t="shared" si="106"/>
        <v>65000</v>
      </c>
      <c r="B164">
        <f t="shared" si="138"/>
        <v>65</v>
      </c>
      <c r="C164">
        <f t="shared" si="107"/>
        <v>1.00151877806789</v>
      </c>
      <c r="D164">
        <f t="shared" si="108"/>
        <v>5.5079185122006012E-2</v>
      </c>
      <c r="F164">
        <f t="shared" si="109"/>
        <v>4.6899638403756745E-3</v>
      </c>
      <c r="G164">
        <f t="shared" si="110"/>
        <v>2.6847932825127284E-2</v>
      </c>
      <c r="H164">
        <f t="shared" si="111"/>
        <v>-3.1147447171748728</v>
      </c>
      <c r="J164">
        <f t="shared" si="112"/>
        <v>15</v>
      </c>
      <c r="M164">
        <f t="shared" si="113"/>
        <v>4.1071819458316922E-2</v>
      </c>
      <c r="N164">
        <f t="shared" si="114"/>
        <v>-1.5707963250000001</v>
      </c>
      <c r="O164">
        <f t="shared" si="115"/>
        <v>17.549176739768534</v>
      </c>
      <c r="P164">
        <f t="shared" si="116"/>
        <v>1.5137827141890581</v>
      </c>
      <c r="Q164">
        <f t="shared" si="117"/>
        <v>16.625313717962989</v>
      </c>
      <c r="R164">
        <f t="shared" si="118"/>
        <v>1.5106107574076852</v>
      </c>
      <c r="S164">
        <f t="shared" si="119"/>
        <v>0.92122623341429533</v>
      </c>
      <c r="T164">
        <f t="shared" si="120"/>
        <v>-0.39957546319596488</v>
      </c>
      <c r="U164">
        <f t="shared" si="121"/>
        <v>0.99799117222883427</v>
      </c>
      <c r="V164">
        <f t="shared" si="122"/>
        <v>-6.3395594429247248E-2</v>
      </c>
      <c r="X164">
        <f t="shared" si="139"/>
        <v>-2.2003322876933655</v>
      </c>
      <c r="Y164">
        <f t="shared" si="123"/>
        <v>-118.54722787011883</v>
      </c>
      <c r="Z164">
        <f t="shared" si="140"/>
        <v>61.452772129881168</v>
      </c>
      <c r="AC164">
        <v>1</v>
      </c>
      <c r="AD164">
        <f t="shared" si="124"/>
        <v>17.520662209050002</v>
      </c>
      <c r="AE164">
        <f t="shared" si="125"/>
        <v>-8.5866742445771428E-5</v>
      </c>
      <c r="AF164">
        <f t="shared" si="126"/>
        <v>1.3526441313840001E-3</v>
      </c>
      <c r="AG164">
        <f t="shared" si="141"/>
        <v>12854.168106579107</v>
      </c>
      <c r="AH164">
        <f t="shared" si="142"/>
        <v>-1555.2838276907057</v>
      </c>
      <c r="AJ164">
        <f t="shared" si="127"/>
        <v>18000</v>
      </c>
      <c r="AK164">
        <f t="shared" si="128"/>
        <v>7601.2719122340004</v>
      </c>
      <c r="AL164">
        <v>1</v>
      </c>
      <c r="AM164">
        <f t="shared" si="129"/>
        <v>16.595211846213001</v>
      </c>
      <c r="AN164">
        <f t="shared" si="143"/>
        <v>521.50566881011355</v>
      </c>
      <c r="AO164">
        <f t="shared" si="144"/>
        <v>-1053.2251406708285</v>
      </c>
      <c r="AQ164">
        <f t="shared" si="130"/>
        <v>0.59168096562333594</v>
      </c>
      <c r="AR164">
        <f t="shared" si="131"/>
        <v>-76.918525531033666</v>
      </c>
      <c r="AT164">
        <f t="shared" si="156"/>
        <v>-112024.57221064589</v>
      </c>
      <c r="AU164">
        <f t="shared" si="157"/>
        <v>-989643.8895230901</v>
      </c>
      <c r="AV164">
        <f t="shared" si="145"/>
        <v>-1.6835133778543334</v>
      </c>
      <c r="AW164">
        <f t="shared" si="146"/>
        <v>-65815.684225010758</v>
      </c>
      <c r="AX164">
        <f t="shared" si="147"/>
        <v>-47630.026287807268</v>
      </c>
      <c r="AY164">
        <f t="shared" si="155"/>
        <v>-2.5151449191651323</v>
      </c>
      <c r="BA164">
        <f t="shared" si="132"/>
        <v>12.259170258014587</v>
      </c>
      <c r="BB164">
        <f t="shared" si="148"/>
        <v>21.769221533239566</v>
      </c>
      <c r="BC164">
        <f t="shared" si="149"/>
        <v>0.83163154131079886</v>
      </c>
      <c r="BD164">
        <f t="shared" si="133"/>
        <v>-132.35102251848477</v>
      </c>
      <c r="BF164">
        <f t="shared" si="134"/>
        <v>-1.2723814683013477</v>
      </c>
      <c r="BG164">
        <f t="shared" si="135"/>
        <v>-127.65694442707974</v>
      </c>
      <c r="BH164">
        <f t="shared" si="150"/>
        <v>52.343055572920264</v>
      </c>
      <c r="BI164">
        <f t="shared" si="151"/>
        <v>52.343055572920264</v>
      </c>
      <c r="BJ164">
        <f t="shared" si="136"/>
        <v>0</v>
      </c>
      <c r="BK164">
        <f t="shared" si="152"/>
        <v>0</v>
      </c>
      <c r="BM164">
        <f t="shared" si="153"/>
        <v>-23.04160300154091</v>
      </c>
      <c r="BN164">
        <f t="shared" si="137"/>
        <v>-175.305921908595</v>
      </c>
      <c r="BQ164" s="56">
        <f t="shared" si="154"/>
        <v>38.671182333524698</v>
      </c>
      <c r="BR164" s="59"/>
      <c r="BS164" s="59"/>
      <c r="BT164" s="59">
        <v>3467.3690000000001</v>
      </c>
      <c r="BU164" s="59">
        <v>4.9028999999999998</v>
      </c>
      <c r="BV164" s="59">
        <v>-247.51300000000001</v>
      </c>
      <c r="BW164" s="61"/>
      <c r="BY164" s="59"/>
      <c r="BZ164" s="59"/>
      <c r="CA164" s="59"/>
      <c r="CC164" s="59"/>
    </row>
    <row r="165" spans="1:81" x14ac:dyDescent="0.25">
      <c r="A165">
        <f t="shared" si="106"/>
        <v>65500</v>
      </c>
      <c r="B165">
        <f t="shared" si="138"/>
        <v>65.5</v>
      </c>
      <c r="C165">
        <f t="shared" si="107"/>
        <v>1.0015422156936207</v>
      </c>
      <c r="D165">
        <f t="shared" si="108"/>
        <v>5.5502004903316408E-2</v>
      </c>
      <c r="F165">
        <f t="shared" si="109"/>
        <v>4.6183228866766672E-3</v>
      </c>
      <c r="G165">
        <f t="shared" si="110"/>
        <v>2.6641139333279065E-2</v>
      </c>
      <c r="H165">
        <f t="shared" si="111"/>
        <v>-3.1149515106667209</v>
      </c>
      <c r="J165">
        <f t="shared" si="112"/>
        <v>15</v>
      </c>
      <c r="M165">
        <f t="shared" si="113"/>
        <v>4.0758294118940455E-2</v>
      </c>
      <c r="N165">
        <f t="shared" si="114"/>
        <v>-1.5707963250000001</v>
      </c>
      <c r="O165">
        <f t="shared" si="115"/>
        <v>17.683733745924378</v>
      </c>
      <c r="P165">
        <f t="shared" si="116"/>
        <v>1.5142170008225877</v>
      </c>
      <c r="Q165">
        <f t="shared" si="117"/>
        <v>16.752739819732376</v>
      </c>
      <c r="R165">
        <f t="shared" si="118"/>
        <v>1.5110690931972355</v>
      </c>
      <c r="S165">
        <f t="shared" si="119"/>
        <v>0.92015152727048044</v>
      </c>
      <c r="T165">
        <f t="shared" si="120"/>
        <v>-0.4023290362798248</v>
      </c>
      <c r="U165">
        <f t="shared" si="121"/>
        <v>0.99796024317844478</v>
      </c>
      <c r="V165">
        <f t="shared" si="122"/>
        <v>-6.3881932244328823E-2</v>
      </c>
      <c r="X165">
        <f t="shared" si="139"/>
        <v>-2.2781357329295657</v>
      </c>
      <c r="Y165">
        <f t="shared" si="123"/>
        <v>-118.6693401985748</v>
      </c>
      <c r="Z165">
        <f t="shared" si="140"/>
        <v>61.330659801425199</v>
      </c>
      <c r="AC165">
        <v>1</v>
      </c>
      <c r="AD165">
        <f t="shared" si="124"/>
        <v>17.655436533735003</v>
      </c>
      <c r="AE165">
        <f t="shared" si="125"/>
        <v>-8.7192850124963523E-5</v>
      </c>
      <c r="AF165">
        <f t="shared" si="126"/>
        <v>1.3630490862407999E-3</v>
      </c>
      <c r="AG165">
        <f t="shared" si="141"/>
        <v>12853.371383995622</v>
      </c>
      <c r="AH165">
        <f t="shared" si="142"/>
        <v>-1555.8662604983933</v>
      </c>
      <c r="AJ165">
        <f t="shared" si="127"/>
        <v>18000</v>
      </c>
      <c r="AK165">
        <f t="shared" si="128"/>
        <v>7659.7432346358009</v>
      </c>
      <c r="AL165">
        <v>1</v>
      </c>
      <c r="AM165">
        <f t="shared" si="129"/>
        <v>16.7228673219531</v>
      </c>
      <c r="AN165">
        <f t="shared" si="143"/>
        <v>520.54386579684137</v>
      </c>
      <c r="AO165">
        <f t="shared" si="144"/>
        <v>-1045.2427683413384</v>
      </c>
      <c r="AQ165">
        <f t="shared" si="130"/>
        <v>0.58268267101736393</v>
      </c>
      <c r="AR165">
        <f t="shared" si="131"/>
        <v>-76.331429903274682</v>
      </c>
      <c r="AT165">
        <f t="shared" si="156"/>
        <v>-111272.05963249849</v>
      </c>
      <c r="AU165">
        <f t="shared" si="157"/>
        <v>-982022.79312663153</v>
      </c>
      <c r="AV165">
        <f t="shared" si="145"/>
        <v>-1.683624145494041</v>
      </c>
      <c r="AW165">
        <f t="shared" si="146"/>
        <v>-64595.336270095388</v>
      </c>
      <c r="AX165">
        <f t="shared" si="147"/>
        <v>-47197.66408762824</v>
      </c>
      <c r="AY165">
        <f t="shared" si="155"/>
        <v>-2.5105800779178282</v>
      </c>
      <c r="BA165">
        <f t="shared" si="132"/>
        <v>12.353663617736366</v>
      </c>
      <c r="BB165">
        <f t="shared" si="148"/>
        <v>21.8359154321011</v>
      </c>
      <c r="BC165">
        <f t="shared" si="149"/>
        <v>0.82695593242378718</v>
      </c>
      <c r="BD165">
        <f t="shared" si="133"/>
        <v>-132.61891517467052</v>
      </c>
      <c r="BF165">
        <f t="shared" si="134"/>
        <v>-1.3391883297592782</v>
      </c>
      <c r="BG165">
        <f t="shared" si="135"/>
        <v>-127.91245968860129</v>
      </c>
      <c r="BH165">
        <f t="shared" si="150"/>
        <v>52.087540311398712</v>
      </c>
      <c r="BI165">
        <f t="shared" si="151"/>
        <v>52.087540311398712</v>
      </c>
      <c r="BJ165">
        <f t="shared" si="136"/>
        <v>0</v>
      </c>
      <c r="BK165">
        <f t="shared" si="152"/>
        <v>0</v>
      </c>
      <c r="BM165">
        <f t="shared" si="153"/>
        <v>-23.175103761860377</v>
      </c>
      <c r="BN165">
        <f t="shared" si="137"/>
        <v>-175.29354451393078</v>
      </c>
      <c r="BQ165" s="56">
        <f t="shared" si="154"/>
        <v>38.737876232386242</v>
      </c>
      <c r="BR165" s="59"/>
      <c r="BS165" s="59"/>
      <c r="BT165" s="59">
        <v>3548.134</v>
      </c>
      <c r="BU165" s="59">
        <v>4.6522600000000001</v>
      </c>
      <c r="BV165" s="59">
        <v>-246.726</v>
      </c>
      <c r="BW165" s="61"/>
      <c r="BY165" s="59"/>
      <c r="BZ165" s="59"/>
      <c r="CA165" s="59"/>
      <c r="CC165" s="59"/>
    </row>
    <row r="166" spans="1:81" x14ac:dyDescent="0.25">
      <c r="A166">
        <f t="shared" ref="A166:A200" si="158">A165+500</f>
        <v>66000</v>
      </c>
      <c r="B166">
        <f t="shared" si="138"/>
        <v>66</v>
      </c>
      <c r="C166">
        <f t="shared" si="107"/>
        <v>1.0015658323632322</v>
      </c>
      <c r="D166">
        <f t="shared" si="108"/>
        <v>5.5924804820243042E-2</v>
      </c>
      <c r="F166">
        <f t="shared" si="109"/>
        <v>4.5483133022823702E-3</v>
      </c>
      <c r="G166">
        <f t="shared" si="110"/>
        <v>2.6437520819836632E-2</v>
      </c>
      <c r="H166">
        <f t="shared" si="111"/>
        <v>-3.1151551291801636</v>
      </c>
      <c r="J166">
        <f t="shared" si="112"/>
        <v>15</v>
      </c>
      <c r="M166">
        <f t="shared" si="113"/>
        <v>4.044951916349393E-2</v>
      </c>
      <c r="N166">
        <f t="shared" si="114"/>
        <v>-1.5707963250000001</v>
      </c>
      <c r="O166">
        <f t="shared" si="115"/>
        <v>17.818294036945424</v>
      </c>
      <c r="P166">
        <f t="shared" si="116"/>
        <v>1.5146447282393958</v>
      </c>
      <c r="Q166">
        <f t="shared" si="117"/>
        <v>16.880169387644731</v>
      </c>
      <c r="R166">
        <f t="shared" si="118"/>
        <v>1.511520509063182</v>
      </c>
      <c r="S166">
        <f t="shared" si="119"/>
        <v>0.91907238153134807</v>
      </c>
      <c r="T166">
        <f t="shared" si="120"/>
        <v>-0.40507617141902652</v>
      </c>
      <c r="U166">
        <f t="shared" si="121"/>
        <v>0.997929080032389</v>
      </c>
      <c r="V166">
        <f t="shared" si="122"/>
        <v>-6.4368239800840596E-2</v>
      </c>
      <c r="X166">
        <f t="shared" si="139"/>
        <v>-2.3554637764479729</v>
      </c>
      <c r="Y166">
        <f t="shared" si="123"/>
        <v>-118.79167344941992</v>
      </c>
      <c r="Z166">
        <f t="shared" si="140"/>
        <v>61.208326550580082</v>
      </c>
      <c r="AC166">
        <v>1</v>
      </c>
      <c r="AD166">
        <f t="shared" si="124"/>
        <v>17.79021085842</v>
      </c>
      <c r="AE166">
        <f t="shared" si="125"/>
        <v>-8.8529119548823754E-5</v>
      </c>
      <c r="AF166">
        <f t="shared" si="126"/>
        <v>1.3734540410976E-3</v>
      </c>
      <c r="AG166">
        <f t="shared" si="141"/>
        <v>12852.568656154486</v>
      </c>
      <c r="AH166">
        <f t="shared" si="142"/>
        <v>-1556.5330350345866</v>
      </c>
      <c r="AJ166">
        <f t="shared" si="127"/>
        <v>18000</v>
      </c>
      <c r="AK166">
        <f t="shared" si="128"/>
        <v>7718.2145570376006</v>
      </c>
      <c r="AL166">
        <v>1</v>
      </c>
      <c r="AM166">
        <f t="shared" si="129"/>
        <v>16.850522797693202</v>
      </c>
      <c r="AN166">
        <f t="shared" si="143"/>
        <v>519.603736747835</v>
      </c>
      <c r="AO166">
        <f t="shared" si="144"/>
        <v>-1037.3800547983703</v>
      </c>
      <c r="AQ166">
        <f t="shared" si="130"/>
        <v>0.57388809182209466</v>
      </c>
      <c r="AR166">
        <f t="shared" si="131"/>
        <v>-75.753228120516496</v>
      </c>
      <c r="AT166">
        <f t="shared" si="156"/>
        <v>-110536.46597900198</v>
      </c>
      <c r="AU166">
        <f t="shared" si="157"/>
        <v>-974516.84111760498</v>
      </c>
      <c r="AV166">
        <f t="shared" si="145"/>
        <v>-1.6837405525000424</v>
      </c>
      <c r="AW166">
        <f t="shared" si="146"/>
        <v>-63402.49591183813</v>
      </c>
      <c r="AX166">
        <f t="shared" si="147"/>
        <v>-46773.805820179681</v>
      </c>
      <c r="AY166">
        <f t="shared" si="155"/>
        <v>-2.5059919043372947</v>
      </c>
      <c r="BA166">
        <f t="shared" si="132"/>
        <v>12.448044290081016</v>
      </c>
      <c r="BB166">
        <f t="shared" si="148"/>
        <v>21.902022497320321</v>
      </c>
      <c r="BC166">
        <f t="shared" si="149"/>
        <v>0.82225135183725229</v>
      </c>
      <c r="BD166">
        <f t="shared" si="133"/>
        <v>-132.88846778696615</v>
      </c>
      <c r="BF166">
        <f t="shared" si="134"/>
        <v>-1.4055548589133651</v>
      </c>
      <c r="BG166">
        <f t="shared" si="135"/>
        <v>-128.16945413151518</v>
      </c>
      <c r="BH166">
        <f t="shared" si="150"/>
        <v>51.830545868484819</v>
      </c>
      <c r="BI166">
        <f t="shared" si="151"/>
        <v>51.830545868484819</v>
      </c>
      <c r="BJ166">
        <f t="shared" si="136"/>
        <v>0</v>
      </c>
      <c r="BK166">
        <f t="shared" si="152"/>
        <v>0</v>
      </c>
      <c r="BM166">
        <f t="shared" si="153"/>
        <v>-23.307577356233686</v>
      </c>
      <c r="BN166">
        <f t="shared" si="137"/>
        <v>-175.28098634454906</v>
      </c>
      <c r="BQ166" s="56">
        <f t="shared" si="154"/>
        <v>38.803983297605463</v>
      </c>
      <c r="BR166" s="59"/>
      <c r="BS166" s="59"/>
      <c r="BT166" s="59">
        <v>3630.7809999999999</v>
      </c>
      <c r="BU166" s="59">
        <v>4.4950999999999999</v>
      </c>
      <c r="BV166" s="59">
        <v>-246.21199999999999</v>
      </c>
      <c r="BW166" s="61"/>
      <c r="BY166" s="59"/>
      <c r="BZ166" s="59"/>
      <c r="CA166" s="59"/>
      <c r="CC166" s="59"/>
    </row>
    <row r="167" spans="1:81" x14ac:dyDescent="0.25">
      <c r="A167">
        <f t="shared" si="158"/>
        <v>66500</v>
      </c>
      <c r="B167">
        <f t="shared" si="138"/>
        <v>66.5</v>
      </c>
      <c r="C167">
        <f t="shared" si="107"/>
        <v>1.0015896280640593</v>
      </c>
      <c r="D167">
        <f t="shared" si="108"/>
        <v>5.6347584723037233E-2</v>
      </c>
      <c r="F167">
        <f t="shared" si="109"/>
        <v>4.4798858608420594E-3</v>
      </c>
      <c r="G167">
        <f t="shared" si="110"/>
        <v>2.6237004418845928E-2</v>
      </c>
      <c r="H167">
        <f t="shared" si="111"/>
        <v>-3.1153556455811544</v>
      </c>
      <c r="J167">
        <f t="shared" si="112"/>
        <v>15</v>
      </c>
      <c r="M167">
        <f t="shared" si="113"/>
        <v>4.0145387440460145E-2</v>
      </c>
      <c r="N167">
        <f t="shared" si="114"/>
        <v>-1.5707963250000001</v>
      </c>
      <c r="O167">
        <f t="shared" si="115"/>
        <v>17.952857538969496</v>
      </c>
      <c r="P167">
        <f t="shared" si="116"/>
        <v>1.5150660437726688</v>
      </c>
      <c r="Q167">
        <f t="shared" si="117"/>
        <v>17.007602343789749</v>
      </c>
      <c r="R167">
        <f t="shared" si="118"/>
        <v>1.5119651603662989</v>
      </c>
      <c r="S167">
        <f t="shared" si="119"/>
        <v>0.91798886057629836</v>
      </c>
      <c r="T167">
        <f t="shared" si="120"/>
        <v>-0.40781684984714667</v>
      </c>
      <c r="U167">
        <f t="shared" si="121"/>
        <v>0.99789768285681335</v>
      </c>
      <c r="V167">
        <f t="shared" si="122"/>
        <v>-6.4854516871609341E-2</v>
      </c>
      <c r="X167">
        <f t="shared" si="139"/>
        <v>-2.4323243307526128</v>
      </c>
      <c r="Y167">
        <f t="shared" si="123"/>
        <v>-118.91421337480622</v>
      </c>
      <c r="Z167">
        <f t="shared" si="140"/>
        <v>61.085786625193776</v>
      </c>
      <c r="AC167">
        <v>1</v>
      </c>
      <c r="AD167">
        <f t="shared" si="124"/>
        <v>17.924985183105001</v>
      </c>
      <c r="AE167">
        <f t="shared" si="125"/>
        <v>-8.9875550717352136E-5</v>
      </c>
      <c r="AF167">
        <f t="shared" si="126"/>
        <v>1.3838589959544001E-3</v>
      </c>
      <c r="AG167">
        <f t="shared" si="141"/>
        <v>12851.759925324403</v>
      </c>
      <c r="AH167">
        <f t="shared" si="142"/>
        <v>-1557.2822139219875</v>
      </c>
      <c r="AJ167">
        <f t="shared" si="127"/>
        <v>18000</v>
      </c>
      <c r="AK167">
        <f t="shared" si="128"/>
        <v>7776.6858794394011</v>
      </c>
      <c r="AL167">
        <v>1</v>
      </c>
      <c r="AM167">
        <f t="shared" si="129"/>
        <v>16.978178273433301</v>
      </c>
      <c r="AN167">
        <f t="shared" si="143"/>
        <v>518.6846360434987</v>
      </c>
      <c r="AO167">
        <f t="shared" si="144"/>
        <v>-1029.6343389979882</v>
      </c>
      <c r="AQ167">
        <f t="shared" si="130"/>
        <v>0.56529112492933864</v>
      </c>
      <c r="AR167">
        <f t="shared" si="131"/>
        <v>-75.18371961560203</v>
      </c>
      <c r="AT167">
        <f t="shared" si="156"/>
        <v>-109817.28350836626</v>
      </c>
      <c r="AU167">
        <f t="shared" si="157"/>
        <v>-967123.43260716088</v>
      </c>
      <c r="AV167">
        <f t="shared" si="145"/>
        <v>-1.6838624713764299</v>
      </c>
      <c r="AW167">
        <f t="shared" si="146"/>
        <v>-62236.344674101092</v>
      </c>
      <c r="AX167">
        <f t="shared" si="147"/>
        <v>-46358.20497163431</v>
      </c>
      <c r="AY167">
        <f t="shared" si="155"/>
        <v>-2.5013805751425373</v>
      </c>
      <c r="BA167">
        <f t="shared" si="132"/>
        <v>12.542305999349933</v>
      </c>
      <c r="BB167">
        <f t="shared" si="148"/>
        <v>21.967547844283352</v>
      </c>
      <c r="BC167">
        <f t="shared" si="149"/>
        <v>0.81751810376610745</v>
      </c>
      <c r="BD167">
        <f t="shared" si="133"/>
        <v>-133.15966292514105</v>
      </c>
      <c r="BF167">
        <f t="shared" si="134"/>
        <v>-1.4714916208475324</v>
      </c>
      <c r="BG167">
        <f t="shared" si="135"/>
        <v>-128.42791450908243</v>
      </c>
      <c r="BH167">
        <f t="shared" si="150"/>
        <v>51.572085490917573</v>
      </c>
      <c r="BI167">
        <f t="shared" si="151"/>
        <v>51.572085490917573</v>
      </c>
      <c r="BJ167">
        <f t="shared" si="136"/>
        <v>0</v>
      </c>
      <c r="BK167">
        <f t="shared" si="152"/>
        <v>0</v>
      </c>
      <c r="BM167">
        <f t="shared" si="153"/>
        <v>-23.439039465130879</v>
      </c>
      <c r="BN167">
        <f t="shared" si="137"/>
        <v>-175.26825158394138</v>
      </c>
      <c r="BQ167" s="56">
        <f t="shared" si="154"/>
        <v>38.869508644568484</v>
      </c>
      <c r="BR167" s="59"/>
      <c r="BS167" s="59"/>
      <c r="BT167" s="59">
        <v>3715.3519999999999</v>
      </c>
      <c r="BU167" s="59">
        <v>4.3437000000000001</v>
      </c>
      <c r="BV167" s="59">
        <v>-245.97</v>
      </c>
      <c r="BW167" s="61"/>
      <c r="BY167" s="59"/>
      <c r="BZ167" s="59"/>
      <c r="CA167" s="59"/>
      <c r="CC167" s="59"/>
    </row>
    <row r="168" spans="1:81" x14ac:dyDescent="0.25">
      <c r="A168">
        <f t="shared" si="158"/>
        <v>67000</v>
      </c>
      <c r="B168">
        <f t="shared" si="138"/>
        <v>67</v>
      </c>
      <c r="C168">
        <f t="shared" si="107"/>
        <v>1.0016136027833422</v>
      </c>
      <c r="D168">
        <f t="shared" si="108"/>
        <v>5.6770344461993069E-2</v>
      </c>
      <c r="F168">
        <f t="shared" si="109"/>
        <v>4.4129931813417633E-3</v>
      </c>
      <c r="G168">
        <f t="shared" si="110"/>
        <v>2.60395194859506E-2</v>
      </c>
      <c r="H168">
        <f t="shared" si="111"/>
        <v>-3.1155531305140496</v>
      </c>
      <c r="J168">
        <f t="shared" si="112"/>
        <v>15</v>
      </c>
      <c r="M168">
        <f t="shared" si="113"/>
        <v>3.9845794996874621E-2</v>
      </c>
      <c r="N168">
        <f t="shared" si="114"/>
        <v>-1.5707963250000001</v>
      </c>
      <c r="O168">
        <f t="shared" si="115"/>
        <v>18.087424180330689</v>
      </c>
      <c r="P168">
        <f t="shared" si="116"/>
        <v>1.515481090380344</v>
      </c>
      <c r="Q168">
        <f t="shared" si="117"/>
        <v>17.135038612572767</v>
      </c>
      <c r="R168">
        <f t="shared" si="118"/>
        <v>1.5124031978564649</v>
      </c>
      <c r="S168">
        <f t="shared" si="119"/>
        <v>0.91690102860622891</v>
      </c>
      <c r="T168">
        <f t="shared" si="120"/>
        <v>-0.41055105327385405</v>
      </c>
      <c r="U168">
        <f t="shared" si="121"/>
        <v>0.99786605171835074</v>
      </c>
      <c r="V168">
        <f t="shared" si="122"/>
        <v>-6.5340763229547918E-2</v>
      </c>
      <c r="X168">
        <f t="shared" si="139"/>
        <v>-2.5087251106013793</v>
      </c>
      <c r="Y168">
        <f t="shared" si="123"/>
        <v>-119.0369461417466</v>
      </c>
      <c r="Z168">
        <f t="shared" si="140"/>
        <v>60.963053858253403</v>
      </c>
      <c r="AC168">
        <v>1</v>
      </c>
      <c r="AD168">
        <f t="shared" si="124"/>
        <v>18.059759507790002</v>
      </c>
      <c r="AE168">
        <f t="shared" si="125"/>
        <v>-9.1232143630548627E-5</v>
      </c>
      <c r="AF168">
        <f t="shared" si="126"/>
        <v>1.3942639508111999E-3</v>
      </c>
      <c r="AG168">
        <f t="shared" si="141"/>
        <v>12850.945193790607</v>
      </c>
      <c r="AH168">
        <f t="shared" si="142"/>
        <v>-1558.111917362758</v>
      </c>
      <c r="AJ168">
        <f t="shared" si="127"/>
        <v>18000</v>
      </c>
      <c r="AK168">
        <f t="shared" si="128"/>
        <v>7835.1572018411998</v>
      </c>
      <c r="AL168">
        <v>1</v>
      </c>
      <c r="AM168">
        <f t="shared" si="129"/>
        <v>17.105833749173399</v>
      </c>
      <c r="AN168">
        <f t="shared" si="143"/>
        <v>517.78594189869591</v>
      </c>
      <c r="AO168">
        <f t="shared" si="144"/>
        <v>-1022.0030379370486</v>
      </c>
      <c r="AQ168">
        <f t="shared" si="130"/>
        <v>0.55688589408030298</v>
      </c>
      <c r="AR168">
        <f t="shared" si="131"/>
        <v>-74.622709806760597</v>
      </c>
      <c r="AT168">
        <f t="shared" si="156"/>
        <v>-109114.02335179539</v>
      </c>
      <c r="AU168">
        <f t="shared" si="157"/>
        <v>-959840.04448699893</v>
      </c>
      <c r="AV168">
        <f t="shared" si="145"/>
        <v>-1.6839897784037481</v>
      </c>
      <c r="AW168">
        <f t="shared" si="146"/>
        <v>-61096.094264801788</v>
      </c>
      <c r="AX168">
        <f t="shared" si="147"/>
        <v>-45950.624388984819</v>
      </c>
      <c r="AY168">
        <f t="shared" si="155"/>
        <v>-2.4967462656634463</v>
      </c>
      <c r="BA168">
        <f t="shared" si="132"/>
        <v>12.636442363273147</v>
      </c>
      <c r="BB168">
        <f t="shared" si="148"/>
        <v>22.032496416466259</v>
      </c>
      <c r="BC168">
        <f t="shared" si="149"/>
        <v>0.81275648725969818</v>
      </c>
      <c r="BD168">
        <f t="shared" si="133"/>
        <v>-133.43248345492989</v>
      </c>
      <c r="BF168">
        <f t="shared" si="134"/>
        <v>-1.5370089942551051</v>
      </c>
      <c r="BG168">
        <f t="shared" si="135"/>
        <v>-128.68782774323861</v>
      </c>
      <c r="BH168">
        <f t="shared" si="150"/>
        <v>51.312172256761386</v>
      </c>
      <c r="BI168">
        <f t="shared" si="151"/>
        <v>51.312172256761386</v>
      </c>
      <c r="BJ168">
        <f t="shared" si="136"/>
        <v>0</v>
      </c>
      <c r="BK168">
        <f t="shared" si="152"/>
        <v>0</v>
      </c>
      <c r="BM168">
        <f t="shared" si="153"/>
        <v>-23.569505410721369</v>
      </c>
      <c r="BN168">
        <f t="shared" si="137"/>
        <v>-175.25534428830872</v>
      </c>
      <c r="BQ168" s="56">
        <f t="shared" si="154"/>
        <v>38.934457216751397</v>
      </c>
      <c r="BR168" s="59"/>
      <c r="BS168" s="59"/>
      <c r="BT168" s="59">
        <v>3801.8939999999998</v>
      </c>
      <c r="BU168" s="59">
        <v>4.1437400000000002</v>
      </c>
      <c r="BV168" s="59">
        <v>-245.16899999999998</v>
      </c>
      <c r="BW168" s="61"/>
      <c r="BY168" s="59"/>
      <c r="BZ168" s="59"/>
      <c r="CA168" s="59"/>
      <c r="CC168" s="59"/>
    </row>
    <row r="169" spans="1:81" x14ac:dyDescent="0.25">
      <c r="A169">
        <f t="shared" si="158"/>
        <v>67500</v>
      </c>
      <c r="B169">
        <f t="shared" si="138"/>
        <v>67.5</v>
      </c>
      <c r="C169">
        <f t="shared" si="107"/>
        <v>1.0016377565082264</v>
      </c>
      <c r="D169">
        <f t="shared" si="108"/>
        <v>5.7193083887447767E-2</v>
      </c>
      <c r="F169">
        <f t="shared" si="109"/>
        <v>4.347589645602435E-3</v>
      </c>
      <c r="G169">
        <f t="shared" si="110"/>
        <v>2.5844997514047816E-2</v>
      </c>
      <c r="H169">
        <f t="shared" si="111"/>
        <v>-3.1157476524859522</v>
      </c>
      <c r="J169">
        <f t="shared" si="112"/>
        <v>15</v>
      </c>
      <c r="M169">
        <f t="shared" si="113"/>
        <v>3.9550640959860738E-2</v>
      </c>
      <c r="N169">
        <f t="shared" si="114"/>
        <v>-1.5707963250000001</v>
      </c>
      <c r="O169">
        <f t="shared" si="115"/>
        <v>18.221993891478437</v>
      </c>
      <c r="P169">
        <f t="shared" si="116"/>
        <v>1.5158900068061605</v>
      </c>
      <c r="Q169">
        <f t="shared" si="117"/>
        <v>17.262478120629428</v>
      </c>
      <c r="R169">
        <f t="shared" si="118"/>
        <v>1.5128347678422671</v>
      </c>
      <c r="S169">
        <f t="shared" si="119"/>
        <v>0.91580894963632331</v>
      </c>
      <c r="T169">
        <f t="shared" si="120"/>
        <v>-0.41327876388238244</v>
      </c>
      <c r="U169">
        <f t="shared" si="121"/>
        <v>0.99783418668411861</v>
      </c>
      <c r="V169">
        <f t="shared" si="122"/>
        <v>-6.5826978647656006E-2</v>
      </c>
      <c r="X169">
        <f t="shared" si="139"/>
        <v>-2.5846736393197816</v>
      </c>
      <c r="Y169">
        <f t="shared" si="123"/>
        <v>-119.15985831785692</v>
      </c>
      <c r="Z169">
        <f t="shared" si="140"/>
        <v>60.840141682143084</v>
      </c>
      <c r="AC169">
        <v>1</v>
      </c>
      <c r="AD169">
        <f t="shared" si="124"/>
        <v>18.194533832475003</v>
      </c>
      <c r="AE169">
        <f t="shared" si="125"/>
        <v>-9.2598898288413282E-5</v>
      </c>
      <c r="AF169">
        <f t="shared" si="126"/>
        <v>1.404668905668E-3</v>
      </c>
      <c r="AG169">
        <f t="shared" si="141"/>
        <v>12850.124463854847</v>
      </c>
      <c r="AH169">
        <f t="shared" si="142"/>
        <v>-1559.020321006195</v>
      </c>
      <c r="AJ169">
        <f t="shared" si="127"/>
        <v>18000</v>
      </c>
      <c r="AK169">
        <f t="shared" si="128"/>
        <v>7893.6285242430004</v>
      </c>
      <c r="AL169">
        <v>1</v>
      </c>
      <c r="AM169">
        <f t="shared" si="129"/>
        <v>17.233489224913498</v>
      </c>
      <c r="AN169">
        <f t="shared" si="143"/>
        <v>516.90705531579704</v>
      </c>
      <c r="AO169">
        <f t="shared" si="144"/>
        <v>-1014.4836438235541</v>
      </c>
      <c r="AQ169">
        <f t="shared" si="130"/>
        <v>0.54866673982223202</v>
      </c>
      <c r="AR169">
        <f t="shared" si="131"/>
        <v>-74.070009876001322</v>
      </c>
      <c r="AT169">
        <f t="shared" si="156"/>
        <v>-108426.21467792247</v>
      </c>
      <c r="AU169">
        <f t="shared" si="157"/>
        <v>-952664.22854241775</v>
      </c>
      <c r="AV169">
        <f t="shared" si="145"/>
        <v>-1.6841223535001237</v>
      </c>
      <c r="AW169">
        <f t="shared" si="146"/>
        <v>-59980.98525166764</v>
      </c>
      <c r="AX169">
        <f t="shared" si="147"/>
        <v>-45550.835846049813</v>
      </c>
      <c r="AY169">
        <f t="shared" si="155"/>
        <v>-2.4920891500860645</v>
      </c>
      <c r="BA169">
        <f t="shared" si="132"/>
        <v>12.730446893451047</v>
      </c>
      <c r="BB169">
        <f t="shared" si="148"/>
        <v>22.096872990517205</v>
      </c>
      <c r="BC169">
        <f t="shared" si="149"/>
        <v>0.80796679658594073</v>
      </c>
      <c r="BD169">
        <f t="shared" si="133"/>
        <v>-133.70691251602295</v>
      </c>
      <c r="BF169">
        <f t="shared" si="134"/>
        <v>-1.6021171772323084</v>
      </c>
      <c r="BG169">
        <f t="shared" si="135"/>
        <v>-128.94918090741695</v>
      </c>
      <c r="BH169">
        <f t="shared" si="150"/>
        <v>51.050819092583055</v>
      </c>
      <c r="BI169">
        <f t="shared" si="151"/>
        <v>51.050819092583055</v>
      </c>
      <c r="BJ169">
        <f t="shared" si="136"/>
        <v>0</v>
      </c>
      <c r="BK169">
        <f t="shared" si="152"/>
        <v>0</v>
      </c>
      <c r="BM169">
        <f t="shared" si="153"/>
        <v>-23.698990167749514</v>
      </c>
      <c r="BN169">
        <f t="shared" si="137"/>
        <v>-175.24226839139402</v>
      </c>
      <c r="BQ169" s="56">
        <f t="shared" si="154"/>
        <v>38.998833790802344</v>
      </c>
      <c r="BR169" s="59"/>
      <c r="BS169" s="59"/>
      <c r="BT169" s="59">
        <v>3890.451</v>
      </c>
      <c r="BU169" s="59">
        <v>3.9573</v>
      </c>
      <c r="BV169" s="59">
        <v>-244.768</v>
      </c>
      <c r="BW169" s="61"/>
      <c r="BY169" s="59"/>
      <c r="BZ169" s="59"/>
      <c r="CA169" s="59"/>
      <c r="CC169" s="59"/>
    </row>
    <row r="170" spans="1:81" x14ac:dyDescent="0.25">
      <c r="A170">
        <f t="shared" si="158"/>
        <v>68000</v>
      </c>
      <c r="B170">
        <f t="shared" si="138"/>
        <v>68</v>
      </c>
      <c r="C170">
        <f t="shared" si="107"/>
        <v>1.0016620892257619</v>
      </c>
      <c r="D170">
        <f t="shared" si="108"/>
        <v>5.7615802849781975E-2</v>
      </c>
      <c r="F170">
        <f t="shared" si="109"/>
        <v>4.2836313200550515E-3</v>
      </c>
      <c r="G170">
        <f t="shared" si="110"/>
        <v>2.5653372052771253E-2</v>
      </c>
      <c r="H170">
        <f t="shared" si="111"/>
        <v>-3.1159392779472288</v>
      </c>
      <c r="J170">
        <f t="shared" si="112"/>
        <v>15</v>
      </c>
      <c r="M170">
        <f t="shared" si="113"/>
        <v>3.9259827423391173E-2</v>
      </c>
      <c r="N170">
        <f t="shared" si="114"/>
        <v>-1.5707963250000001</v>
      </c>
      <c r="O170">
        <f t="shared" si="115"/>
        <v>18.35656660490006</v>
      </c>
      <c r="P170">
        <f t="shared" si="116"/>
        <v>1.5162929277336541</v>
      </c>
      <c r="Q170">
        <f t="shared" si="117"/>
        <v>17.389920796744089</v>
      </c>
      <c r="R170">
        <f t="shared" si="118"/>
        <v>1.5132600123531825</v>
      </c>
      <c r="S170">
        <f t="shared" si="119"/>
        <v>0.91471268748897416</v>
      </c>
      <c r="T170">
        <f t="shared" si="120"/>
        <v>-0.41599996432695008</v>
      </c>
      <c r="U170">
        <f t="shared" si="121"/>
        <v>0.99780208782171997</v>
      </c>
      <c r="V170">
        <f t="shared" si="122"/>
        <v>-6.6313162899020686E-2</v>
      </c>
      <c r="X170">
        <f t="shared" si="139"/>
        <v>-2.6601772548660616</v>
      </c>
      <c r="Y170">
        <f t="shared" si="123"/>
        <v>-119.28293685770642</v>
      </c>
      <c r="Z170">
        <f t="shared" si="140"/>
        <v>60.717063142293583</v>
      </c>
      <c r="AC170">
        <v>1</v>
      </c>
      <c r="AD170">
        <f t="shared" si="124"/>
        <v>18.32930815716</v>
      </c>
      <c r="AE170">
        <f t="shared" si="125"/>
        <v>-9.3975814690946074E-5</v>
      </c>
      <c r="AF170">
        <f t="shared" si="126"/>
        <v>1.4150738605248001E-3</v>
      </c>
      <c r="AG170">
        <f t="shared" si="141"/>
        <v>12849.297737835372</v>
      </c>
      <c r="AH170">
        <f t="shared" si="142"/>
        <v>-1560.0056539104739</v>
      </c>
      <c r="AJ170">
        <f t="shared" si="127"/>
        <v>18000</v>
      </c>
      <c r="AK170">
        <f t="shared" si="128"/>
        <v>7952.0998466448</v>
      </c>
      <c r="AL170">
        <v>1</v>
      </c>
      <c r="AM170">
        <f t="shared" si="129"/>
        <v>17.3611447006536</v>
      </c>
      <c r="AN170">
        <f t="shared" si="143"/>
        <v>516.0473990909303</v>
      </c>
      <c r="AO170">
        <f t="shared" si="144"/>
        <v>-1007.0737213687785</v>
      </c>
      <c r="AQ170">
        <f t="shared" si="130"/>
        <v>0.54062820997999672</v>
      </c>
      <c r="AR170">
        <f t="shared" si="131"/>
        <v>-73.525436557279562</v>
      </c>
      <c r="AT170">
        <f t="shared" si="156"/>
        <v>-107753.40390008601</v>
      </c>
      <c r="AU170">
        <f t="shared" si="157"/>
        <v>-945593.60869304277</v>
      </c>
      <c r="AV170">
        <f t="shared" si="145"/>
        <v>-1.6842600800884688</v>
      </c>
      <c r="AW170">
        <f t="shared" si="146"/>
        <v>-58890.285805190892</v>
      </c>
      <c r="AX170">
        <f t="shared" si="147"/>
        <v>-45158.619633029324</v>
      </c>
      <c r="AY170">
        <f t="shared" si="155"/>
        <v>-2.4874094016888919</v>
      </c>
      <c r="BA170">
        <f t="shared" si="132"/>
        <v>12.824312995882254</v>
      </c>
      <c r="BB170">
        <f t="shared" si="148"/>
        <v>22.160682181191408</v>
      </c>
      <c r="BC170">
        <f t="shared" si="149"/>
        <v>0.80314932160042307</v>
      </c>
      <c r="BD170">
        <f t="shared" si="133"/>
        <v>-133.98293350091836</v>
      </c>
      <c r="BF170">
        <f t="shared" si="134"/>
        <v>-1.6668261928078425</v>
      </c>
      <c r="BG170">
        <f t="shared" si="135"/>
        <v>-129.21196121001373</v>
      </c>
      <c r="BH170">
        <f t="shared" si="150"/>
        <v>50.788038789986274</v>
      </c>
      <c r="BI170">
        <f t="shared" si="151"/>
        <v>50.788038789986274</v>
      </c>
      <c r="BJ170">
        <f t="shared" si="136"/>
        <v>0</v>
      </c>
      <c r="BK170">
        <f t="shared" si="152"/>
        <v>0</v>
      </c>
      <c r="BM170">
        <f t="shared" si="153"/>
        <v>-23.827508373999251</v>
      </c>
      <c r="BN170">
        <f t="shared" si="137"/>
        <v>-175.22902770909536</v>
      </c>
      <c r="BQ170" s="56">
        <f t="shared" si="154"/>
        <v>39.06264298147655</v>
      </c>
      <c r="BR170" s="59"/>
      <c r="BS170" s="59"/>
      <c r="BT170" s="59">
        <v>3981.0720000000001</v>
      </c>
      <c r="BU170" s="59">
        <v>3.8980899999999998</v>
      </c>
      <c r="BV170" s="59">
        <v>-244.315</v>
      </c>
      <c r="BW170" s="61"/>
      <c r="BY170" s="59"/>
      <c r="BZ170" s="59"/>
      <c r="CA170" s="59"/>
      <c r="CC170" s="59"/>
    </row>
    <row r="171" spans="1:81" x14ac:dyDescent="0.25">
      <c r="A171">
        <f t="shared" si="158"/>
        <v>68500</v>
      </c>
      <c r="B171">
        <f t="shared" si="138"/>
        <v>68.5</v>
      </c>
      <c r="C171">
        <f t="shared" si="107"/>
        <v>1.0016866009229051</v>
      </c>
      <c r="D171">
        <f t="shared" si="108"/>
        <v>5.8038501199420049E-2</v>
      </c>
      <c r="F171">
        <f t="shared" si="109"/>
        <v>4.2210758815408173E-3</v>
      </c>
      <c r="G171">
        <f t="shared" si="110"/>
        <v>2.5464578631599621E-2</v>
      </c>
      <c r="H171">
        <f t="shared" si="111"/>
        <v>-3.1161280713684008</v>
      </c>
      <c r="J171">
        <f t="shared" si="112"/>
        <v>15</v>
      </c>
      <c r="M171">
        <f t="shared" si="113"/>
        <v>3.8973259340008753E-2</v>
      </c>
      <c r="N171">
        <f t="shared" si="114"/>
        <v>-1.5707963250000001</v>
      </c>
      <c r="O171">
        <f t="shared" si="115"/>
        <v>18.49114225504675</v>
      </c>
      <c r="P171">
        <f t="shared" si="116"/>
        <v>1.5166899839334569</v>
      </c>
      <c r="Q171">
        <f t="shared" si="117"/>
        <v>17.517366571771806</v>
      </c>
      <c r="R171">
        <f t="shared" si="118"/>
        <v>1.5136790692947113</v>
      </c>
      <c r="S171">
        <f t="shared" si="119"/>
        <v>0.91361230578683938</v>
      </c>
      <c r="T171">
        <f t="shared" si="120"/>
        <v>-0.41871463773012613</v>
      </c>
      <c r="U171">
        <f t="shared" si="121"/>
        <v>0.99776975519924127</v>
      </c>
      <c r="V171">
        <f t="shared" si="122"/>
        <v>-6.6799315756817051E-2</v>
      </c>
      <c r="X171">
        <f t="shared" si="139"/>
        <v>-2.7352431156592729</v>
      </c>
      <c r="Y171">
        <f t="shared" si="123"/>
        <v>-119.40616908974373</v>
      </c>
      <c r="Z171">
        <f t="shared" si="140"/>
        <v>60.593830910256273</v>
      </c>
      <c r="AC171">
        <v>1</v>
      </c>
      <c r="AD171">
        <f t="shared" si="124"/>
        <v>18.464082481845001</v>
      </c>
      <c r="AE171">
        <f t="shared" si="125"/>
        <v>-9.5362892838146975E-5</v>
      </c>
      <c r="AF171">
        <f t="shared" si="126"/>
        <v>1.4254788153815999E-3</v>
      </c>
      <c r="AG171">
        <f t="shared" si="141"/>
        <v>12848.46501806694</v>
      </c>
      <c r="AH171">
        <f t="shared" si="142"/>
        <v>-1561.0661965936654</v>
      </c>
      <c r="AJ171">
        <f t="shared" si="127"/>
        <v>18000</v>
      </c>
      <c r="AK171">
        <f t="shared" si="128"/>
        <v>8010.5711690466005</v>
      </c>
      <c r="AL171">
        <v>1</v>
      </c>
      <c r="AM171">
        <f t="shared" si="129"/>
        <v>17.488800176393699</v>
      </c>
      <c r="AN171">
        <f t="shared" si="143"/>
        <v>515.2064168703713</v>
      </c>
      <c r="AO171">
        <f t="shared" si="144"/>
        <v>-999.7709051951158</v>
      </c>
      <c r="AQ171">
        <f t="shared" si="130"/>
        <v>0.53276505061267976</v>
      </c>
      <c r="AR171">
        <f t="shared" si="131"/>
        <v>-72.988811933937129</v>
      </c>
      <c r="AT171">
        <f t="shared" si="156"/>
        <v>-107095.15392395589</v>
      </c>
      <c r="AU171">
        <f t="shared" si="157"/>
        <v>-938625.87835469597</v>
      </c>
      <c r="AV171">
        <f t="shared" si="145"/>
        <v>-1.6844028449694561</v>
      </c>
      <c r="AW171">
        <f t="shared" si="146"/>
        <v>-57823.290504919511</v>
      </c>
      <c r="AX171">
        <f t="shared" si="147"/>
        <v>-44773.764168155132</v>
      </c>
      <c r="AY171">
        <f t="shared" si="155"/>
        <v>-2.4827071930705866</v>
      </c>
      <c r="BA171">
        <f t="shared" si="132"/>
        <v>12.918033971579405</v>
      </c>
      <c r="BB171">
        <f t="shared" si="148"/>
        <v>22.223928446146143</v>
      </c>
      <c r="BC171">
        <f t="shared" si="149"/>
        <v>0.79830434810113049</v>
      </c>
      <c r="BD171">
        <f t="shared" si="133"/>
        <v>-134.26053003459776</v>
      </c>
      <c r="BF171">
        <f t="shared" si="134"/>
        <v>-1.7311458942200417</v>
      </c>
      <c r="BG171">
        <f t="shared" si="135"/>
        <v>-129.47615597846939</v>
      </c>
      <c r="BH171">
        <f t="shared" si="150"/>
        <v>50.523844021530607</v>
      </c>
      <c r="BI171">
        <f t="shared" si="151"/>
        <v>50.523844021530607</v>
      </c>
      <c r="BJ171">
        <f t="shared" si="136"/>
        <v>0</v>
      </c>
      <c r="BK171">
        <f t="shared" si="152"/>
        <v>0</v>
      </c>
      <c r="BM171">
        <f t="shared" si="153"/>
        <v>-23.955074340366185</v>
      </c>
      <c r="BN171">
        <f t="shared" si="137"/>
        <v>-175.21562594387166</v>
      </c>
      <c r="BQ171" s="56">
        <f t="shared" si="154"/>
        <v>39.125889246431278</v>
      </c>
      <c r="BR171" s="59"/>
      <c r="BS171" s="59"/>
      <c r="BT171" s="59">
        <v>4073.8029999999999</v>
      </c>
      <c r="BU171" s="59">
        <v>3.5600999999999998</v>
      </c>
      <c r="BV171" s="59">
        <v>-244.142</v>
      </c>
      <c r="BW171" s="61"/>
      <c r="BY171" s="59"/>
      <c r="BZ171" s="59"/>
      <c r="CA171" s="59"/>
      <c r="CC171" s="59"/>
    </row>
    <row r="172" spans="1:81" x14ac:dyDescent="0.25">
      <c r="A172">
        <f t="shared" si="158"/>
        <v>69000</v>
      </c>
      <c r="B172">
        <f t="shared" si="138"/>
        <v>69</v>
      </c>
      <c r="C172">
        <f t="shared" si="107"/>
        <v>1.0017112915865169</v>
      </c>
      <c r="D172">
        <f t="shared" si="108"/>
        <v>5.8461178786830423E-2</v>
      </c>
      <c r="F172">
        <f t="shared" si="109"/>
        <v>4.1598825469011695E-3</v>
      </c>
      <c r="G172">
        <f t="shared" si="110"/>
        <v>2.5278554686400841E-2</v>
      </c>
      <c r="H172">
        <f t="shared" si="111"/>
        <v>-3.1163140953135993</v>
      </c>
      <c r="J172">
        <f t="shared" si="112"/>
        <v>15</v>
      </c>
      <c r="M172">
        <f t="shared" si="113"/>
        <v>3.8690844417255066E-2</v>
      </c>
      <c r="N172">
        <f t="shared" si="114"/>
        <v>-1.5707963250000001</v>
      </c>
      <c r="O172">
        <f t="shared" si="115"/>
        <v>18.625720778262714</v>
      </c>
      <c r="P172">
        <f t="shared" si="116"/>
        <v>1.517081302404234</v>
      </c>
      <c r="Q172">
        <f t="shared" si="117"/>
        <v>17.644815378563663</v>
      </c>
      <c r="R172">
        <f t="shared" si="118"/>
        <v>1.514092072596817</v>
      </c>
      <c r="S172">
        <f t="shared" si="119"/>
        <v>0.91250786794603567</v>
      </c>
      <c r="T172">
        <f t="shared" si="120"/>
        <v>-0.42142276768014592</v>
      </c>
      <c r="U172">
        <f t="shared" si="121"/>
        <v>0.9977371888852542</v>
      </c>
      <c r="V172">
        <f t="shared" si="122"/>
        <v>-6.7285436994308861E-2</v>
      </c>
      <c r="X172">
        <f t="shared" si="139"/>
        <v>-2.8098782061816174</v>
      </c>
      <c r="Y172">
        <f t="shared" si="123"/>
        <v>-119.52954270377191</v>
      </c>
      <c r="Z172">
        <f t="shared" si="140"/>
        <v>60.470457296228091</v>
      </c>
      <c r="AC172">
        <v>1</v>
      </c>
      <c r="AD172">
        <f t="shared" si="124"/>
        <v>18.598856806529998</v>
      </c>
      <c r="AE172">
        <f t="shared" si="125"/>
        <v>-9.676013273001604E-5</v>
      </c>
      <c r="AF172">
        <f t="shared" si="126"/>
        <v>1.4358837702384E-3</v>
      </c>
      <c r="AG172">
        <f t="shared" si="141"/>
        <v>12847.626306900745</v>
      </c>
      <c r="AH172">
        <f t="shared" si="142"/>
        <v>-1562.2002791694854</v>
      </c>
      <c r="AJ172">
        <f t="shared" si="127"/>
        <v>18000</v>
      </c>
      <c r="AK172">
        <f t="shared" si="128"/>
        <v>8069.0424914484011</v>
      </c>
      <c r="AL172">
        <v>1</v>
      </c>
      <c r="AM172">
        <f t="shared" si="129"/>
        <v>17.616455652133801</v>
      </c>
      <c r="AN172">
        <f t="shared" si="143"/>
        <v>514.38357225420407</v>
      </c>
      <c r="AO172">
        <f t="shared" si="144"/>
        <v>-992.57289735394875</v>
      </c>
      <c r="AQ172">
        <f t="shared" si="130"/>
        <v>0.52507219742714628</v>
      </c>
      <c r="AR172">
        <f t="shared" si="131"/>
        <v>-72.459963244946181</v>
      </c>
      <c r="AT172">
        <f t="shared" si="156"/>
        <v>-106451.04343317838</v>
      </c>
      <c r="AU172">
        <f t="shared" si="157"/>
        <v>-931758.79791623645</v>
      </c>
      <c r="AV172">
        <f t="shared" si="145"/>
        <v>-1.6845505381999708</v>
      </c>
      <c r="AW172">
        <f t="shared" si="146"/>
        <v>-56779.319205467858</v>
      </c>
      <c r="AX172">
        <f t="shared" si="147"/>
        <v>-44396.065630081139</v>
      </c>
      <c r="AY172">
        <f t="shared" si="155"/>
        <v>-2.4779826963694047</v>
      </c>
      <c r="BA172">
        <f t="shared" si="132"/>
        <v>13.011603017274183</v>
      </c>
      <c r="BB172">
        <f t="shared" si="148"/>
        <v>22.286616090601985</v>
      </c>
      <c r="BC172">
        <f t="shared" si="149"/>
        <v>0.79343215816943391</v>
      </c>
      <c r="BD172">
        <f t="shared" si="133"/>
        <v>-134.53968595498907</v>
      </c>
      <c r="BF172">
        <f t="shared" si="134"/>
        <v>-1.7950859699528889</v>
      </c>
      <c r="BG172">
        <f t="shared" si="135"/>
        <v>-129.74175264394006</v>
      </c>
      <c r="BH172">
        <f t="shared" si="150"/>
        <v>50.25824735605994</v>
      </c>
      <c r="BI172">
        <f t="shared" si="151"/>
        <v>50.25824735605994</v>
      </c>
      <c r="BJ172">
        <f t="shared" si="136"/>
        <v>0</v>
      </c>
      <c r="BK172">
        <f t="shared" si="152"/>
        <v>0</v>
      </c>
      <c r="BM172">
        <f t="shared" si="153"/>
        <v>-24.081702060554875</v>
      </c>
      <c r="BN172">
        <f t="shared" si="137"/>
        <v>-175.20206668895102</v>
      </c>
      <c r="BQ172" s="56">
        <f t="shared" si="154"/>
        <v>39.18857689088712</v>
      </c>
      <c r="BR172" s="59"/>
      <c r="BS172" s="59"/>
      <c r="BT172" s="59">
        <v>4168.6940000000004</v>
      </c>
      <c r="BU172" s="59">
        <v>3.4098799999999998</v>
      </c>
      <c r="BV172" s="59">
        <v>-243.709</v>
      </c>
      <c r="BW172" s="61"/>
      <c r="BY172" s="59"/>
      <c r="BZ172" s="59"/>
      <c r="CA172" s="59"/>
      <c r="CC172" s="59"/>
    </row>
    <row r="173" spans="1:81" x14ac:dyDescent="0.25">
      <c r="A173">
        <f t="shared" si="158"/>
        <v>69500</v>
      </c>
      <c r="B173">
        <f t="shared" si="138"/>
        <v>69.5</v>
      </c>
      <c r="C173">
        <f t="shared" si="107"/>
        <v>1.0017361612033642</v>
      </c>
      <c r="D173">
        <f t="shared" si="108"/>
        <v>5.8883835462525888E-2</v>
      </c>
      <c r="F173">
        <f t="shared" si="109"/>
        <v>4.1000120061377415E-3</v>
      </c>
      <c r="G173">
        <f t="shared" si="110"/>
        <v>2.5095239489233746E-2</v>
      </c>
      <c r="H173">
        <f t="shared" si="111"/>
        <v>-3.1164974105107666</v>
      </c>
      <c r="J173">
        <f t="shared" si="112"/>
        <v>15</v>
      </c>
      <c r="M173">
        <f t="shared" si="113"/>
        <v>3.8412493018569777E-2</v>
      </c>
      <c r="N173">
        <f t="shared" si="114"/>
        <v>-1.5707963250000001</v>
      </c>
      <c r="O173">
        <f t="shared" si="115"/>
        <v>18.760302112717373</v>
      </c>
      <c r="P173">
        <f t="shared" si="116"/>
        <v>1.517467006507581</v>
      </c>
      <c r="Q173">
        <f t="shared" si="117"/>
        <v>17.772267151895345</v>
      </c>
      <c r="R173">
        <f t="shared" si="118"/>
        <v>1.5144991523560083</v>
      </c>
      <c r="S173">
        <f t="shared" si="119"/>
        <v>0.91139943716946337</v>
      </c>
      <c r="T173">
        <f t="shared" si="120"/>
        <v>-0.42412433822817741</v>
      </c>
      <c r="U173">
        <f t="shared" si="121"/>
        <v>0.99770438894881319</v>
      </c>
      <c r="V173">
        <f t="shared" si="122"/>
        <v>-6.777152638484911E-2</v>
      </c>
      <c r="X173">
        <f t="shared" si="139"/>
        <v>-2.8840893423654008</v>
      </c>
      <c r="Y173">
        <f t="shared" si="123"/>
        <v>-119.65304573894456</v>
      </c>
      <c r="Z173">
        <f t="shared" si="140"/>
        <v>60.346954261055444</v>
      </c>
      <c r="AC173">
        <v>1</v>
      </c>
      <c r="AD173">
        <f t="shared" si="124"/>
        <v>18.733631131215002</v>
      </c>
      <c r="AE173">
        <f t="shared" si="125"/>
        <v>-9.8167534366553228E-5</v>
      </c>
      <c r="AF173">
        <f t="shared" si="126"/>
        <v>1.4462887250952E-3</v>
      </c>
      <c r="AG173">
        <f t="shared" si="141"/>
        <v>12846.781606704466</v>
      </c>
      <c r="AH173">
        <f t="shared" si="142"/>
        <v>-1563.4062795635277</v>
      </c>
      <c r="AJ173">
        <f t="shared" si="127"/>
        <v>18000</v>
      </c>
      <c r="AK173">
        <f t="shared" si="128"/>
        <v>8127.5138138502016</v>
      </c>
      <c r="AL173">
        <v>1</v>
      </c>
      <c r="AM173">
        <f t="shared" si="129"/>
        <v>17.7441111278739</v>
      </c>
      <c r="AN173">
        <f t="shared" si="143"/>
        <v>513.57834794457074</v>
      </c>
      <c r="AO173">
        <f t="shared" si="144"/>
        <v>-985.47746494814987</v>
      </c>
      <c r="AQ173">
        <f t="shared" si="130"/>
        <v>0.51754476762239932</v>
      </c>
      <c r="AR173">
        <f t="shared" si="131"/>
        <v>-71.938722699513505</v>
      </c>
      <c r="AT173">
        <f t="shared" si="156"/>
        <v>-105820.66621086113</v>
      </c>
      <c r="AU173">
        <f t="shared" si="157"/>
        <v>-924990.19232557924</v>
      </c>
      <c r="AV173">
        <f t="shared" si="145"/>
        <v>-1.6847030529767693</v>
      </c>
      <c r="AW173">
        <f t="shared" si="146"/>
        <v>-55757.715958861532</v>
      </c>
      <c r="AX173">
        <f t="shared" si="147"/>
        <v>-44025.327609752363</v>
      </c>
      <c r="AY173">
        <f t="shared" si="155"/>
        <v>-2.4732360834747062</v>
      </c>
      <c r="BA173">
        <f t="shared" si="132"/>
        <v>13.105013226213238</v>
      </c>
      <c r="BB173">
        <f t="shared" si="148"/>
        <v>22.34874927187677</v>
      </c>
      <c r="BC173">
        <f t="shared" si="149"/>
        <v>0.78853303049793699</v>
      </c>
      <c r="BD173">
        <f t="shared" si="133"/>
        <v>-134.82038529418236</v>
      </c>
      <c r="BF173">
        <f t="shared" si="134"/>
        <v>-1.8586559485411658</v>
      </c>
      <c r="BG173">
        <f t="shared" si="135"/>
        <v>-130.00873872653557</v>
      </c>
      <c r="BH173">
        <f t="shared" si="150"/>
        <v>49.991261273464431</v>
      </c>
      <c r="BI173">
        <f t="shared" si="151"/>
        <v>49.991261273464431</v>
      </c>
      <c r="BJ173">
        <f t="shared" si="136"/>
        <v>0</v>
      </c>
      <c r="BK173">
        <f t="shared" si="152"/>
        <v>0</v>
      </c>
      <c r="BM173">
        <f t="shared" si="153"/>
        <v>-24.207405220417936</v>
      </c>
      <c r="BN173">
        <f t="shared" si="137"/>
        <v>-175.18835343235324</v>
      </c>
      <c r="BQ173" s="56">
        <f t="shared" si="154"/>
        <v>39.250710072161908</v>
      </c>
      <c r="BR173" s="59"/>
      <c r="BS173" s="59"/>
      <c r="BT173" s="59">
        <v>4265.7950000000001</v>
      </c>
      <c r="BU173" s="59">
        <v>3.2244999999999999</v>
      </c>
      <c r="BV173" s="59">
        <v>-243.32400000000001</v>
      </c>
      <c r="BW173" s="61"/>
      <c r="BY173" s="59"/>
      <c r="BZ173" s="59"/>
      <c r="CA173" s="59"/>
      <c r="CC173" s="59"/>
    </row>
    <row r="174" spans="1:81" x14ac:dyDescent="0.25">
      <c r="A174">
        <f t="shared" si="158"/>
        <v>70000</v>
      </c>
      <c r="B174">
        <f t="shared" si="138"/>
        <v>70</v>
      </c>
      <c r="C174">
        <f t="shared" si="107"/>
        <v>1.0017612097601185</v>
      </c>
      <c r="D174">
        <f t="shared" si="108"/>
        <v>5.9306471077063889E-2</v>
      </c>
      <c r="F174">
        <f t="shared" si="109"/>
        <v>4.0414263589366355E-3</v>
      </c>
      <c r="G174">
        <f t="shared" si="110"/>
        <v>2.4914574081239316E-2</v>
      </c>
      <c r="H174">
        <f t="shared" si="111"/>
        <v>-3.1166780759187609</v>
      </c>
      <c r="J174">
        <f t="shared" si="112"/>
        <v>15</v>
      </c>
      <c r="M174">
        <f t="shared" si="113"/>
        <v>3.8138118068437143E-2</v>
      </c>
      <c r="N174">
        <f t="shared" si="114"/>
        <v>-1.5707963250000001</v>
      </c>
      <c r="O174">
        <f t="shared" si="115"/>
        <v>18.894886198340465</v>
      </c>
      <c r="P174">
        <f t="shared" si="116"/>
        <v>1.517847216097177</v>
      </c>
      <c r="Q174">
        <f t="shared" si="117"/>
        <v>17.899721828398693</v>
      </c>
      <c r="R174">
        <f t="shared" si="118"/>
        <v>1.5149004349713771</v>
      </c>
      <c r="S174">
        <f t="shared" si="119"/>
        <v>0.91028707644026796</v>
      </c>
      <c r="T174">
        <f t="shared" si="120"/>
        <v>-0.42681933388553783</v>
      </c>
      <c r="U174">
        <f t="shared" si="121"/>
        <v>0.99767135545945573</v>
      </c>
      <c r="V174">
        <f t="shared" si="122"/>
        <v>-6.8257583701880717E-2</v>
      </c>
      <c r="X174">
        <f t="shared" si="139"/>
        <v>-2.9578831767746343</v>
      </c>
      <c r="Y174">
        <f t="shared" si="123"/>
        <v>-119.77666657225629</v>
      </c>
      <c r="Z174">
        <f t="shared" si="140"/>
        <v>60.223333427743711</v>
      </c>
      <c r="AC174">
        <v>1</v>
      </c>
      <c r="AD174">
        <f t="shared" si="124"/>
        <v>18.868405455900003</v>
      </c>
      <c r="AE174">
        <f t="shared" si="125"/>
        <v>-9.9585097747758566E-5</v>
      </c>
      <c r="AF174">
        <f t="shared" si="126"/>
        <v>1.4566936799519999E-3</v>
      </c>
      <c r="AG174">
        <f t="shared" si="141"/>
        <v>12845.930919862198</v>
      </c>
      <c r="AH174">
        <f t="shared" si="142"/>
        <v>-1564.682621805935</v>
      </c>
      <c r="AJ174">
        <f t="shared" si="127"/>
        <v>18000</v>
      </c>
      <c r="AK174">
        <f t="shared" si="128"/>
        <v>8185.9851362520003</v>
      </c>
      <c r="AL174">
        <v>1</v>
      </c>
      <c r="AM174">
        <f t="shared" si="129"/>
        <v>17.871766603613999</v>
      </c>
      <c r="AN174">
        <f t="shared" si="143"/>
        <v>512.79024493599263</v>
      </c>
      <c r="AO174">
        <f t="shared" si="144"/>
        <v>-978.48243785411637</v>
      </c>
      <c r="AQ174">
        <f t="shared" si="130"/>
        <v>0.51017805214019696</v>
      </c>
      <c r="AR174">
        <f t="shared" si="131"/>
        <v>-71.424927299627569</v>
      </c>
      <c r="AT174">
        <f t="shared" si="156"/>
        <v>-105203.63049485674</v>
      </c>
      <c r="AU174">
        <f t="shared" si="157"/>
        <v>-918317.94877940591</v>
      </c>
      <c r="AV174">
        <f t="shared" si="145"/>
        <v>-1.6848602855250834</v>
      </c>
      <c r="AW174">
        <f t="shared" si="146"/>
        <v>-54757.847990043869</v>
      </c>
      <c r="AX174">
        <f t="shared" si="147"/>
        <v>-43661.360780576135</v>
      </c>
      <c r="AY174">
        <f t="shared" si="155"/>
        <v>-2.4684675262308073</v>
      </c>
      <c r="BA174">
        <f t="shared" si="132"/>
        <v>13.198257589046428</v>
      </c>
      <c r="BB174">
        <f t="shared" si="148"/>
        <v>22.410332003798</v>
      </c>
      <c r="BC174">
        <f t="shared" si="149"/>
        <v>0.78360724070572396</v>
      </c>
      <c r="BD174">
        <f t="shared" si="133"/>
        <v>-135.10261226036727</v>
      </c>
      <c r="BF174">
        <f t="shared" si="134"/>
        <v>-1.9218652031547219</v>
      </c>
      <c r="BG174">
        <f t="shared" si="135"/>
        <v>-130.27710182110181</v>
      </c>
      <c r="BH174">
        <f t="shared" si="150"/>
        <v>49.722898178898191</v>
      </c>
      <c r="BI174">
        <f t="shared" si="151"/>
        <v>49.722898178898191</v>
      </c>
      <c r="BJ174">
        <f t="shared" si="136"/>
        <v>0</v>
      </c>
      <c r="BK174">
        <f t="shared" si="152"/>
        <v>0</v>
      </c>
      <c r="BM174">
        <f t="shared" si="153"/>
        <v>-24.332197206952721</v>
      </c>
      <c r="BN174">
        <f t="shared" si="137"/>
        <v>-175.17448956073457</v>
      </c>
      <c r="BQ174" s="56">
        <f t="shared" si="154"/>
        <v>39.312292804083135</v>
      </c>
      <c r="BR174" s="59"/>
      <c r="BS174" s="59"/>
      <c r="BT174" s="59">
        <v>4365.1580000000004</v>
      </c>
      <c r="BU174" s="59">
        <v>3.07782</v>
      </c>
      <c r="BV174" s="59">
        <v>-242.172</v>
      </c>
      <c r="BW174" s="61"/>
      <c r="BY174" s="59"/>
      <c r="BZ174" s="59"/>
      <c r="CA174" s="59"/>
      <c r="CC174" s="59"/>
    </row>
    <row r="175" spans="1:81" x14ac:dyDescent="0.25">
      <c r="A175">
        <f t="shared" si="158"/>
        <v>70500</v>
      </c>
      <c r="B175">
        <f t="shared" si="138"/>
        <v>70.5</v>
      </c>
      <c r="C175">
        <f t="shared" si="107"/>
        <v>1.0017864372433576</v>
      </c>
      <c r="D175">
        <f t="shared" si="108"/>
        <v>5.9729085481046898E-2</v>
      </c>
      <c r="F175">
        <f t="shared" si="109"/>
        <v>3.9840890543646366E-3</v>
      </c>
      <c r="G175">
        <f t="shared" si="110"/>
        <v>2.4736501208463567E-2</v>
      </c>
      <c r="H175">
        <f t="shared" si="111"/>
        <v>-3.1168561487915367</v>
      </c>
      <c r="J175">
        <f t="shared" si="112"/>
        <v>15</v>
      </c>
      <c r="M175">
        <f t="shared" si="113"/>
        <v>3.7867634961568794E-2</v>
      </c>
      <c r="N175">
        <f t="shared" si="114"/>
        <v>-1.5707963250000001</v>
      </c>
      <c r="O175">
        <f t="shared" si="115"/>
        <v>19.02947297675988</v>
      </c>
      <c r="P175">
        <f t="shared" si="116"/>
        <v>1.5182220476424781</v>
      </c>
      <c r="Q175">
        <f t="shared" si="117"/>
        <v>18.027179346496222</v>
      </c>
      <c r="R175">
        <f t="shared" si="118"/>
        <v>1.515296043274889</v>
      </c>
      <c r="S175">
        <f t="shared" si="119"/>
        <v>0.90917084851543573</v>
      </c>
      <c r="T175">
        <f t="shared" si="120"/>
        <v>-0.42950773962086519</v>
      </c>
      <c r="U175">
        <f t="shared" si="121"/>
        <v>0.99763808848720259</v>
      </c>
      <c r="V175">
        <f t="shared" si="122"/>
        <v>-6.8743608718937116E-2</v>
      </c>
      <c r="X175">
        <f t="shared" si="139"/>
        <v>-3.0312662035905866</v>
      </c>
      <c r="Y175">
        <f t="shared" si="123"/>
        <v>-119.90039390750624</v>
      </c>
      <c r="Z175">
        <f t="shared" si="140"/>
        <v>60.099606092493758</v>
      </c>
      <c r="AC175">
        <v>1</v>
      </c>
      <c r="AD175">
        <f t="shared" si="124"/>
        <v>19.003179780585</v>
      </c>
      <c r="AE175">
        <f t="shared" si="125"/>
        <v>-1.0101282287363205E-4</v>
      </c>
      <c r="AF175">
        <f t="shared" si="126"/>
        <v>1.4670986348087999E-3</v>
      </c>
      <c r="AG175">
        <f t="shared" si="141"/>
        <v>12845.074248774456</v>
      </c>
      <c r="AH175">
        <f t="shared" si="142"/>
        <v>-1566.0277743967304</v>
      </c>
      <c r="AJ175">
        <f t="shared" si="127"/>
        <v>18000</v>
      </c>
      <c r="AK175">
        <f t="shared" si="128"/>
        <v>8244.4564586537999</v>
      </c>
      <c r="AL175">
        <v>1</v>
      </c>
      <c r="AM175">
        <f t="shared" si="129"/>
        <v>17.999422079354098</v>
      </c>
      <c r="AN175">
        <f t="shared" si="143"/>
        <v>512.01878174541093</v>
      </c>
      <c r="AO175">
        <f t="shared" si="144"/>
        <v>-971.58570653853667</v>
      </c>
      <c r="AQ175">
        <f t="shared" si="130"/>
        <v>0.50296750829896386</v>
      </c>
      <c r="AR175">
        <f t="shared" si="131"/>
        <v>-70.918418670153912</v>
      </c>
      <c r="AT175">
        <f t="shared" si="156"/>
        <v>-104599.55836493538</v>
      </c>
      <c r="AU175">
        <f t="shared" si="157"/>
        <v>-911740.01451141492</v>
      </c>
      <c r="AV175">
        <f t="shared" si="145"/>
        <v>-1.6850221349919325</v>
      </c>
      <c r="AW175">
        <f t="shared" si="146"/>
        <v>-53779.10472257209</v>
      </c>
      <c r="AX175">
        <f t="shared" si="147"/>
        <v>-43303.982585799138</v>
      </c>
      <c r="AY175">
        <f t="shared" si="155"/>
        <v>-2.463677196633463</v>
      </c>
      <c r="BA175">
        <f t="shared" si="132"/>
        <v>13.291328994808854</v>
      </c>
      <c r="BB175">
        <f t="shared" si="148"/>
        <v>22.471368160999479</v>
      </c>
      <c r="BC175">
        <f t="shared" si="149"/>
        <v>0.77865506164153042</v>
      </c>
      <c r="BD175">
        <f t="shared" si="133"/>
        <v>-135.38635122046281</v>
      </c>
      <c r="BF175">
        <f t="shared" si="134"/>
        <v>-1.984722955971193</v>
      </c>
      <c r="BG175">
        <f t="shared" si="135"/>
        <v>-130.54682958352751</v>
      </c>
      <c r="BH175">
        <f t="shared" si="150"/>
        <v>49.453170416472489</v>
      </c>
      <c r="BI175">
        <f t="shared" si="151"/>
        <v>49.453170416472489</v>
      </c>
      <c r="BJ175">
        <f t="shared" si="136"/>
        <v>0</v>
      </c>
      <c r="BK175">
        <f t="shared" si="152"/>
        <v>0</v>
      </c>
      <c r="BM175">
        <f t="shared" si="153"/>
        <v>-24.456091116970669</v>
      </c>
      <c r="BN175">
        <f t="shared" si="137"/>
        <v>-175.1604783630647</v>
      </c>
      <c r="BQ175" s="56">
        <f t="shared" si="154"/>
        <v>39.373328961284614</v>
      </c>
      <c r="BR175" s="59"/>
      <c r="BS175" s="59"/>
      <c r="BT175" s="59">
        <v>4466.8360000000002</v>
      </c>
      <c r="BU175" s="59">
        <v>2.9233199999999999</v>
      </c>
      <c r="BV175" s="59">
        <v>-240.90300000000002</v>
      </c>
      <c r="BW175" s="61"/>
      <c r="BY175" s="59"/>
      <c r="BZ175" s="59"/>
      <c r="CA175" s="59"/>
      <c r="CC175" s="59"/>
    </row>
    <row r="176" spans="1:81" x14ac:dyDescent="0.25">
      <c r="A176">
        <f t="shared" si="158"/>
        <v>71000</v>
      </c>
      <c r="B176">
        <f t="shared" si="138"/>
        <v>71</v>
      </c>
      <c r="C176">
        <f t="shared" si="107"/>
        <v>1.0018118436395642</v>
      </c>
      <c r="D176">
        <f t="shared" si="108"/>
        <v>6.0151678525122668E-2</v>
      </c>
      <c r="F176">
        <f t="shared" si="109"/>
        <v>3.9279648335573021E-3</v>
      </c>
      <c r="G176">
        <f t="shared" si="110"/>
        <v>2.4560965260463207E-2</v>
      </c>
      <c r="H176">
        <f t="shared" si="111"/>
        <v>-3.117031684739537</v>
      </c>
      <c r="J176">
        <f t="shared" si="112"/>
        <v>15</v>
      </c>
      <c r="M176">
        <f t="shared" si="113"/>
        <v>3.7600961475923941E-2</v>
      </c>
      <c r="N176">
        <f t="shared" si="114"/>
        <v>-1.5707963250000001</v>
      </c>
      <c r="O176">
        <f t="shared" si="115"/>
        <v>19.164062391242126</v>
      </c>
      <c r="P176">
        <f t="shared" si="116"/>
        <v>1.5185916143472193</v>
      </c>
      <c r="Q176">
        <f t="shared" si="117"/>
        <v>18.154639646338342</v>
      </c>
      <c r="R176">
        <f t="shared" si="118"/>
        <v>1.5156860966562098</v>
      </c>
      <c r="S176">
        <f t="shared" si="119"/>
        <v>0.90805081591952408</v>
      </c>
      <c r="T176">
        <f t="shared" si="120"/>
        <v>-0.43218954085724276</v>
      </c>
      <c r="U176">
        <f t="shared" si="121"/>
        <v>0.99760458810255714</v>
      </c>
      <c r="V176">
        <f t="shared" si="122"/>
        <v>-6.9229601209642888E-2</v>
      </c>
      <c r="X176">
        <f t="shared" si="139"/>
        <v>-3.1042447634102559</v>
      </c>
      <c r="Y176">
        <f t="shared" si="123"/>
        <v>-120.02421676470905</v>
      </c>
      <c r="Z176">
        <f t="shared" si="140"/>
        <v>59.975783235290947</v>
      </c>
      <c r="AC176">
        <v>1</v>
      </c>
      <c r="AD176">
        <f t="shared" si="124"/>
        <v>19.137954105270001</v>
      </c>
      <c r="AE176">
        <f t="shared" si="125"/>
        <v>-1.0245070974417368E-4</v>
      </c>
      <c r="AF176">
        <f t="shared" si="126"/>
        <v>1.4775035896656E-3</v>
      </c>
      <c r="AG176">
        <f t="shared" si="141"/>
        <v>12844.211595858178</v>
      </c>
      <c r="AH176">
        <f t="shared" si="142"/>
        <v>-1567.4402487402199</v>
      </c>
      <c r="AJ176">
        <f t="shared" si="127"/>
        <v>18000</v>
      </c>
      <c r="AK176">
        <f t="shared" si="128"/>
        <v>8302.9277810556014</v>
      </c>
      <c r="AL176">
        <v>1</v>
      </c>
      <c r="AM176">
        <f t="shared" si="129"/>
        <v>18.1270775550942</v>
      </c>
      <c r="AN176">
        <f t="shared" si="143"/>
        <v>511.26349367973313</v>
      </c>
      <c r="AO176">
        <f t="shared" si="144"/>
        <v>-964.78521996533607</v>
      </c>
      <c r="AQ176">
        <f t="shared" si="130"/>
        <v>0.49590875278948676</v>
      </c>
      <c r="AR176">
        <f t="shared" si="131"/>
        <v>-70.419042896107115</v>
      </c>
      <c r="AT176">
        <f t="shared" si="156"/>
        <v>-104008.08516005606</v>
      </c>
      <c r="AU176">
        <f t="shared" si="157"/>
        <v>-905254.39467423828</v>
      </c>
      <c r="AV176">
        <f t="shared" si="145"/>
        <v>-1.6851885033439045</v>
      </c>
      <c r="AW176">
        <f t="shared" si="146"/>
        <v>-52820.896851715901</v>
      </c>
      <c r="AX176">
        <f t="shared" si="147"/>
        <v>-42953.01694206689</v>
      </c>
      <c r="AY176">
        <f t="shared" si="155"/>
        <v>-2.4588652670192337</v>
      </c>
      <c r="BA176">
        <f t="shared" si="132"/>
        <v>13.384220231998063</v>
      </c>
      <c r="BB176">
        <f t="shared" si="148"/>
        <v>22.531861483107363</v>
      </c>
      <c r="BC176">
        <f t="shared" si="149"/>
        <v>0.77367676367532923</v>
      </c>
      <c r="BD176">
        <f t="shared" si="133"/>
        <v>-135.67158668341065</v>
      </c>
      <c r="BF176">
        <f t="shared" si="134"/>
        <v>-2.0472382823461137</v>
      </c>
      <c r="BG176">
        <f t="shared" si="135"/>
        <v>-130.8179097175553</v>
      </c>
      <c r="BH176">
        <f t="shared" si="150"/>
        <v>49.182090282444705</v>
      </c>
      <c r="BI176">
        <f t="shared" si="151"/>
        <v>49.182090282444705</v>
      </c>
      <c r="BJ176">
        <f t="shared" si="136"/>
        <v>0</v>
      </c>
      <c r="BK176">
        <f t="shared" si="152"/>
        <v>0</v>
      </c>
      <c r="BM176">
        <f t="shared" si="153"/>
        <v>-24.579099765453481</v>
      </c>
      <c r="BN176">
        <f t="shared" si="137"/>
        <v>-175.14632303414464</v>
      </c>
      <c r="BQ176" s="56">
        <f t="shared" si="154"/>
        <v>39.433822283392502</v>
      </c>
      <c r="BR176" s="59"/>
      <c r="BS176" s="59"/>
      <c r="BT176" s="59">
        <v>4570.8819999999996</v>
      </c>
      <c r="BU176" s="59">
        <v>2.7266900000000001</v>
      </c>
      <c r="BV176" s="59">
        <v>-241.25200000000001</v>
      </c>
      <c r="BW176" s="61"/>
      <c r="BY176" s="59"/>
      <c r="BZ176" s="59"/>
      <c r="CA176" s="59"/>
      <c r="CC176" s="59"/>
    </row>
    <row r="177" spans="1:81" x14ac:dyDescent="0.25">
      <c r="A177">
        <f t="shared" si="158"/>
        <v>71500</v>
      </c>
      <c r="B177">
        <f t="shared" si="138"/>
        <v>71.5</v>
      </c>
      <c r="C177">
        <f t="shared" si="107"/>
        <v>1.0018374289351268</v>
      </c>
      <c r="D177">
        <f t="shared" si="108"/>
        <v>6.0574250059984548E-2</v>
      </c>
      <c r="F177">
        <f t="shared" si="109"/>
        <v>3.8730196752302598E-3</v>
      </c>
      <c r="G177">
        <f t="shared" si="110"/>
        <v>2.4387912211553963E-2</v>
      </c>
      <c r="H177">
        <f t="shared" si="111"/>
        <v>-3.1172047377884464</v>
      </c>
      <c r="J177">
        <f t="shared" si="112"/>
        <v>15</v>
      </c>
      <c r="M177">
        <f t="shared" si="113"/>
        <v>3.733801768937902E-2</v>
      </c>
      <c r="N177">
        <f t="shared" si="114"/>
        <v>-1.5707963250000001</v>
      </c>
      <c r="O177">
        <f t="shared" si="115"/>
        <v>19.298654386635246</v>
      </c>
      <c r="P177">
        <f t="shared" si="116"/>
        <v>1.5189560262629755</v>
      </c>
      <c r="Q177">
        <f t="shared" si="117"/>
        <v>18.282102669743235</v>
      </c>
      <c r="R177">
        <f t="shared" si="118"/>
        <v>1.5160707111823319</v>
      </c>
      <c r="S177">
        <f t="shared" si="119"/>
        <v>0.90692704093852572</v>
      </c>
      <c r="T177">
        <f t="shared" si="120"/>
        <v>-0.43486472346928107</v>
      </c>
      <c r="U177">
        <f t="shared" si="121"/>
        <v>0.99757085437650417</v>
      </c>
      <c r="V177">
        <f t="shared" si="122"/>
        <v>-6.9715560947714333E-2</v>
      </c>
      <c r="X177">
        <f t="shared" si="139"/>
        <v>-3.1768250478661937</v>
      </c>
      <c r="Y177">
        <f t="shared" si="123"/>
        <v>-120.14812446993309</v>
      </c>
      <c r="Z177">
        <f t="shared" si="140"/>
        <v>59.851875530066906</v>
      </c>
      <c r="AC177">
        <v>1</v>
      </c>
      <c r="AD177">
        <f t="shared" si="124"/>
        <v>19.272728429954999</v>
      </c>
      <c r="AE177">
        <f t="shared" si="125"/>
        <v>-1.0389875835938344E-4</v>
      </c>
      <c r="AF177">
        <f t="shared" si="126"/>
        <v>1.4879085445223999E-3</v>
      </c>
      <c r="AG177">
        <f t="shared" si="141"/>
        <v>12843.342963546669</v>
      </c>
      <c r="AH177">
        <f t="shared" si="142"/>
        <v>-1568.9185976450849</v>
      </c>
      <c r="AJ177">
        <f t="shared" si="127"/>
        <v>18000</v>
      </c>
      <c r="AK177">
        <f t="shared" si="128"/>
        <v>8361.399103457401</v>
      </c>
      <c r="AL177">
        <v>1</v>
      </c>
      <c r="AM177">
        <f t="shared" si="129"/>
        <v>18.254733030834302</v>
      </c>
      <c r="AN177">
        <f t="shared" si="143"/>
        <v>510.52393213881862</v>
      </c>
      <c r="AO177">
        <f t="shared" si="144"/>
        <v>-958.07898358850196</v>
      </c>
      <c r="AQ177">
        <f t="shared" si="130"/>
        <v>0.48899755501222492</v>
      </c>
      <c r="AR177">
        <f t="shared" si="131"/>
        <v>-69.926650366748163</v>
      </c>
      <c r="AT177">
        <f t="shared" si="156"/>
        <v>-103428.85892405891</v>
      </c>
      <c r="AU177">
        <f t="shared" si="157"/>
        <v>-898859.15031042485</v>
      </c>
      <c r="AV177">
        <f t="shared" si="145"/>
        <v>-1.6853592952691987</v>
      </c>
      <c r="AW177">
        <f t="shared" si="146"/>
        <v>-51882.655462344148</v>
      </c>
      <c r="AX177">
        <f t="shared" si="147"/>
        <v>-42608.29395821059</v>
      </c>
      <c r="AY177">
        <f t="shared" si="155"/>
        <v>-2.45403191024797</v>
      </c>
      <c r="BA177">
        <f t="shared" si="132"/>
        <v>13.476923989747693</v>
      </c>
      <c r="BB177">
        <f t="shared" si="148"/>
        <v>22.591815578820807</v>
      </c>
      <c r="BC177">
        <f t="shared" si="149"/>
        <v>0.76867261497877126</v>
      </c>
      <c r="BD177">
        <f t="shared" si="133"/>
        <v>-135.95830328410693</v>
      </c>
      <c r="BF177">
        <f t="shared" si="134"/>
        <v>-2.1094201147888922</v>
      </c>
      <c r="BG177">
        <f t="shared" si="135"/>
        <v>-131.09032996207966</v>
      </c>
      <c r="BH177">
        <f t="shared" si="150"/>
        <v>48.909670037920336</v>
      </c>
      <c r="BI177">
        <f t="shared" si="151"/>
        <v>48.909670037920336</v>
      </c>
      <c r="BJ177">
        <f t="shared" si="136"/>
        <v>0</v>
      </c>
      <c r="BK177">
        <f t="shared" si="152"/>
        <v>0</v>
      </c>
      <c r="BM177">
        <f t="shared" si="153"/>
        <v>-24.7012356936097</v>
      </c>
      <c r="BN177">
        <f t="shared" si="137"/>
        <v>-175.13202667797276</v>
      </c>
      <c r="BQ177" s="56">
        <f t="shared" si="154"/>
        <v>39.493776379105945</v>
      </c>
      <c r="BR177" s="59"/>
      <c r="BS177" s="59"/>
      <c r="BT177" s="59">
        <v>4677.3509999999997</v>
      </c>
      <c r="BU177" s="59">
        <v>2.54392</v>
      </c>
      <c r="BV177" s="59">
        <v>-240.63800000000001</v>
      </c>
      <c r="BW177" s="61"/>
      <c r="BY177" s="59"/>
      <c r="BZ177" s="59"/>
      <c r="CA177" s="59"/>
      <c r="CC177" s="59"/>
    </row>
    <row r="178" spans="1:81" x14ac:dyDescent="0.25">
      <c r="A178">
        <f t="shared" si="158"/>
        <v>72000</v>
      </c>
      <c r="B178">
        <f t="shared" si="138"/>
        <v>72</v>
      </c>
      <c r="C178">
        <f t="shared" si="107"/>
        <v>1.0018631931163395</v>
      </c>
      <c r="D178">
        <f t="shared" si="108"/>
        <v>6.0996799936371845E-2</v>
      </c>
      <c r="F178">
        <f t="shared" si="109"/>
        <v>3.8192207438557438E-3</v>
      </c>
      <c r="G178">
        <f t="shared" si="110"/>
        <v>2.4217289564569287E-2</v>
      </c>
      <c r="H178">
        <f t="shared" si="111"/>
        <v>-3.1173753604354308</v>
      </c>
      <c r="J178">
        <f t="shared" si="112"/>
        <v>15</v>
      </c>
      <c r="M178">
        <f t="shared" si="113"/>
        <v>3.7078725899869443E-2</v>
      </c>
      <c r="N178">
        <f t="shared" si="114"/>
        <v>-1.5707963250000001</v>
      </c>
      <c r="O178">
        <f t="shared" si="115"/>
        <v>19.433248909314141</v>
      </c>
      <c r="P178">
        <f t="shared" si="116"/>
        <v>1.5193153903980205</v>
      </c>
      <c r="Q178">
        <f t="shared" si="117"/>
        <v>18.409568360139207</v>
      </c>
      <c r="R178">
        <f t="shared" si="118"/>
        <v>1.5164499997122509</v>
      </c>
      <c r="S178">
        <f t="shared" si="119"/>
        <v>0.9057995856138662</v>
      </c>
      <c r="T178">
        <f t="shared" si="120"/>
        <v>-0.43753327378015605</v>
      </c>
      <c r="U178">
        <f t="shared" si="121"/>
        <v>0.99753688738051005</v>
      </c>
      <c r="V178">
        <f t="shared" si="122"/>
        <v>-7.0201487706960178E-2</v>
      </c>
      <c r="X178">
        <f t="shared" si="139"/>
        <v>-3.2490131040755794</v>
      </c>
      <c r="Y178">
        <f t="shared" si="123"/>
        <v>-120.27210664554575</v>
      </c>
      <c r="Z178">
        <f t="shared" si="140"/>
        <v>59.727893354454253</v>
      </c>
      <c r="AC178">
        <v>1</v>
      </c>
      <c r="AD178">
        <f t="shared" si="124"/>
        <v>19.407502754640003</v>
      </c>
      <c r="AE178">
        <f t="shared" si="125"/>
        <v>-1.0535696871926133E-4</v>
      </c>
      <c r="AF178">
        <f t="shared" si="126"/>
        <v>1.4983134993791999E-3</v>
      </c>
      <c r="AG178">
        <f t="shared" si="141"/>
        <v>12842.468354289613</v>
      </c>
      <c r="AH178">
        <f t="shared" si="142"/>
        <v>-1570.4614138869715</v>
      </c>
      <c r="AJ178">
        <f t="shared" si="127"/>
        <v>18000</v>
      </c>
      <c r="AK178">
        <f t="shared" si="128"/>
        <v>8419.8704258592006</v>
      </c>
      <c r="AL178">
        <v>1</v>
      </c>
      <c r="AM178">
        <f t="shared" si="129"/>
        <v>18.382388506574401</v>
      </c>
      <c r="AN178">
        <f t="shared" si="143"/>
        <v>509.79966395195549</v>
      </c>
      <c r="AO178">
        <f t="shared" si="144"/>
        <v>-951.46505742671752</v>
      </c>
      <c r="AQ178">
        <f t="shared" si="130"/>
        <v>0.48222983073732939</v>
      </c>
      <c r="AR178">
        <f t="shared" si="131"/>
        <v>-69.441095626175439</v>
      </c>
      <c r="AT178">
        <f t="shared" si="156"/>
        <v>-102861.53987820528</v>
      </c>
      <c r="AU178">
        <f t="shared" si="157"/>
        <v>-892552.39640815521</v>
      </c>
      <c r="AV178">
        <f t="shared" si="145"/>
        <v>-1.6855344180837173</v>
      </c>
      <c r="AW178">
        <f t="shared" si="146"/>
        <v>-50963.831189145647</v>
      </c>
      <c r="AX178">
        <f t="shared" si="147"/>
        <v>-42269.649668369144</v>
      </c>
      <c r="AY178">
        <f t="shared" si="155"/>
        <v>-2.449177299878627</v>
      </c>
      <c r="BA178">
        <f t="shared" si="132"/>
        <v>13.56943285909902</v>
      </c>
      <c r="BB178">
        <f t="shared" si="148"/>
        <v>22.651233929891976</v>
      </c>
      <c r="BC178">
        <f t="shared" si="149"/>
        <v>0.76364288179490969</v>
      </c>
      <c r="BD178">
        <f t="shared" si="133"/>
        <v>-136.2464857679484</v>
      </c>
      <c r="BF178">
        <f t="shared" si="134"/>
        <v>-2.1712772467525228</v>
      </c>
      <c r="BG178">
        <f t="shared" si="135"/>
        <v>-131.36407807891541</v>
      </c>
      <c r="BH178">
        <f t="shared" si="150"/>
        <v>48.635921921084588</v>
      </c>
      <c r="BI178">
        <f t="shared" si="151"/>
        <v>48.635921921084588</v>
      </c>
      <c r="BJ178">
        <f t="shared" si="136"/>
        <v>0</v>
      </c>
      <c r="BK178">
        <f t="shared" si="152"/>
        <v>0</v>
      </c>
      <c r="BM178">
        <f t="shared" si="153"/>
        <v>-24.8225111766445</v>
      </c>
      <c r="BN178">
        <f t="shared" si="137"/>
        <v>-175.11759231096704</v>
      </c>
      <c r="BQ178" s="56">
        <f t="shared" si="154"/>
        <v>39.553194730177111</v>
      </c>
      <c r="BR178" s="59"/>
      <c r="BS178" s="59"/>
      <c r="BT178" s="59">
        <v>4786.3010000000004</v>
      </c>
      <c r="BU178" s="59">
        <v>2.5307499999999998</v>
      </c>
      <c r="BV178" s="59">
        <v>-240.03100000000001</v>
      </c>
      <c r="BW178" s="61"/>
      <c r="BY178" s="59"/>
      <c r="BZ178" s="59"/>
      <c r="CA178" s="59"/>
      <c r="CC178" s="59"/>
    </row>
    <row r="179" spans="1:81" x14ac:dyDescent="0.25">
      <c r="A179">
        <f t="shared" si="158"/>
        <v>72500</v>
      </c>
      <c r="B179">
        <f t="shared" si="138"/>
        <v>72.5</v>
      </c>
      <c r="C179">
        <f t="shared" si="107"/>
        <v>1.0018891361694013</v>
      </c>
      <c r="D179">
        <f t="shared" si="108"/>
        <v>6.1419328005070092E-2</v>
      </c>
      <c r="F179">
        <f t="shared" si="109"/>
        <v>3.766536340356199E-3</v>
      </c>
      <c r="G179">
        <f t="shared" si="110"/>
        <v>2.4049046297004946E-2</v>
      </c>
      <c r="H179">
        <f t="shared" si="111"/>
        <v>-3.1175436037029951</v>
      </c>
      <c r="J179">
        <f t="shared" si="112"/>
        <v>15</v>
      </c>
      <c r="M179">
        <f t="shared" si="113"/>
        <v>3.6823010548835855E-2</v>
      </c>
      <c r="N179">
        <f t="shared" si="114"/>
        <v>-1.5707963250000001</v>
      </c>
      <c r="O179">
        <f t="shared" si="115"/>
        <v>19.567845907128135</v>
      </c>
      <c r="P179">
        <f t="shared" si="116"/>
        <v>1.5196698108217106</v>
      </c>
      <c r="Q179">
        <f t="shared" si="117"/>
        <v>18.53703666250939</v>
      </c>
      <c r="R179">
        <f t="shared" si="118"/>
        <v>1.5168240720069299</v>
      </c>
      <c r="S179">
        <f t="shared" si="119"/>
        <v>0.90466851173653828</v>
      </c>
      <c r="T179">
        <f t="shared" si="120"/>
        <v>-0.44019517855860657</v>
      </c>
      <c r="U179">
        <f t="shared" si="121"/>
        <v>0.99750268718652291</v>
      </c>
      <c r="V179">
        <f t="shared" si="122"/>
        <v>-7.0687381261282101E-2</v>
      </c>
      <c r="X179">
        <f t="shared" si="139"/>
        <v>-3.3208148389262293</v>
      </c>
      <c r="Y179">
        <f t="shared" si="123"/>
        <v>-120.39615320084582</v>
      </c>
      <c r="Z179">
        <f t="shared" si="140"/>
        <v>59.603846799154184</v>
      </c>
      <c r="AC179">
        <v>1</v>
      </c>
      <c r="AD179">
        <f t="shared" si="124"/>
        <v>19.542277079325</v>
      </c>
      <c r="AE179">
        <f t="shared" si="125"/>
        <v>-1.0682534082380736E-4</v>
      </c>
      <c r="AF179">
        <f t="shared" si="126"/>
        <v>1.508718454236E-3</v>
      </c>
      <c r="AG179">
        <f t="shared" si="141"/>
        <v>12841.58777055304</v>
      </c>
      <c r="AH179">
        <f t="shared" si="142"/>
        <v>-1572.0673288305634</v>
      </c>
      <c r="AJ179">
        <f t="shared" si="127"/>
        <v>18000</v>
      </c>
      <c r="AK179">
        <f t="shared" si="128"/>
        <v>8478.3417482610021</v>
      </c>
      <c r="AL179">
        <v>1</v>
      </c>
      <c r="AM179">
        <f t="shared" si="129"/>
        <v>18.5100439823145</v>
      </c>
      <c r="AN179">
        <f t="shared" si="143"/>
        <v>509.09027074600561</v>
      </c>
      <c r="AO179">
        <f t="shared" si="144"/>
        <v>-944.94155421595758</v>
      </c>
      <c r="AQ179">
        <f t="shared" si="130"/>
        <v>0.47560163606962808</v>
      </c>
      <c r="AR179">
        <f t="shared" si="131"/>
        <v>-68.962237230096065</v>
      </c>
      <c r="AT179">
        <f t="shared" si="156"/>
        <v>-102305.79991909</v>
      </c>
      <c r="AU179">
        <f t="shared" si="157"/>
        <v>-886332.30003758264</v>
      </c>
      <c r="AV179">
        <f t="shared" si="145"/>
        <v>-1.6857137816410162</v>
      </c>
      <c r="AW179">
        <f t="shared" si="146"/>
        <v>-50063.893416881532</v>
      </c>
      <c r="AX179">
        <f t="shared" si="147"/>
        <v>-41936.925778612589</v>
      </c>
      <c r="AY179">
        <f t="shared" si="155"/>
        <v>-2.4443016103386244</v>
      </c>
      <c r="BA179">
        <f t="shared" si="132"/>
        <v>13.661739334371424</v>
      </c>
      <c r="BB179">
        <f t="shared" si="148"/>
        <v>22.710119895010003</v>
      </c>
      <c r="BC179">
        <f t="shared" si="149"/>
        <v>0.75858782869760821</v>
      </c>
      <c r="BD179">
        <f t="shared" si="133"/>
        <v>-136.53611897596926</v>
      </c>
      <c r="BF179">
        <f t="shared" si="134"/>
        <v>-2.2328183362448835</v>
      </c>
      <c r="BG179">
        <f t="shared" si="135"/>
        <v>-131.63914184102035</v>
      </c>
      <c r="BH179">
        <f t="shared" si="150"/>
        <v>48.360858158979653</v>
      </c>
      <c r="BI179">
        <f t="shared" si="151"/>
        <v>48.360858158979653</v>
      </c>
      <c r="BJ179">
        <f t="shared" si="136"/>
        <v>0</v>
      </c>
      <c r="BK179">
        <f t="shared" si="152"/>
        <v>0</v>
      </c>
      <c r="BM179">
        <f t="shared" si="153"/>
        <v>-24.942938231254889</v>
      </c>
      <c r="BN179">
        <f t="shared" si="137"/>
        <v>-175.10302286505109</v>
      </c>
      <c r="BQ179" s="56">
        <f t="shared" si="154"/>
        <v>39.612080695295141</v>
      </c>
      <c r="BR179" s="59"/>
      <c r="BS179" s="59"/>
      <c r="BT179" s="59">
        <v>4897.7879999999996</v>
      </c>
      <c r="BU179" s="59">
        <v>2.1795599999999999</v>
      </c>
      <c r="BV179" s="59">
        <v>-239.48099999999999</v>
      </c>
      <c r="BW179" s="61"/>
      <c r="BY179" s="59"/>
      <c r="BZ179" s="59"/>
      <c r="CA179" s="59"/>
      <c r="CC179" s="59"/>
    </row>
    <row r="180" spans="1:81" x14ac:dyDescent="0.25">
      <c r="A180">
        <f t="shared" si="158"/>
        <v>73000</v>
      </c>
      <c r="B180">
        <f t="shared" si="138"/>
        <v>73</v>
      </c>
      <c r="C180">
        <f t="shared" si="107"/>
        <v>1.001915258080418</v>
      </c>
      <c r="D180">
        <f t="shared" si="108"/>
        <v>6.1841834116911354E-2</v>
      </c>
      <c r="F180">
        <f t="shared" si="109"/>
        <v>3.7149358551760913E-3</v>
      </c>
      <c r="G180">
        <f t="shared" si="110"/>
        <v>2.3883132809431794E-2</v>
      </c>
      <c r="H180">
        <f t="shared" si="111"/>
        <v>-3.1177095171905682</v>
      </c>
      <c r="J180">
        <f t="shared" si="112"/>
        <v>15</v>
      </c>
      <c r="M180">
        <f t="shared" si="113"/>
        <v>3.6570798147816434E-2</v>
      </c>
      <c r="N180">
        <f t="shared" si="114"/>
        <v>-1.5707963250000001</v>
      </c>
      <c r="O180">
        <f t="shared" si="115"/>
        <v>19.702445329350667</v>
      </c>
      <c r="P180">
        <f t="shared" si="116"/>
        <v>1.5200193887646039</v>
      </c>
      <c r="Q180">
        <f t="shared" si="117"/>
        <v>18.664507523338745</v>
      </c>
      <c r="R180">
        <f t="shared" si="118"/>
        <v>1.5171930348347762</v>
      </c>
      <c r="S180">
        <f t="shared" si="119"/>
        <v>0.90353388084136577</v>
      </c>
      <c r="T180">
        <f t="shared" si="120"/>
        <v>-0.44285042501589222</v>
      </c>
      <c r="U180">
        <f t="shared" si="121"/>
        <v>0.99746825386697069</v>
      </c>
      <c r="V180">
        <f t="shared" si="122"/>
        <v>-7.1173241384675415E-2</v>
      </c>
      <c r="X180">
        <f t="shared" si="139"/>
        <v>-3.3922360232065838</v>
      </c>
      <c r="Y180">
        <f t="shared" si="123"/>
        <v>-120.52025432306507</v>
      </c>
      <c r="Z180">
        <f t="shared" si="140"/>
        <v>59.479745676934925</v>
      </c>
      <c r="AC180">
        <v>1</v>
      </c>
      <c r="AD180">
        <f t="shared" si="124"/>
        <v>19.677051404010001</v>
      </c>
      <c r="AE180">
        <f t="shared" si="125"/>
        <v>-1.0830387467302153E-4</v>
      </c>
      <c r="AF180">
        <f t="shared" si="126"/>
        <v>1.5191234090927998E-3</v>
      </c>
      <c r="AG180">
        <f t="shared" si="141"/>
        <v>12840.701214819321</v>
      </c>
      <c r="AH180">
        <f t="shared" si="142"/>
        <v>-1573.735011108281</v>
      </c>
      <c r="AJ180">
        <f t="shared" si="127"/>
        <v>18000</v>
      </c>
      <c r="AK180">
        <f t="shared" si="128"/>
        <v>8536.8130706627999</v>
      </c>
      <c r="AL180">
        <v>1</v>
      </c>
      <c r="AM180">
        <f t="shared" si="129"/>
        <v>18.637699458054598</v>
      </c>
      <c r="AN180">
        <f t="shared" si="143"/>
        <v>508.3953483435036</v>
      </c>
      <c r="AO180">
        <f t="shared" si="144"/>
        <v>-938.50663763639568</v>
      </c>
      <c r="AQ180">
        <f t="shared" si="130"/>
        <v>0.46910916170192801</v>
      </c>
      <c r="AR180">
        <f t="shared" si="131"/>
        <v>-68.489937608481497</v>
      </c>
      <c r="AT180">
        <f t="shared" si="156"/>
        <v>-101761.32214054029</v>
      </c>
      <c r="AU180">
        <f t="shared" si="157"/>
        <v>-880197.07856392977</v>
      </c>
      <c r="AV180">
        <f t="shared" si="145"/>
        <v>-1.6858972982459297</v>
      </c>
      <c r="AW180">
        <f t="shared" si="146"/>
        <v>-49182.329518504877</v>
      </c>
      <c r="AX180">
        <f t="shared" si="147"/>
        <v>-41609.969426287709</v>
      </c>
      <c r="AY180">
        <f t="shared" si="155"/>
        <v>-2.4394050170869246</v>
      </c>
      <c r="BA180">
        <f t="shared" si="132"/>
        <v>13.753835814633055</v>
      </c>
      <c r="BB180">
        <f t="shared" si="148"/>
        <v>22.768476713593291</v>
      </c>
      <c r="BC180">
        <f t="shared" si="149"/>
        <v>0.75350771884099488</v>
      </c>
      <c r="BD180">
        <f t="shared" si="133"/>
        <v>-136.82718783054861</v>
      </c>
      <c r="BF180">
        <f t="shared" si="134"/>
        <v>-2.2940519092686502</v>
      </c>
      <c r="BG180">
        <f t="shared" si="135"/>
        <v>-131.91550902115813</v>
      </c>
      <c r="BH180">
        <f t="shared" si="150"/>
        <v>48.08449097884187</v>
      </c>
      <c r="BI180">
        <f t="shared" si="151"/>
        <v>48.08449097884187</v>
      </c>
      <c r="BJ180">
        <f t="shared" si="136"/>
        <v>0</v>
      </c>
      <c r="BK180">
        <f t="shared" si="152"/>
        <v>0</v>
      </c>
      <c r="BM180">
        <f t="shared" si="153"/>
        <v>-25.06252862286194</v>
      </c>
      <c r="BN180">
        <f t="shared" si="137"/>
        <v>-175.08832119060955</v>
      </c>
      <c r="BQ180" s="56">
        <f t="shared" si="154"/>
        <v>39.670437513878426</v>
      </c>
      <c r="BR180" s="59"/>
      <c r="BS180" s="59"/>
      <c r="BT180" s="59">
        <v>5011.8720000000003</v>
      </c>
      <c r="BU180" s="59">
        <v>2.08934</v>
      </c>
      <c r="BV180" s="59">
        <v>-238.50700000000001</v>
      </c>
      <c r="BW180" s="61"/>
      <c r="BY180" s="59"/>
      <c r="BZ180" s="59"/>
      <c r="CA180" s="59"/>
      <c r="CC180" s="59"/>
    </row>
    <row r="181" spans="1:81" x14ac:dyDescent="0.25">
      <c r="A181">
        <f t="shared" si="158"/>
        <v>73500</v>
      </c>
      <c r="B181">
        <f t="shared" si="138"/>
        <v>73.5</v>
      </c>
      <c r="C181">
        <f t="shared" si="107"/>
        <v>1.0019415588354004</v>
      </c>
      <c r="D181">
        <f t="shared" si="108"/>
        <v>6.2264318122774574E-2</v>
      </c>
      <c r="F181">
        <f t="shared" si="109"/>
        <v>3.6643897236015421E-3</v>
      </c>
      <c r="G181">
        <f t="shared" si="110"/>
        <v>2.3719500876065714E-2</v>
      </c>
      <c r="H181">
        <f t="shared" si="111"/>
        <v>-3.1178731491239344</v>
      </c>
      <c r="J181">
        <f t="shared" si="112"/>
        <v>15</v>
      </c>
      <c r="M181">
        <f t="shared" si="113"/>
        <v>3.6322017208035372E-2</v>
      </c>
      <c r="N181">
        <f t="shared" si="114"/>
        <v>-1.5707963250000001</v>
      </c>
      <c r="O181">
        <f t="shared" si="115"/>
        <v>19.837047126631052</v>
      </c>
      <c r="P181">
        <f t="shared" si="116"/>
        <v>1.520364222714518</v>
      </c>
      <c r="Q181">
        <f t="shared" si="117"/>
        <v>18.791980890563217</v>
      </c>
      <c r="R181">
        <f t="shared" si="118"/>
        <v>1.5175569920728416</v>
      </c>
      <c r="S181">
        <f t="shared" si="119"/>
        <v>0.90239575420140405</v>
      </c>
      <c r="T181">
        <f t="shared" si="120"/>
        <v>-0.44549900080271232</v>
      </c>
      <c r="U181">
        <f t="shared" si="121"/>
        <v>0.99743358749476274</v>
      </c>
      <c r="V181">
        <f t="shared" si="122"/>
        <v>-7.1659067851229663E-2</v>
      </c>
      <c r="X181">
        <f t="shared" si="139"/>
        <v>-3.4632822955866032</v>
      </c>
      <c r="Y181">
        <f t="shared" si="123"/>
        <v>-120.64440046872201</v>
      </c>
      <c r="Z181">
        <f t="shared" si="140"/>
        <v>59.355599531277988</v>
      </c>
      <c r="AC181">
        <v>1</v>
      </c>
      <c r="AD181">
        <f t="shared" si="124"/>
        <v>19.811825728695002</v>
      </c>
      <c r="AE181">
        <f t="shared" si="125"/>
        <v>-1.0979257026690383E-4</v>
      </c>
      <c r="AF181">
        <f t="shared" si="126"/>
        <v>1.5295283639495999E-3</v>
      </c>
      <c r="AG181">
        <f t="shared" si="141"/>
        <v>12839.808689587138</v>
      </c>
      <c r="AH181">
        <f t="shared" si="142"/>
        <v>-1575.4631653529127</v>
      </c>
      <c r="AJ181">
        <f t="shared" si="127"/>
        <v>18000</v>
      </c>
      <c r="AK181">
        <f t="shared" si="128"/>
        <v>8595.2843930645995</v>
      </c>
      <c r="AL181">
        <v>1</v>
      </c>
      <c r="AM181">
        <f t="shared" si="129"/>
        <v>18.765354933794701</v>
      </c>
      <c r="AN181">
        <f t="shared" si="143"/>
        <v>507.71450618910029</v>
      </c>
      <c r="AO181">
        <f t="shared" si="144"/>
        <v>-932.15852061017415</v>
      </c>
      <c r="AQ181">
        <f t="shared" si="130"/>
        <v>0.46274872744099954</v>
      </c>
      <c r="AR181">
        <f t="shared" si="131"/>
        <v>-68.024062933826926</v>
      </c>
      <c r="AT181">
        <f t="shared" si="156"/>
        <v>-101227.80037820037</v>
      </c>
      <c r="AU181">
        <f t="shared" si="157"/>
        <v>-874144.99793367053</v>
      </c>
      <c r="AV181">
        <f t="shared" si="145"/>
        <v>-1.6860848825716961</v>
      </c>
      <c r="AW181">
        <f t="shared" si="146"/>
        <v>-48318.644129114538</v>
      </c>
      <c r="AX181">
        <f t="shared" si="147"/>
        <v>-41288.632951356543</v>
      </c>
      <c r="AY181">
        <f t="shared" si="155"/>
        <v>-2.4344876967710101</v>
      </c>
      <c r="BA181">
        <f t="shared" si="132"/>
        <v>13.845714605272715</v>
      </c>
      <c r="BB181">
        <f t="shared" si="148"/>
        <v>22.826307509494153</v>
      </c>
      <c r="BC181">
        <f t="shared" si="149"/>
        <v>0.74840281419931398</v>
      </c>
      <c r="BD181">
        <f t="shared" si="133"/>
        <v>-137.11967732166787</v>
      </c>
      <c r="BF181">
        <f t="shared" si="134"/>
        <v>-2.3549863630969186</v>
      </c>
      <c r="BG181">
        <f t="shared" si="135"/>
        <v>-132.19316738098817</v>
      </c>
      <c r="BH181">
        <f t="shared" si="150"/>
        <v>47.806832619011828</v>
      </c>
      <c r="BI181">
        <f t="shared" si="151"/>
        <v>47.806832619011828</v>
      </c>
      <c r="BJ181">
        <f t="shared" si="136"/>
        <v>0</v>
      </c>
      <c r="BK181">
        <f t="shared" si="152"/>
        <v>0</v>
      </c>
      <c r="BM181">
        <f t="shared" si="153"/>
        <v>-25.18129387259107</v>
      </c>
      <c r="BN181">
        <f t="shared" si="137"/>
        <v>-175.07349005932031</v>
      </c>
      <c r="BQ181" s="56">
        <f t="shared" si="154"/>
        <v>39.728268309779288</v>
      </c>
      <c r="BR181" s="59"/>
      <c r="BS181" s="59"/>
      <c r="BT181" s="59">
        <v>5128.6139999999996</v>
      </c>
      <c r="BU181" s="59">
        <v>1.7954699999999999</v>
      </c>
      <c r="BV181" s="59">
        <v>-237.881</v>
      </c>
      <c r="BW181" s="61"/>
      <c r="BY181" s="59"/>
      <c r="BZ181" s="59"/>
      <c r="CA181" s="59"/>
      <c r="CC181" s="59"/>
    </row>
    <row r="182" spans="1:81" x14ac:dyDescent="0.25">
      <c r="A182">
        <f t="shared" si="158"/>
        <v>74000</v>
      </c>
      <c r="B182">
        <f t="shared" si="138"/>
        <v>74</v>
      </c>
      <c r="C182">
        <f t="shared" si="107"/>
        <v>1.0019680384202645</v>
      </c>
      <c r="D182">
        <f t="shared" si="108"/>
        <v>6.2686779873585854E-2</v>
      </c>
      <c r="F182">
        <f t="shared" si="109"/>
        <v>3.6148693832054675E-3</v>
      </c>
      <c r="G182">
        <f t="shared" si="110"/>
        <v>2.3558103597390041E-2</v>
      </c>
      <c r="H182">
        <f t="shared" si="111"/>
        <v>-3.11803454640261</v>
      </c>
      <c r="J182">
        <f t="shared" si="112"/>
        <v>15</v>
      </c>
      <c r="M182">
        <f t="shared" si="113"/>
        <v>3.607659817284594E-2</v>
      </c>
      <c r="N182">
        <f t="shared" si="114"/>
        <v>-1.5707963250000001</v>
      </c>
      <c r="O182">
        <f t="shared" si="115"/>
        <v>19.97165125094816</v>
      </c>
      <c r="P182">
        <f t="shared" si="116"/>
        <v>1.5207044085087176</v>
      </c>
      <c r="Q182">
        <f t="shared" si="117"/>
        <v>18.91945671352088</v>
      </c>
      <c r="R182">
        <f t="shared" si="118"/>
        <v>1.5179160448039475</v>
      </c>
      <c r="S182">
        <f t="shared" si="119"/>
        <v>0.90125419282247088</v>
      </c>
      <c r="T182">
        <f t="shared" si="120"/>
        <v>-0.44814089400608803</v>
      </c>
      <c r="U182">
        <f t="shared" si="121"/>
        <v>0.99739868814328714</v>
      </c>
      <c r="V182">
        <f t="shared" si="122"/>
        <v>-7.2144860435129257E-2</v>
      </c>
      <c r="X182">
        <f t="shared" si="139"/>
        <v>-3.5339591664559959</v>
      </c>
      <c r="Y182">
        <f t="shared" si="123"/>
        <v>-120.76858235531067</v>
      </c>
      <c r="Z182">
        <f t="shared" si="140"/>
        <v>59.23141764468933</v>
      </c>
      <c r="AC182">
        <v>1</v>
      </c>
      <c r="AD182">
        <f t="shared" si="124"/>
        <v>19.946600053379999</v>
      </c>
      <c r="AE182">
        <f t="shared" si="125"/>
        <v>-1.1129142760545428E-4</v>
      </c>
      <c r="AF182">
        <f t="shared" si="126"/>
        <v>1.5399333188064E-3</v>
      </c>
      <c r="AG182">
        <f t="shared" si="141"/>
        <v>12838.910197371481</v>
      </c>
      <c r="AH182">
        <f t="shared" si="142"/>
        <v>-1577.2505309816293</v>
      </c>
      <c r="AJ182">
        <f t="shared" si="127"/>
        <v>18000</v>
      </c>
      <c r="AK182">
        <f t="shared" si="128"/>
        <v>8653.7557154664009</v>
      </c>
      <c r="AL182">
        <v>1</v>
      </c>
      <c r="AM182">
        <f t="shared" si="129"/>
        <v>18.893010409534799</v>
      </c>
      <c r="AN182">
        <f t="shared" si="143"/>
        <v>507.04736680283457</v>
      </c>
      <c r="AO182">
        <f t="shared" si="144"/>
        <v>-925.89546366676109</v>
      </c>
      <c r="AQ182">
        <f t="shared" si="130"/>
        <v>0.45651677699155446</v>
      </c>
      <c r="AR182">
        <f t="shared" si="131"/>
        <v>-67.564482994750051</v>
      </c>
      <c r="AT182">
        <f t="shared" si="156"/>
        <v>-100704.93877558075</v>
      </c>
      <c r="AU182">
        <f t="shared" si="157"/>
        <v>-868174.37103034032</v>
      </c>
      <c r="AV182">
        <f t="shared" si="145"/>
        <v>-1.6862764515804194</v>
      </c>
      <c r="AW182">
        <f t="shared" si="146"/>
        <v>-47472.358453832567</v>
      </c>
      <c r="AX182">
        <f t="shared" si="147"/>
        <v>-40972.773679045502</v>
      </c>
      <c r="AY182">
        <f t="shared" si="155"/>
        <v>-2.4295498273779126</v>
      </c>
      <c r="BA182">
        <f t="shared" si="132"/>
        <v>13.937367919673971</v>
      </c>
      <c r="BB182">
        <f t="shared" si="148"/>
        <v>22.883615294619876</v>
      </c>
      <c r="BC182">
        <f t="shared" si="149"/>
        <v>0.7432733757974932</v>
      </c>
      <c r="BD182">
        <f t="shared" si="133"/>
        <v>-137.41357249370037</v>
      </c>
      <c r="BF182">
        <f t="shared" si="134"/>
        <v>-2.4156299693909835</v>
      </c>
      <c r="BG182">
        <f t="shared" si="135"/>
        <v>-132.47210466056936</v>
      </c>
      <c r="BH182">
        <f t="shared" si="150"/>
        <v>47.527895339430643</v>
      </c>
      <c r="BI182">
        <f t="shared" si="151"/>
        <v>47.527895339430643</v>
      </c>
      <c r="BJ182">
        <f t="shared" si="136"/>
        <v>0</v>
      </c>
      <c r="BK182">
        <f t="shared" si="152"/>
        <v>0</v>
      </c>
      <c r="BM182">
        <f t="shared" si="153"/>
        <v>-25.29924526401086</v>
      </c>
      <c r="BN182">
        <f t="shared" si="137"/>
        <v>-175.05853216686901</v>
      </c>
      <c r="BQ182" s="56">
        <f t="shared" si="154"/>
        <v>39.785576094905011</v>
      </c>
      <c r="BR182" s="59"/>
      <c r="BS182" s="59"/>
      <c r="BT182" s="59">
        <v>5248.0749999999998</v>
      </c>
      <c r="BU182" s="59">
        <v>1.6024099999999999</v>
      </c>
      <c r="BV182" s="59">
        <v>-238.28</v>
      </c>
      <c r="BW182" s="61"/>
      <c r="BY182" s="59"/>
      <c r="BZ182" s="59"/>
      <c r="CA182" s="59"/>
      <c r="CC182" s="59"/>
    </row>
    <row r="183" spans="1:81" x14ac:dyDescent="0.25">
      <c r="A183">
        <f t="shared" si="158"/>
        <v>74500</v>
      </c>
      <c r="B183">
        <f t="shared" si="138"/>
        <v>74.5</v>
      </c>
      <c r="C183">
        <f t="shared" si="107"/>
        <v>1.0019946968208329</v>
      </c>
      <c r="D183">
        <f t="shared" si="108"/>
        <v>6.3109219220318785E-2</v>
      </c>
      <c r="F183">
        <f t="shared" si="109"/>
        <v>3.5663472333033138E-3</v>
      </c>
      <c r="G183">
        <f t="shared" si="110"/>
        <v>2.3398895354731265E-2</v>
      </c>
      <c r="H183">
        <f t="shared" si="111"/>
        <v>-3.1181937546452692</v>
      </c>
      <c r="J183">
        <f t="shared" si="112"/>
        <v>15</v>
      </c>
      <c r="M183">
        <f t="shared" si="113"/>
        <v>3.5834473352893956E-2</v>
      </c>
      <c r="N183">
        <f t="shared" si="114"/>
        <v>-1.5707963250000001</v>
      </c>
      <c r="O183">
        <f t="shared" si="115"/>
        <v>20.106257655565976</v>
      </c>
      <c r="P183">
        <f t="shared" si="116"/>
        <v>1.5210400394224108</v>
      </c>
      <c r="Q183">
        <f t="shared" si="117"/>
        <v>19.046934942905125</v>
      </c>
      <c r="R183">
        <f t="shared" si="118"/>
        <v>1.5182702914099246</v>
      </c>
      <c r="S183">
        <f t="shared" si="119"/>
        <v>0.90010925743781112</v>
      </c>
      <c r="T183">
        <f t="shared" si="120"/>
        <v>-0.45077609314620853</v>
      </c>
      <c r="U183">
        <f t="shared" si="121"/>
        <v>0.99736355588641235</v>
      </c>
      <c r="V183">
        <f t="shared" si="122"/>
        <v>-7.2630618910654032E-2</v>
      </c>
      <c r="X183">
        <f t="shared" si="139"/>
        <v>-3.6042720216258157</v>
      </c>
      <c r="Y183">
        <f t="shared" si="123"/>
        <v>-120.89279095331023</v>
      </c>
      <c r="Z183">
        <f t="shared" si="140"/>
        <v>59.107209046689775</v>
      </c>
      <c r="AC183">
        <v>1</v>
      </c>
      <c r="AD183">
        <f t="shared" si="124"/>
        <v>20.081374378065</v>
      </c>
      <c r="AE183">
        <f t="shared" si="125"/>
        <v>-1.1280044668867287E-4</v>
      </c>
      <c r="AF183">
        <f t="shared" si="126"/>
        <v>1.5503382736631998E-3</v>
      </c>
      <c r="AG183">
        <f t="shared" si="141"/>
        <v>12838.005740703615</v>
      </c>
      <c r="AH183">
        <f t="shared" si="142"/>
        <v>-1579.0958810289644</v>
      </c>
      <c r="AJ183">
        <f t="shared" si="127"/>
        <v>18000</v>
      </c>
      <c r="AK183">
        <f t="shared" si="128"/>
        <v>8712.2270378682006</v>
      </c>
      <c r="AL183">
        <v>1</v>
      </c>
      <c r="AM183">
        <f t="shared" si="129"/>
        <v>19.020665885274902</v>
      </c>
      <c r="AN183">
        <f t="shared" si="143"/>
        <v>506.39356525881112</v>
      </c>
      <c r="AO183">
        <f t="shared" si="144"/>
        <v>-919.71577337279723</v>
      </c>
      <c r="AQ183">
        <f t="shared" si="130"/>
        <v>0.45040987298441582</v>
      </c>
      <c r="AR183">
        <f t="shared" si="131"/>
        <v>-67.111071074677952</v>
      </c>
      <c r="AT183">
        <f t="shared" si="156"/>
        <v>-100192.45137042252</v>
      </c>
      <c r="AU183">
        <f t="shared" si="157"/>
        <v>-862283.55609668838</v>
      </c>
      <c r="AV183">
        <f t="shared" si="145"/>
        <v>-1.6864719244467137</v>
      </c>
      <c r="AW183">
        <f t="shared" si="146"/>
        <v>-46643.009607806896</v>
      </c>
      <c r="AX183">
        <f t="shared" si="147"/>
        <v>-40662.25371316605</v>
      </c>
      <c r="AY183">
        <f t="shared" si="155"/>
        <v>-2.4245915883794482</v>
      </c>
      <c r="BA183">
        <f t="shared" si="132"/>
        <v>14.028787880992439</v>
      </c>
      <c r="BB183">
        <f t="shared" si="148"/>
        <v>22.94040297247378</v>
      </c>
      <c r="BC183">
        <f t="shared" si="149"/>
        <v>0.73811966393273454</v>
      </c>
      <c r="BD183">
        <f t="shared" si="133"/>
        <v>-137.70885843271495</v>
      </c>
      <c r="BF183">
        <f t="shared" si="134"/>
        <v>-2.4759908771665815</v>
      </c>
      <c r="BG183">
        <f t="shared" si="135"/>
        <v>-132.75230856826673</v>
      </c>
      <c r="BH183">
        <f t="shared" si="150"/>
        <v>47.247691431733273</v>
      </c>
      <c r="BI183">
        <f t="shared" si="151"/>
        <v>47.247691431733273</v>
      </c>
      <c r="BJ183">
        <f t="shared" si="136"/>
        <v>0</v>
      </c>
      <c r="BK183">
        <f t="shared" si="152"/>
        <v>0</v>
      </c>
      <c r="BM183">
        <f t="shared" si="153"/>
        <v>-25.416393849640361</v>
      </c>
      <c r="BN183">
        <f t="shared" si="137"/>
        <v>-175.04345013555181</v>
      </c>
      <c r="BQ183" s="56">
        <f t="shared" si="154"/>
        <v>39.842363772758922</v>
      </c>
      <c r="BR183" s="59"/>
      <c r="BS183" s="59"/>
      <c r="BT183" s="59">
        <v>5370.3180000000002</v>
      </c>
      <c r="BU183" s="59">
        <v>1.48515</v>
      </c>
      <c r="BV183" s="59">
        <v>-237.34699999999998</v>
      </c>
      <c r="BW183" s="61"/>
      <c r="BY183" s="59"/>
      <c r="BZ183" s="59"/>
      <c r="CA183" s="59"/>
      <c r="CC183" s="59"/>
    </row>
    <row r="184" spans="1:81" x14ac:dyDescent="0.25">
      <c r="A184">
        <f t="shared" si="158"/>
        <v>75000</v>
      </c>
      <c r="B184">
        <f t="shared" si="138"/>
        <v>75</v>
      </c>
      <c r="C184">
        <f t="shared" si="107"/>
        <v>1.0020215340228336</v>
      </c>
      <c r="D184">
        <f t="shared" si="108"/>
        <v>6.3531636013994738E-2</v>
      </c>
      <c r="F184">
        <f t="shared" si="109"/>
        <v>3.5187965963114332E-3</v>
      </c>
      <c r="G184">
        <f t="shared" si="110"/>
        <v>2.3241831766694563E-2</v>
      </c>
      <c r="H184">
        <f t="shared" si="111"/>
        <v>-3.1183508182333055</v>
      </c>
      <c r="J184">
        <f t="shared" si="112"/>
        <v>15</v>
      </c>
      <c r="M184">
        <f t="shared" si="113"/>
        <v>3.5595576863874663E-2</v>
      </c>
      <c r="N184">
        <f t="shared" si="114"/>
        <v>-1.5707963250000001</v>
      </c>
      <c r="O184">
        <f t="shared" si="115"/>
        <v>20.240866294990948</v>
      </c>
      <c r="P184">
        <f t="shared" si="116"/>
        <v>1.5213712062537261</v>
      </c>
      <c r="Q184">
        <f t="shared" si="117"/>
        <v>19.17441553071966</v>
      </c>
      <c r="R184">
        <f t="shared" si="118"/>
        <v>1.5186198276611473</v>
      </c>
      <c r="S184">
        <f t="shared" si="119"/>
        <v>0.89896100850289196</v>
      </c>
      <c r="T184">
        <f t="shared" si="120"/>
        <v>-0.45340458717324333</v>
      </c>
      <c r="U184">
        <f t="shared" si="121"/>
        <v>0.99732819079848511</v>
      </c>
      <c r="V184">
        <f t="shared" si="122"/>
        <v>-7.3116343052179927E-2</v>
      </c>
      <c r="X184">
        <f t="shared" si="139"/>
        <v>-3.6742261258993913</v>
      </c>
      <c r="Y184">
        <f t="shared" si="123"/>
        <v>-121.01701747849926</v>
      </c>
      <c r="Z184">
        <f t="shared" si="140"/>
        <v>58.982982521500745</v>
      </c>
      <c r="AC184">
        <v>1</v>
      </c>
      <c r="AD184">
        <f t="shared" si="124"/>
        <v>20.216148702750001</v>
      </c>
      <c r="AE184">
        <f t="shared" si="125"/>
        <v>-1.143196275165596E-4</v>
      </c>
      <c r="AF184">
        <f t="shared" si="126"/>
        <v>1.5607432285199999E-3</v>
      </c>
      <c r="AG184">
        <f t="shared" si="141"/>
        <v>12837.09532213107</v>
      </c>
      <c r="AH184">
        <f t="shared" si="142"/>
        <v>-1580.9980210264766</v>
      </c>
      <c r="AJ184">
        <f t="shared" si="127"/>
        <v>18000</v>
      </c>
      <c r="AK184">
        <f t="shared" si="128"/>
        <v>8770.698360270002</v>
      </c>
      <c r="AL184">
        <v>1</v>
      </c>
      <c r="AM184">
        <f t="shared" si="129"/>
        <v>19.148321361015</v>
      </c>
      <c r="AN184">
        <f t="shared" si="143"/>
        <v>505.7527486879485</v>
      </c>
      <c r="AO184">
        <f t="shared" si="144"/>
        <v>-913.61780082349367</v>
      </c>
      <c r="AQ184">
        <f t="shared" si="130"/>
        <v>0.44442469223590064</v>
      </c>
      <c r="AR184">
        <f t="shared" si="131"/>
        <v>-66.663703835385093</v>
      </c>
      <c r="AT184">
        <f t="shared" si="156"/>
        <v>-99690.061700297942</v>
      </c>
      <c r="AU184">
        <f t="shared" si="157"/>
        <v>-856470.95522007335</v>
      </c>
      <c r="AV184">
        <f t="shared" si="145"/>
        <v>-1.6866712224843785</v>
      </c>
      <c r="AW184">
        <f t="shared" si="146"/>
        <v>-45830.149986649158</v>
      </c>
      <c r="AX184">
        <f t="shared" si="147"/>
        <v>-40356.939739508962</v>
      </c>
      <c r="AY184">
        <f t="shared" si="155"/>
        <v>-2.4196131608717808</v>
      </c>
      <c r="BA184">
        <f t="shared" si="132"/>
        <v>14.119966524036904</v>
      </c>
      <c r="BB184">
        <f t="shared" si="148"/>
        <v>22.996673341619832</v>
      </c>
      <c r="BC184">
        <f t="shared" si="149"/>
        <v>0.73294193838740229</v>
      </c>
      <c r="BD184">
        <f t="shared" si="133"/>
        <v>-138.00552025427854</v>
      </c>
      <c r="BF184">
        <f t="shared" si="134"/>
        <v>-2.5360771156146629</v>
      </c>
      <c r="BG184">
        <f t="shared" si="135"/>
        <v>-133.03376677104956</v>
      </c>
      <c r="BH184">
        <f t="shared" si="150"/>
        <v>46.966233228950443</v>
      </c>
      <c r="BI184">
        <f t="shared" si="151"/>
        <v>46.966233228950443</v>
      </c>
      <c r="BJ184">
        <f t="shared" si="136"/>
        <v>0</v>
      </c>
      <c r="BK184">
        <f t="shared" si="152"/>
        <v>0</v>
      </c>
      <c r="BM184">
        <f t="shared" si="153"/>
        <v>-25.532750457234492</v>
      </c>
      <c r="BN184">
        <f t="shared" si="137"/>
        <v>-175.02824651677099</v>
      </c>
      <c r="BQ184" s="56">
        <f t="shared" si="154"/>
        <v>39.898634141904964</v>
      </c>
      <c r="BR184" s="59"/>
      <c r="BS184" s="59"/>
      <c r="BT184" s="59">
        <v>5495.4089999999997</v>
      </c>
      <c r="BU184" s="59">
        <v>1.35836</v>
      </c>
      <c r="BV184" s="59">
        <v>-235.61199999999999</v>
      </c>
      <c r="BW184" s="61"/>
      <c r="BY184" s="59"/>
      <c r="BZ184" s="59"/>
      <c r="CA184" s="59"/>
      <c r="CC184" s="59"/>
    </row>
    <row r="185" spans="1:81" x14ac:dyDescent="0.25">
      <c r="A185">
        <f t="shared" si="158"/>
        <v>75500</v>
      </c>
      <c r="B185">
        <f t="shared" si="138"/>
        <v>75.5</v>
      </c>
      <c r="C185">
        <f t="shared" si="107"/>
        <v>1.0020485500119005</v>
      </c>
      <c r="D185">
        <f t="shared" si="108"/>
        <v>6.3954030105683193E-2</v>
      </c>
      <c r="F185">
        <f t="shared" si="109"/>
        <v>3.4721916809066391E-3</v>
      </c>
      <c r="G185">
        <f t="shared" si="110"/>
        <v>2.3086869647370632E-2</v>
      </c>
      <c r="H185">
        <f t="shared" si="111"/>
        <v>-3.1185057803526295</v>
      </c>
      <c r="J185">
        <f t="shared" si="112"/>
        <v>15</v>
      </c>
      <c r="M185">
        <f t="shared" si="113"/>
        <v>3.5359844566762909E-2</v>
      </c>
      <c r="N185">
        <f t="shared" si="114"/>
        <v>-1.5707963250000001</v>
      </c>
      <c r="O185">
        <f t="shared" si="115"/>
        <v>20.375477124930946</v>
      </c>
      <c r="P185">
        <f t="shared" si="116"/>
        <v>1.5216979974053337</v>
      </c>
      <c r="Q185">
        <f t="shared" si="117"/>
        <v>19.30189843023528</v>
      </c>
      <c r="R185">
        <f t="shared" si="118"/>
        <v>1.5189647468025329</v>
      </c>
      <c r="S185">
        <f t="shared" si="119"/>
        <v>0.89780950619033029</v>
      </c>
      <c r="T185">
        <f t="shared" si="120"/>
        <v>-0.45602636546412084</v>
      </c>
      <c r="U185">
        <f t="shared" si="121"/>
        <v>0.99729259295433137</v>
      </c>
      <c r="V185">
        <f t="shared" si="122"/>
        <v>-7.3602032634179596E-2</v>
      </c>
      <c r="X185">
        <f t="shared" si="139"/>
        <v>-3.7438266265180942</v>
      </c>
      <c r="Y185">
        <f t="shared" si="123"/>
        <v>-121.14125338456223</v>
      </c>
      <c r="Z185">
        <f t="shared" si="140"/>
        <v>58.858746615437767</v>
      </c>
      <c r="AC185">
        <v>1</v>
      </c>
      <c r="AD185">
        <f t="shared" si="124"/>
        <v>20.350923027435002</v>
      </c>
      <c r="AE185">
        <f t="shared" si="125"/>
        <v>-1.1584897008911447E-4</v>
      </c>
      <c r="AF185">
        <f t="shared" si="126"/>
        <v>1.5711481833767999E-3</v>
      </c>
      <c r="AG185">
        <f t="shared" si="141"/>
        <v>12836.178944217634</v>
      </c>
      <c r="AH185">
        <f t="shared" si="142"/>
        <v>-1582.9557879269319</v>
      </c>
      <c r="AJ185">
        <f t="shared" si="127"/>
        <v>18000</v>
      </c>
      <c r="AK185">
        <f t="shared" si="128"/>
        <v>8829.1696826717998</v>
      </c>
      <c r="AL185">
        <v>1</v>
      </c>
      <c r="AM185">
        <f t="shared" si="129"/>
        <v>19.275976836755099</v>
      </c>
      <c r="AN185">
        <f t="shared" si="143"/>
        <v>505.12457580352986</v>
      </c>
      <c r="AO185">
        <f t="shared" si="144"/>
        <v>-907.59994019278679</v>
      </c>
      <c r="AQ185">
        <f t="shared" si="130"/>
        <v>0.43855802122620824</v>
      </c>
      <c r="AR185">
        <f t="shared" si="131"/>
        <v>-66.222261205157437</v>
      </c>
      <c r="AT185">
        <f t="shared" si="156"/>
        <v>-99197.502426431485</v>
      </c>
      <c r="AU185">
        <f t="shared" si="157"/>
        <v>-850735.01287816395</v>
      </c>
      <c r="AV185">
        <f t="shared" si="145"/>
        <v>-1.686874269075971</v>
      </c>
      <c r="AW185">
        <f t="shared" si="146"/>
        <v>-45033.346665714751</v>
      </c>
      <c r="AX185">
        <f t="shared" si="147"/>
        <v>-40056.702838750505</v>
      </c>
      <c r="AY185">
        <f t="shared" si="155"/>
        <v>-2.4146147277094472</v>
      </c>
      <c r="BA185">
        <f t="shared" si="132"/>
        <v>14.210895797255292</v>
      </c>
      <c r="BB185">
        <f t="shared" si="148"/>
        <v>23.0524290990742</v>
      </c>
      <c r="BC185">
        <f t="shared" si="149"/>
        <v>0.72774045863347614</v>
      </c>
      <c r="BD185">
        <f t="shared" si="133"/>
        <v>-138.3035430917418</v>
      </c>
      <c r="BF185">
        <f t="shared" si="134"/>
        <v>-2.5958965967822483</v>
      </c>
      <c r="BG185">
        <f t="shared" si="135"/>
        <v>-133.31646688517196</v>
      </c>
      <c r="BH185">
        <f t="shared" si="150"/>
        <v>46.683533114828037</v>
      </c>
      <c r="BI185">
        <f t="shared" si="151"/>
        <v>46.683533114828037</v>
      </c>
      <c r="BJ185">
        <f t="shared" si="136"/>
        <v>0</v>
      </c>
      <c r="BK185">
        <f t="shared" si="152"/>
        <v>0</v>
      </c>
      <c r="BM185">
        <f t="shared" si="153"/>
        <v>-25.64832569585645</v>
      </c>
      <c r="BN185">
        <f t="shared" si="137"/>
        <v>-175.01292379343016</v>
      </c>
      <c r="BQ185" s="56">
        <f t="shared" si="154"/>
        <v>39.954389899359334</v>
      </c>
      <c r="BR185" s="59"/>
      <c r="BS185" s="59"/>
      <c r="BT185" s="59">
        <v>5623.4129999999996</v>
      </c>
      <c r="BU185" s="59">
        <v>1.07298</v>
      </c>
      <c r="BV185" s="59">
        <v>-235.13800000000001</v>
      </c>
      <c r="BW185" s="61"/>
      <c r="BY185" s="59"/>
      <c r="BZ185" s="59"/>
      <c r="CA185" s="59"/>
      <c r="CC185" s="59"/>
    </row>
    <row r="186" spans="1:81" x14ac:dyDescent="0.25">
      <c r="A186">
        <f t="shared" si="158"/>
        <v>76000</v>
      </c>
      <c r="B186">
        <f t="shared" si="138"/>
        <v>76</v>
      </c>
      <c r="C186">
        <f t="shared" si="107"/>
        <v>1.0020757447735731</v>
      </c>
      <c r="D186">
        <f t="shared" si="108"/>
        <v>6.4376401346502035E-2</v>
      </c>
      <c r="F186">
        <f t="shared" si="109"/>
        <v>3.4265075468915265E-3</v>
      </c>
      <c r="G186">
        <f t="shared" si="110"/>
        <v>2.2933966966230106E-2</v>
      </c>
      <c r="H186">
        <f t="shared" si="111"/>
        <v>-3.1186586830337699</v>
      </c>
      <c r="J186">
        <f t="shared" si="112"/>
        <v>15</v>
      </c>
      <c r="M186">
        <f t="shared" si="113"/>
        <v>3.5127214010402627E-2</v>
      </c>
      <c r="N186">
        <f t="shared" si="114"/>
        <v>-1.5707963250000001</v>
      </c>
      <c r="O186">
        <f t="shared" si="115"/>
        <v>20.510090102255926</v>
      </c>
      <c r="P186">
        <f t="shared" si="116"/>
        <v>1.5220204989628612</v>
      </c>
      <c r="Q186">
        <f t="shared" si="117"/>
        <v>19.429383595948376</v>
      </c>
      <c r="R186">
        <f t="shared" si="118"/>
        <v>1.5193051396361681</v>
      </c>
      <c r="S186">
        <f t="shared" si="119"/>
        <v>0.89665481038495043</v>
      </c>
      <c r="T186">
        <f t="shared" si="120"/>
        <v>-0.45864141781927553</v>
      </c>
      <c r="U186">
        <f t="shared" si="121"/>
        <v>0.99725676242925498</v>
      </c>
      <c r="V186">
        <f t="shared" si="122"/>
        <v>-7.4087687431222973E-2</v>
      </c>
      <c r="X186">
        <f t="shared" si="139"/>
        <v>-3.8130785564870995</v>
      </c>
      <c r="Y186">
        <f t="shared" si="123"/>
        <v>-121.26549035597364</v>
      </c>
      <c r="Z186">
        <f t="shared" si="140"/>
        <v>58.73450964402636</v>
      </c>
      <c r="AC186">
        <v>1</v>
      </c>
      <c r="AD186">
        <f t="shared" si="124"/>
        <v>20.485697352119999</v>
      </c>
      <c r="AE186">
        <f t="shared" si="125"/>
        <v>-1.1738847440633746E-4</v>
      </c>
      <c r="AF186">
        <f t="shared" si="126"/>
        <v>1.5815531382335998E-3</v>
      </c>
      <c r="AG186">
        <f t="shared" si="141"/>
        <v>12835.256609543307</v>
      </c>
      <c r="AH186">
        <f t="shared" si="142"/>
        <v>-1584.9680490709507</v>
      </c>
      <c r="AJ186">
        <f t="shared" si="127"/>
        <v>18000</v>
      </c>
      <c r="AK186">
        <f t="shared" si="128"/>
        <v>8887.6410050735994</v>
      </c>
      <c r="AL186">
        <v>1</v>
      </c>
      <c r="AM186">
        <f t="shared" si="129"/>
        <v>19.403632312495198</v>
      </c>
      <c r="AN186">
        <f t="shared" si="143"/>
        <v>504.50871644837741</v>
      </c>
      <c r="AO186">
        <f t="shared" si="144"/>
        <v>-901.66062733961382</v>
      </c>
      <c r="AQ186">
        <f t="shared" si="130"/>
        <v>0.43280675178532785</v>
      </c>
      <c r="AR186">
        <f t="shared" si="131"/>
        <v>-65.78662627136984</v>
      </c>
      <c r="AT186">
        <f t="shared" si="156"/>
        <v>-98714.514974785197</v>
      </c>
      <c r="AU186">
        <f t="shared" si="157"/>
        <v>-845074.21454215702</v>
      </c>
      <c r="AV186">
        <f t="shared" si="145"/>
        <v>-1.6870809896051384</v>
      </c>
      <c r="AW186">
        <f t="shared" si="146"/>
        <v>-44252.180826727657</v>
      </c>
      <c r="AX186">
        <f t="shared" si="147"/>
        <v>-39761.418308345266</v>
      </c>
      <c r="AY186">
        <f t="shared" si="155"/>
        <v>-2.4095964736339539</v>
      </c>
      <c r="BA186">
        <f t="shared" si="132"/>
        <v>14.301567564825717</v>
      </c>
      <c r="BB186">
        <f t="shared" si="148"/>
        <v>23.107672843626798</v>
      </c>
      <c r="BC186">
        <f t="shared" si="149"/>
        <v>0.72251548402881549</v>
      </c>
      <c r="BD186">
        <f t="shared" si="133"/>
        <v>-138.60291208499396</v>
      </c>
      <c r="BF186">
        <f t="shared" si="134"/>
        <v>-2.6554571181190489</v>
      </c>
      <c r="BG186">
        <f t="shared" si="135"/>
        <v>-133.60039646722541</v>
      </c>
      <c r="BH186">
        <f t="shared" si="150"/>
        <v>46.399603532774591</v>
      </c>
      <c r="BI186">
        <f t="shared" si="151"/>
        <v>46.399603532774591</v>
      </c>
      <c r="BJ186">
        <f t="shared" si="136"/>
        <v>0</v>
      </c>
      <c r="BK186">
        <f t="shared" si="152"/>
        <v>0</v>
      </c>
      <c r="BM186">
        <f t="shared" si="153"/>
        <v>-25.763129961745847</v>
      </c>
      <c r="BN186">
        <f t="shared" si="137"/>
        <v>-174.99748438223148</v>
      </c>
      <c r="BQ186" s="56">
        <f t="shared" si="154"/>
        <v>40.009633643911933</v>
      </c>
      <c r="BR186" s="59"/>
      <c r="BS186" s="59"/>
      <c r="BT186" s="59">
        <v>5754.3990000000003</v>
      </c>
      <c r="BU186" s="59">
        <v>0.86915299999999995</v>
      </c>
      <c r="BV186" s="59">
        <v>-234.68899999999999</v>
      </c>
      <c r="BW186" s="61"/>
      <c r="BY186" s="59"/>
      <c r="BZ186" s="59"/>
      <c r="CA186" s="59"/>
      <c r="CC186" s="59"/>
    </row>
    <row r="187" spans="1:81" x14ac:dyDescent="0.25">
      <c r="A187">
        <f t="shared" si="158"/>
        <v>76500</v>
      </c>
      <c r="B187">
        <f t="shared" si="138"/>
        <v>76.5</v>
      </c>
      <c r="C187">
        <f t="shared" si="107"/>
        <v>1.0021031182932971</v>
      </c>
      <c r="D187">
        <f t="shared" si="108"/>
        <v>6.4798749587617888E-2</v>
      </c>
      <c r="F187">
        <f t="shared" si="109"/>
        <v>3.3817200716757868E-3</v>
      </c>
      <c r="G187">
        <f t="shared" si="110"/>
        <v>2.2783082809626411E-2</v>
      </c>
      <c r="H187">
        <f t="shared" si="111"/>
        <v>-3.1188095671903739</v>
      </c>
      <c r="J187">
        <f t="shared" si="112"/>
        <v>15</v>
      </c>
      <c r="M187">
        <f t="shared" si="113"/>
        <v>3.4897624376347705E-2</v>
      </c>
      <c r="N187">
        <f t="shared" si="114"/>
        <v>-1.5707963250000001</v>
      </c>
      <c r="O187">
        <f t="shared" si="115"/>
        <v>20.64470518496007</v>
      </c>
      <c r="P187">
        <f t="shared" si="116"/>
        <v>1.5223387947702525</v>
      </c>
      <c r="Q187">
        <f t="shared" si="117"/>
        <v>19.556870983541039</v>
      </c>
      <c r="R187">
        <f t="shared" si="118"/>
        <v>1.5196410946007146</v>
      </c>
      <c r="S187">
        <f t="shared" si="119"/>
        <v>0.89549698067897165</v>
      </c>
      <c r="T187">
        <f t="shared" si="120"/>
        <v>-0.4612497344593649</v>
      </c>
      <c r="U187">
        <f t="shared" si="121"/>
        <v>0.99722069929903723</v>
      </c>
      <c r="V187">
        <f t="shared" si="122"/>
        <v>-7.4573307217977933E-2</v>
      </c>
      <c r="X187">
        <f t="shared" si="139"/>
        <v>-3.8819868377862985</v>
      </c>
      <c r="Y187">
        <f t="shared" si="123"/>
        <v>-121.38972030114839</v>
      </c>
      <c r="Z187">
        <f t="shared" si="140"/>
        <v>58.610279698851613</v>
      </c>
      <c r="AC187">
        <v>1</v>
      </c>
      <c r="AD187">
        <f t="shared" si="124"/>
        <v>20.620471676805</v>
      </c>
      <c r="AE187">
        <f t="shared" si="125"/>
        <v>-1.1893814046822861E-4</v>
      </c>
      <c r="AF187">
        <f t="shared" si="126"/>
        <v>1.5919580930903998E-3</v>
      </c>
      <c r="AG187">
        <f t="shared" si="141"/>
        <v>12834.328320704311</v>
      </c>
      <c r="AH187">
        <f t="shared" si="142"/>
        <v>-1587.0337011941849</v>
      </c>
      <c r="AJ187">
        <f t="shared" si="127"/>
        <v>18000</v>
      </c>
      <c r="AK187">
        <f t="shared" si="128"/>
        <v>8946.1123274754009</v>
      </c>
      <c r="AL187">
        <v>1</v>
      </c>
      <c r="AM187">
        <f t="shared" si="129"/>
        <v>19.5312877882353</v>
      </c>
      <c r="AN187">
        <f t="shared" si="143"/>
        <v>503.90485116252717</v>
      </c>
      <c r="AO187">
        <f t="shared" si="144"/>
        <v>-895.79833846779286</v>
      </c>
      <c r="AQ187">
        <f t="shared" si="130"/>
        <v>0.42716787697565145</v>
      </c>
      <c r="AR187">
        <f t="shared" si="131"/>
        <v>-65.35668517727467</v>
      </c>
      <c r="AT187">
        <f t="shared" si="156"/>
        <v>-98240.849193509595</v>
      </c>
      <c r="AU187">
        <f t="shared" si="157"/>
        <v>-839487.08533487981</v>
      </c>
      <c r="AV187">
        <f t="shared" si="145"/>
        <v>-1.6872913113915875</v>
      </c>
      <c r="AW187">
        <f t="shared" si="146"/>
        <v>-43486.247210337147</v>
      </c>
      <c r="AX187">
        <f t="shared" si="147"/>
        <v>-39470.965492911891</v>
      </c>
      <c r="AY187">
        <f t="shared" si="155"/>
        <v>-2.4045585853970453</v>
      </c>
      <c r="BA187">
        <f t="shared" si="132"/>
        <v>14.391973608853439</v>
      </c>
      <c r="BB187">
        <f t="shared" si="148"/>
        <v>23.162407079095878</v>
      </c>
      <c r="BC187">
        <f t="shared" si="149"/>
        <v>0.71726727400545776</v>
      </c>
      <c r="BD187">
        <f t="shared" si="133"/>
        <v>-138.90361236967422</v>
      </c>
      <c r="BF187">
        <f t="shared" si="134"/>
        <v>-2.7147663648949036</v>
      </c>
      <c r="BG187">
        <f t="shared" si="135"/>
        <v>-133.885543005556</v>
      </c>
      <c r="BH187">
        <f t="shared" si="150"/>
        <v>46.114456994443998</v>
      </c>
      <c r="BI187">
        <f t="shared" si="151"/>
        <v>46.114456994443998</v>
      </c>
      <c r="BJ187">
        <f t="shared" si="136"/>
        <v>0</v>
      </c>
      <c r="BK187">
        <f t="shared" si="152"/>
        <v>0</v>
      </c>
      <c r="BM187">
        <f t="shared" si="153"/>
        <v>-25.877173443990785</v>
      </c>
      <c r="BN187">
        <f t="shared" si="137"/>
        <v>-174.98193063588178</v>
      </c>
      <c r="BQ187" s="56">
        <f t="shared" si="154"/>
        <v>40.064367879381024</v>
      </c>
      <c r="BR187" s="59"/>
      <c r="BS187" s="59"/>
      <c r="BT187" s="59">
        <v>5888.4369999999999</v>
      </c>
      <c r="BU187" s="59">
        <v>0.80323599999999995</v>
      </c>
      <c r="BV187" s="59">
        <v>-233.95400000000001</v>
      </c>
      <c r="BW187" s="61"/>
      <c r="BY187" s="59"/>
      <c r="BZ187" s="59"/>
      <c r="CA187" s="59"/>
      <c r="CC187" s="59"/>
    </row>
    <row r="188" spans="1:81" x14ac:dyDescent="0.25">
      <c r="A188">
        <f t="shared" si="158"/>
        <v>77000</v>
      </c>
      <c r="B188">
        <f t="shared" si="138"/>
        <v>77</v>
      </c>
      <c r="C188">
        <f t="shared" si="107"/>
        <v>1.0021306705564239</v>
      </c>
      <c r="D188">
        <f t="shared" si="108"/>
        <v>6.5221074680246391E-2</v>
      </c>
      <c r="F188">
        <f t="shared" si="109"/>
        <v>3.3378059182890612E-3</v>
      </c>
      <c r="G188">
        <f t="shared" si="110"/>
        <v>2.2634177343832062E-2</v>
      </c>
      <c r="H188">
        <f t="shared" si="111"/>
        <v>-3.1189584726561681</v>
      </c>
      <c r="J188">
        <f t="shared" si="112"/>
        <v>15</v>
      </c>
      <c r="M188">
        <f t="shared" si="113"/>
        <v>3.467101642585195E-2</v>
      </c>
      <c r="N188">
        <f t="shared" si="114"/>
        <v>-1.5707963250000001</v>
      </c>
      <c r="O188">
        <f t="shared" si="115"/>
        <v>20.779322332125432</v>
      </c>
      <c r="P188">
        <f t="shared" si="116"/>
        <v>1.5226529665022071</v>
      </c>
      <c r="Q188">
        <f t="shared" si="117"/>
        <v>19.684360549842705</v>
      </c>
      <c r="R188">
        <f t="shared" si="118"/>
        <v>1.5199726978477415</v>
      </c>
      <c r="S188">
        <f t="shared" si="119"/>
        <v>0.89433607636732493</v>
      </c>
      <c r="T188">
        <f t="shared" si="120"/>
        <v>-0.46385130602195684</v>
      </c>
      <c r="U188">
        <f t="shared" si="121"/>
        <v>0.99718440363993688</v>
      </c>
      <c r="V188">
        <f t="shared" si="122"/>
        <v>-7.5058891769210892E-2</v>
      </c>
      <c r="X188">
        <f t="shared" si="139"/>
        <v>-3.9505562844709918</v>
      </c>
      <c r="Y188">
        <f t="shared" si="123"/>
        <v>-121.51393534584612</v>
      </c>
      <c r="Z188">
        <f t="shared" si="140"/>
        <v>58.486064654153878</v>
      </c>
      <c r="AC188">
        <v>1</v>
      </c>
      <c r="AD188">
        <f t="shared" si="124"/>
        <v>20.755246001490001</v>
      </c>
      <c r="AE188">
        <f t="shared" si="125"/>
        <v>-1.204979682747879E-4</v>
      </c>
      <c r="AF188">
        <f t="shared" si="126"/>
        <v>1.6023630479471999E-3</v>
      </c>
      <c r="AG188">
        <f t="shared" si="141"/>
        <v>12833.394080313064</v>
      </c>
      <c r="AH188">
        <f t="shared" si="142"/>
        <v>-1589.1516694731729</v>
      </c>
      <c r="AJ188">
        <f t="shared" si="127"/>
        <v>18000</v>
      </c>
      <c r="AK188">
        <f t="shared" si="128"/>
        <v>9004.5836498772005</v>
      </c>
      <c r="AL188">
        <v>1</v>
      </c>
      <c r="AM188">
        <f t="shared" si="129"/>
        <v>19.658943263975402</v>
      </c>
      <c r="AN188">
        <f t="shared" si="143"/>
        <v>503.31267077035426</v>
      </c>
      <c r="AO188">
        <f t="shared" si="144"/>
        <v>-890.01158883712503</v>
      </c>
      <c r="AQ188">
        <f t="shared" si="130"/>
        <v>0.42163848716110808</v>
      </c>
      <c r="AR188">
        <f t="shared" si="131"/>
        <v>-64.93232702281064</v>
      </c>
      <c r="AT188">
        <f t="shared" si="156"/>
        <v>-97776.26302591202</v>
      </c>
      <c r="AU188">
        <f t="shared" si="157"/>
        <v>-833972.18874127627</v>
      </c>
      <c r="AV188">
        <f t="shared" si="145"/>
        <v>-1.6875051636285714</v>
      </c>
      <c r="AW188">
        <f t="shared" si="146"/>
        <v>-42735.15359327638</v>
      </c>
      <c r="AX188">
        <f t="shared" si="147"/>
        <v>-39185.227622648905</v>
      </c>
      <c r="AY188">
        <f t="shared" si="155"/>
        <v>-2.3995012518787409</v>
      </c>
      <c r="BA188">
        <f t="shared" si="132"/>
        <v>14.482105631673987</v>
      </c>
      <c r="BB188">
        <f t="shared" si="148"/>
        <v>23.216634217518504</v>
      </c>
      <c r="BC188">
        <f t="shared" si="149"/>
        <v>0.71199608825016947</v>
      </c>
      <c r="BD188">
        <f t="shared" si="133"/>
        <v>-139.20562906682682</v>
      </c>
      <c r="BF188">
        <f t="shared" si="134"/>
        <v>-2.773831912493125</v>
      </c>
      <c r="BG188">
        <f t="shared" si="135"/>
        <v>-134.17189391203706</v>
      </c>
      <c r="BH188">
        <f t="shared" si="150"/>
        <v>45.828106087962936</v>
      </c>
      <c r="BI188">
        <f t="shared" si="151"/>
        <v>45.828106087962936</v>
      </c>
      <c r="BJ188">
        <f t="shared" si="136"/>
        <v>0</v>
      </c>
      <c r="BK188">
        <f t="shared" si="152"/>
        <v>0</v>
      </c>
      <c r="BM188">
        <f t="shared" si="153"/>
        <v>-25.990466130011626</v>
      </c>
      <c r="BN188">
        <f t="shared" si="137"/>
        <v>-174.96626484521025</v>
      </c>
      <c r="BQ188" s="56">
        <f t="shared" si="154"/>
        <v>40.118595017803642</v>
      </c>
      <c r="BR188" s="59"/>
      <c r="BS188" s="59"/>
      <c r="BT188" s="59">
        <v>6025.5959999999995</v>
      </c>
      <c r="BU188" s="59">
        <v>0.76992799999999995</v>
      </c>
      <c r="BV188" s="59">
        <v>-234.14699999999999</v>
      </c>
      <c r="BW188" s="61"/>
      <c r="BY188" s="59"/>
      <c r="BZ188" s="59"/>
      <c r="CA188" s="59"/>
      <c r="CC188" s="59"/>
    </row>
    <row r="189" spans="1:81" x14ac:dyDescent="0.25">
      <c r="A189">
        <f t="shared" si="158"/>
        <v>77500</v>
      </c>
      <c r="B189">
        <f t="shared" si="138"/>
        <v>77.5</v>
      </c>
      <c r="C189">
        <f t="shared" si="107"/>
        <v>1.0021584015482112</v>
      </c>
      <c r="D189">
        <f t="shared" si="108"/>
        <v>6.5643376475652507E-2</v>
      </c>
      <c r="F189">
        <f t="shared" si="109"/>
        <v>3.2947425048457809E-3</v>
      </c>
      <c r="G189">
        <f t="shared" si="110"/>
        <v>2.2487211779537466E-2</v>
      </c>
      <c r="H189">
        <f t="shared" si="111"/>
        <v>-3.1191054382204628</v>
      </c>
      <c r="J189">
        <f t="shared" si="112"/>
        <v>15</v>
      </c>
      <c r="M189">
        <f t="shared" si="113"/>
        <v>3.4447332448910968E-2</v>
      </c>
      <c r="N189">
        <f t="shared" si="114"/>
        <v>-1.5707963250000001</v>
      </c>
      <c r="O189">
        <f t="shared" si="115"/>
        <v>20.913941503886939</v>
      </c>
      <c r="P189">
        <f t="shared" si="116"/>
        <v>1.5229630937338299</v>
      </c>
      <c r="Q189">
        <f t="shared" si="117"/>
        <v>19.811852252793305</v>
      </c>
      <c r="R189">
        <f t="shared" si="118"/>
        <v>1.5203000333151195</v>
      </c>
      <c r="S189">
        <f t="shared" si="119"/>
        <v>0.89317215644309877</v>
      </c>
      <c r="T189">
        <f t="shared" si="120"/>
        <v>-0.4664461235581896</v>
      </c>
      <c r="U189">
        <f t="shared" si="121"/>
        <v>0.99714787552868978</v>
      </c>
      <c r="V189">
        <f t="shared" si="122"/>
        <v>-7.5544440859787398E-2</v>
      </c>
      <c r="X189">
        <f t="shared" si="139"/>
        <v>-4.0187916056669799</v>
      </c>
      <c r="Y189">
        <f t="shared" si="123"/>
        <v>-121.63812782681767</v>
      </c>
      <c r="Z189">
        <f t="shared" si="140"/>
        <v>58.361872173182334</v>
      </c>
      <c r="AC189">
        <v>1</v>
      </c>
      <c r="AD189">
        <f t="shared" si="124"/>
        <v>20.890020326175001</v>
      </c>
      <c r="AE189">
        <f t="shared" si="125"/>
        <v>-1.2206795782601532E-4</v>
      </c>
      <c r="AF189">
        <f t="shared" si="126"/>
        <v>1.612768002804E-3</v>
      </c>
      <c r="AG189">
        <f t="shared" si="141"/>
        <v>12832.453890998149</v>
      </c>
      <c r="AH189">
        <f t="shared" si="142"/>
        <v>-1591.3209066081322</v>
      </c>
      <c r="AJ189">
        <f t="shared" si="127"/>
        <v>18000</v>
      </c>
      <c r="AK189">
        <f t="shared" si="128"/>
        <v>9063.0549722790001</v>
      </c>
      <c r="AL189">
        <v>1</v>
      </c>
      <c r="AM189">
        <f t="shared" si="129"/>
        <v>19.786598739715501</v>
      </c>
      <c r="AN189">
        <f t="shared" si="143"/>
        <v>502.73187598615476</v>
      </c>
      <c r="AO189">
        <f t="shared" si="144"/>
        <v>-884.29893152345926</v>
      </c>
      <c r="AQ189">
        <f t="shared" si="130"/>
        <v>0.41621576625322565</v>
      </c>
      <c r="AR189">
        <f t="shared" si="131"/>
        <v>-64.513443769249974</v>
      </c>
      <c r="AT189">
        <f t="shared" si="156"/>
        <v>-97320.522198144652</v>
      </c>
      <c r="AU189">
        <f t="shared" si="157"/>
        <v>-828528.12536890083</v>
      </c>
      <c r="AV189">
        <f t="shared" si="145"/>
        <v>-1.6877224773227819</v>
      </c>
      <c r="AW189">
        <f t="shared" si="146"/>
        <v>-41998.520288868844</v>
      </c>
      <c r="AX189">
        <f t="shared" si="147"/>
        <v>-38904.091659345708</v>
      </c>
      <c r="AY189">
        <f t="shared" si="155"/>
        <v>-2.3944246642002307</v>
      </c>
      <c r="BA189">
        <f t="shared" si="132"/>
        <v>14.57195525826263</v>
      </c>
      <c r="BB189">
        <f t="shared" si="148"/>
        <v>23.270356582279419</v>
      </c>
      <c r="BC189">
        <f t="shared" si="149"/>
        <v>0.70670218687744879</v>
      </c>
      <c r="BD189">
        <f t="shared" si="133"/>
        <v>-139.50894727298882</v>
      </c>
      <c r="BF189">
        <f t="shared" si="134"/>
        <v>-2.8326612285846036</v>
      </c>
      <c r="BG189">
        <f t="shared" si="135"/>
        <v>-134.45943651419128</v>
      </c>
      <c r="BH189">
        <f t="shared" si="150"/>
        <v>45.540563485808718</v>
      </c>
      <c r="BI189">
        <f t="shared" si="151"/>
        <v>45.540563485808718</v>
      </c>
      <c r="BJ189">
        <f t="shared" si="136"/>
        <v>0</v>
      </c>
      <c r="BK189">
        <f t="shared" si="152"/>
        <v>0</v>
      </c>
      <c r="BM189">
        <f t="shared" si="153"/>
        <v>-26.103017810864024</v>
      </c>
      <c r="BN189">
        <f t="shared" si="137"/>
        <v>-174.95048924120249</v>
      </c>
      <c r="BQ189" s="56">
        <f t="shared" si="154"/>
        <v>40.172317382564557</v>
      </c>
      <c r="BR189" s="59"/>
      <c r="BS189" s="59"/>
      <c r="BT189" s="59">
        <v>6165.95</v>
      </c>
      <c r="BU189" s="59">
        <v>0.46947800000000001</v>
      </c>
      <c r="BV189" s="59">
        <v>-232.05599999999998</v>
      </c>
      <c r="BW189" s="61"/>
      <c r="BY189" s="59"/>
      <c r="BZ189" s="59"/>
      <c r="CA189" s="59"/>
      <c r="CC189" s="59"/>
    </row>
    <row r="190" spans="1:81" x14ac:dyDescent="0.25">
      <c r="A190">
        <f t="shared" si="158"/>
        <v>78000</v>
      </c>
      <c r="B190">
        <f t="shared" si="138"/>
        <v>78</v>
      </c>
      <c r="C190">
        <f t="shared" si="107"/>
        <v>1.0021863112538223</v>
      </c>
      <c r="D190">
        <f t="shared" si="108"/>
        <v>6.6065654825150866E-2</v>
      </c>
      <c r="F190">
        <f t="shared" si="109"/>
        <v>3.2525079753870849E-3</v>
      </c>
      <c r="G190">
        <f t="shared" si="110"/>
        <v>2.2342148337744911E-2</v>
      </c>
      <c r="H190">
        <f t="shared" si="111"/>
        <v>-3.1192505016622554</v>
      </c>
      <c r="J190">
        <f t="shared" si="112"/>
        <v>15</v>
      </c>
      <c r="M190">
        <f t="shared" si="113"/>
        <v>3.4226516215264097E-2</v>
      </c>
      <c r="N190">
        <f t="shared" si="114"/>
        <v>-1.5707963250000001</v>
      </c>
      <c r="O190">
        <f t="shared" si="115"/>
        <v>21.04856266139879</v>
      </c>
      <c r="P190">
        <f t="shared" si="116"/>
        <v>1.5232692540076169</v>
      </c>
      <c r="Q190">
        <f t="shared" si="117"/>
        <v>19.939346051407782</v>
      </c>
      <c r="R190">
        <f t="shared" si="118"/>
        <v>1.5206231827976091</v>
      </c>
      <c r="S190">
        <f t="shared" si="119"/>
        <v>0.89200527959311182</v>
      </c>
      <c r="T190">
        <f t="shared" si="120"/>
        <v>-0.46903417852940471</v>
      </c>
      <c r="U190">
        <f t="shared" si="121"/>
        <v>0.99711111504250771</v>
      </c>
      <c r="V190">
        <f t="shared" si="122"/>
        <v>-7.6029954264672767E-2</v>
      </c>
      <c r="X190">
        <f t="shared" si="139"/>
        <v>-4.0866974084643406</v>
      </c>
      <c r="Y190">
        <f t="shared" si="123"/>
        <v>-121.76229028568424</v>
      </c>
      <c r="Z190">
        <f t="shared" si="140"/>
        <v>58.237709714315756</v>
      </c>
      <c r="AC190">
        <v>1</v>
      </c>
      <c r="AD190">
        <f t="shared" si="124"/>
        <v>21.024794650860002</v>
      </c>
      <c r="AE190">
        <f t="shared" si="125"/>
        <v>-1.2364810912191088E-4</v>
      </c>
      <c r="AF190">
        <f t="shared" si="126"/>
        <v>1.6231729576607998E-3</v>
      </c>
      <c r="AG190">
        <f t="shared" si="141"/>
        <v>12831.507755404311</v>
      </c>
      <c r="AH190">
        <f t="shared" si="142"/>
        <v>-1593.5403919410337</v>
      </c>
      <c r="AJ190">
        <f t="shared" si="127"/>
        <v>18000</v>
      </c>
      <c r="AK190">
        <f t="shared" si="128"/>
        <v>9121.5262946808016</v>
      </c>
      <c r="AL190">
        <v>1</v>
      </c>
      <c r="AM190">
        <f t="shared" si="129"/>
        <v>19.9142542154556</v>
      </c>
      <c r="AN190">
        <f t="shared" si="143"/>
        <v>502.16217703724737</v>
      </c>
      <c r="AO190">
        <f t="shared" si="144"/>
        <v>-878.65895622556388</v>
      </c>
      <c r="AQ190">
        <f t="shared" si="130"/>
        <v>0.41089698812507702</v>
      </c>
      <c r="AR190">
        <f t="shared" si="131"/>
        <v>-64.099930147512012</v>
      </c>
      <c r="AT190">
        <f t="shared" si="156"/>
        <v>-96873.399920859971</v>
      </c>
      <c r="AU190">
        <f t="shared" si="157"/>
        <v>-823153.53175617917</v>
      </c>
      <c r="AV190">
        <f t="shared" si="145"/>
        <v>-1.6879431852365374</v>
      </c>
      <c r="AW190">
        <f t="shared" si="146"/>
        <v>-41275.979669699402</v>
      </c>
      <c r="AX190">
        <f t="shared" si="147"/>
        <v>-38627.448149580589</v>
      </c>
      <c r="AY190">
        <f t="shared" si="155"/>
        <v>-2.3893290158316951</v>
      </c>
      <c r="BA190">
        <f t="shared" si="132"/>
        <v>14.661514038750557</v>
      </c>
      <c r="BB190">
        <f t="shared" si="148"/>
        <v>23.323576411181076</v>
      </c>
      <c r="BC190">
        <f t="shared" si="149"/>
        <v>0.70138583059515769</v>
      </c>
      <c r="BD190">
        <f t="shared" si="133"/>
        <v>-139.81355205070003</v>
      </c>
      <c r="BF190">
        <f t="shared" si="134"/>
        <v>-2.891261675187188</v>
      </c>
      <c r="BG190">
        <f t="shared" si="135"/>
        <v>-134.7481580476547</v>
      </c>
      <c r="BH190">
        <f t="shared" si="150"/>
        <v>45.251841952345302</v>
      </c>
      <c r="BI190">
        <f t="shared" si="151"/>
        <v>45.251841952345302</v>
      </c>
      <c r="BJ190">
        <f t="shared" si="136"/>
        <v>0</v>
      </c>
      <c r="BK190">
        <f t="shared" si="152"/>
        <v>0</v>
      </c>
      <c r="BM190">
        <f t="shared" si="153"/>
        <v>-26.21483808636826</v>
      </c>
      <c r="BN190">
        <f t="shared" si="137"/>
        <v>-174.93460599695467</v>
      </c>
      <c r="BQ190" s="56">
        <f t="shared" si="154"/>
        <v>40.225537211466211</v>
      </c>
      <c r="BR190" s="59"/>
      <c r="BS190" s="59"/>
      <c r="BT190" s="59">
        <v>6309.5730000000003</v>
      </c>
      <c r="BU190" s="59">
        <v>0.36985299999999999</v>
      </c>
      <c r="BV190" s="59">
        <v>-231.369</v>
      </c>
      <c r="BW190" s="61"/>
      <c r="BY190" s="59"/>
      <c r="BZ190" s="59"/>
      <c r="CA190" s="59"/>
      <c r="CC190" s="59"/>
    </row>
    <row r="191" spans="1:81" x14ac:dyDescent="0.25">
      <c r="A191">
        <f t="shared" si="158"/>
        <v>78500</v>
      </c>
      <c r="B191">
        <f t="shared" si="138"/>
        <v>78.5</v>
      </c>
      <c r="C191">
        <f t="shared" si="107"/>
        <v>1.0022143996583266</v>
      </c>
      <c r="D191">
        <f t="shared" si="108"/>
        <v>6.6487909580106058E-2</v>
      </c>
      <c r="F191">
        <f t="shared" si="109"/>
        <v>3.2110811720292326E-3</v>
      </c>
      <c r="G191">
        <f t="shared" si="110"/>
        <v>2.2198950216994074E-2</v>
      </c>
      <c r="H191">
        <f t="shared" si="111"/>
        <v>-3.1193936997830063</v>
      </c>
      <c r="J191">
        <f t="shared" si="112"/>
        <v>15</v>
      </c>
      <c r="M191">
        <f t="shared" si="113"/>
        <v>3.4008512927268787E-2</v>
      </c>
      <c r="N191">
        <f t="shared" si="114"/>
        <v>-1.5707963250000001</v>
      </c>
      <c r="O191">
        <f t="shared" si="115"/>
        <v>21.18318576680209</v>
      </c>
      <c r="P191">
        <f t="shared" si="116"/>
        <v>1.5235715228978941</v>
      </c>
      <c r="Q191">
        <f t="shared" si="117"/>
        <v>20.06684190574202</v>
      </c>
      <c r="R191">
        <f t="shared" si="118"/>
        <v>1.5209422260147685</v>
      </c>
      <c r="S191">
        <f t="shared" si="119"/>
        <v>0.89083550419361424</v>
      </c>
      <c r="T191">
        <f t="shared" si="120"/>
        <v>-0.47161546280375527</v>
      </c>
      <c r="U191">
        <f t="shared" si="121"/>
        <v>0.99707412225907877</v>
      </c>
      <c r="V191">
        <f t="shared" si="122"/>
        <v>-7.6515431758932703E-2</v>
      </c>
      <c r="X191">
        <f t="shared" si="139"/>
        <v>-4.1542782007139154</v>
      </c>
      <c r="Y191">
        <f t="shared" si="123"/>
        <v>-121.88641546303801</v>
      </c>
      <c r="Z191">
        <f t="shared" si="140"/>
        <v>58.113584536961994</v>
      </c>
      <c r="AC191">
        <v>1</v>
      </c>
      <c r="AD191">
        <f t="shared" si="124"/>
        <v>21.159568975545</v>
      </c>
      <c r="AE191">
        <f t="shared" si="125"/>
        <v>-1.2523842216247456E-4</v>
      </c>
      <c r="AF191">
        <f t="shared" si="126"/>
        <v>1.6335779125175999E-3</v>
      </c>
      <c r="AG191">
        <f t="shared" si="141"/>
        <v>12830.555676192424</v>
      </c>
      <c r="AH191">
        <f t="shared" si="142"/>
        <v>-1595.8091306073748</v>
      </c>
      <c r="AJ191">
        <f t="shared" si="127"/>
        <v>18000</v>
      </c>
      <c r="AK191">
        <f t="shared" si="128"/>
        <v>9179.9976170825994</v>
      </c>
      <c r="AL191">
        <v>1</v>
      </c>
      <c r="AM191">
        <f t="shared" si="129"/>
        <v>20.041909691195698</v>
      </c>
      <c r="AN191">
        <f t="shared" si="143"/>
        <v>501.60329330371309</v>
      </c>
      <c r="AO191">
        <f t="shared" si="144"/>
        <v>-873.0902881167674</v>
      </c>
      <c r="AQ191">
        <f t="shared" si="130"/>
        <v>0.40567951318458417</v>
      </c>
      <c r="AR191">
        <f t="shared" si="131"/>
        <v>-63.691683569979716</v>
      </c>
      <c r="AT191">
        <f t="shared" si="156"/>
        <v>-96434.676604123903</v>
      </c>
      <c r="AU191">
        <f t="shared" si="157"/>
        <v>-817847.07922629535</v>
      </c>
      <c r="AV191">
        <f t="shared" si="145"/>
        <v>-1.6881672218321686</v>
      </c>
      <c r="AW191">
        <f t="shared" si="146"/>
        <v>-40567.175711334399</v>
      </c>
      <c r="AX191">
        <f t="shared" si="147"/>
        <v>-38355.191084721831</v>
      </c>
      <c r="AY191">
        <f t="shared" si="155"/>
        <v>-2.3842145026951362</v>
      </c>
      <c r="BA191">
        <f t="shared" si="132"/>
        <v>14.750773451047584</v>
      </c>
      <c r="BB191">
        <f t="shared" si="148"/>
        <v>23.376295859456921</v>
      </c>
      <c r="BC191">
        <f t="shared" si="149"/>
        <v>0.69604728086296763</v>
      </c>
      <c r="BD191">
        <f t="shared" si="133"/>
        <v>-140.11942841942474</v>
      </c>
      <c r="BF191">
        <f t="shared" si="134"/>
        <v>-2.9496405106148322</v>
      </c>
      <c r="BG191">
        <f t="shared" si="135"/>
        <v>-135.03804564897612</v>
      </c>
      <c r="BH191">
        <f t="shared" si="150"/>
        <v>44.961954351023877</v>
      </c>
      <c r="BI191">
        <f t="shared" si="151"/>
        <v>44.961954351023877</v>
      </c>
      <c r="BJ191">
        <f t="shared" si="136"/>
        <v>0</v>
      </c>
      <c r="BK191">
        <f t="shared" si="152"/>
        <v>0</v>
      </c>
      <c r="BM191">
        <f t="shared" si="153"/>
        <v>-26.325936370071755</v>
      </c>
      <c r="BN191">
        <f t="shared" si="137"/>
        <v>-174.91861722955142</v>
      </c>
      <c r="BQ191" s="56">
        <f t="shared" si="154"/>
        <v>40.278256659742055</v>
      </c>
      <c r="BR191" s="59"/>
      <c r="BS191" s="59"/>
      <c r="BT191" s="59">
        <v>6456.5420000000004</v>
      </c>
      <c r="BU191" s="59">
        <v>0.12767600000000001</v>
      </c>
      <c r="BV191" s="59">
        <v>-230.779</v>
      </c>
      <c r="BW191" s="61"/>
      <c r="BY191" s="59"/>
      <c r="BZ191" s="59"/>
      <c r="CA191" s="59"/>
      <c r="CC191" s="59"/>
    </row>
    <row r="192" spans="1:81" x14ac:dyDescent="0.25">
      <c r="A192">
        <f t="shared" si="158"/>
        <v>79000</v>
      </c>
      <c r="B192">
        <f t="shared" si="138"/>
        <v>79</v>
      </c>
      <c r="C192">
        <f t="shared" si="107"/>
        <v>1.0022426667466999</v>
      </c>
      <c r="D192">
        <f t="shared" si="108"/>
        <v>6.6910140591932926E-2</v>
      </c>
      <c r="F192">
        <f t="shared" si="109"/>
        <v>3.1704416083519556E-3</v>
      </c>
      <c r="G192">
        <f t="shared" si="110"/>
        <v>2.2057581561858629E-2</v>
      </c>
      <c r="H192">
        <f t="shared" si="111"/>
        <v>-3.1195350684381418</v>
      </c>
      <c r="J192">
        <f t="shared" si="112"/>
        <v>15</v>
      </c>
      <c r="M192">
        <f t="shared" si="113"/>
        <v>3.3793269174564558E-2</v>
      </c>
      <c r="N192">
        <f t="shared" si="114"/>
        <v>-1.5707963250000001</v>
      </c>
      <c r="O192">
        <f t="shared" si="115"/>
        <v>21.317810783193718</v>
      </c>
      <c r="P192">
        <f t="shared" si="116"/>
        <v>1.5238699740728232</v>
      </c>
      <c r="Q192">
        <f t="shared" si="117"/>
        <v>20.194339776859998</v>
      </c>
      <c r="R192">
        <f t="shared" si="118"/>
        <v>1.5212572406762963</v>
      </c>
      <c r="S192">
        <f t="shared" si="119"/>
        <v>0.88966288830611295</v>
      </c>
      <c r="T192">
        <f t="shared" si="120"/>
        <v>-0.47418996865278912</v>
      </c>
      <c r="U192">
        <f t="shared" si="121"/>
        <v>0.99703689725656608</v>
      </c>
      <c r="V192">
        <f t="shared" si="122"/>
        <v>-7.700087311773389E-2</v>
      </c>
      <c r="X192">
        <f t="shared" si="139"/>
        <v>-4.2215383937306097</v>
      </c>
      <c r="Y192">
        <f t="shared" si="123"/>
        <v>-122.01049629275467</v>
      </c>
      <c r="Z192">
        <f t="shared" si="140"/>
        <v>57.989503707245333</v>
      </c>
      <c r="AC192">
        <v>1</v>
      </c>
      <c r="AD192">
        <f t="shared" si="124"/>
        <v>21.29434330023</v>
      </c>
      <c r="AE192">
        <f t="shared" si="125"/>
        <v>-1.268388969477064E-4</v>
      </c>
      <c r="AF192">
        <f t="shared" si="126"/>
        <v>1.6439828673743999E-3</v>
      </c>
      <c r="AG192">
        <f t="shared" si="141"/>
        <v>12829.597656039497</v>
      </c>
      <c r="AH192">
        <f t="shared" si="142"/>
        <v>-1598.1261527201736</v>
      </c>
      <c r="AJ192">
        <f t="shared" si="127"/>
        <v>18000</v>
      </c>
      <c r="AK192">
        <f t="shared" si="128"/>
        <v>9238.4689394844008</v>
      </c>
      <c r="AL192">
        <v>1</v>
      </c>
      <c r="AM192">
        <f t="shared" si="129"/>
        <v>20.169565166935801</v>
      </c>
      <c r="AN192">
        <f t="shared" si="143"/>
        <v>501.05495297393946</v>
      </c>
      <c r="AO192">
        <f t="shared" si="144"/>
        <v>-867.59158673942477</v>
      </c>
      <c r="AQ192">
        <f t="shared" si="130"/>
        <v>0.40056078509913878</v>
      </c>
      <c r="AR192">
        <f t="shared" si="131"/>
        <v>-63.288604045663931</v>
      </c>
      <c r="AT192">
        <f t="shared" si="156"/>
        <v>-96004.139584918055</v>
      </c>
      <c r="AU192">
        <f t="shared" si="157"/>
        <v>-812607.47278468288</v>
      </c>
      <c r="AV192">
        <f t="shared" si="145"/>
        <v>-1.688394523218502</v>
      </c>
      <c r="AW192">
        <f t="shared" si="146"/>
        <v>-39871.763556037607</v>
      </c>
      <c r="AX192">
        <f t="shared" si="147"/>
        <v>-38087.21776737133</v>
      </c>
      <c r="AY192">
        <f t="shared" si="155"/>
        <v>-2.3790813232622696</v>
      </c>
      <c r="BA192">
        <f t="shared" si="132"/>
        <v>14.839724903571382</v>
      </c>
      <c r="BB192">
        <f t="shared" si="148"/>
        <v>23.428517002730356</v>
      </c>
      <c r="BC192">
        <f t="shared" si="149"/>
        <v>0.69068680004376759</v>
      </c>
      <c r="BD192">
        <f t="shared" si="133"/>
        <v>-140.42656134687667</v>
      </c>
      <c r="BF192">
        <f t="shared" si="134"/>
        <v>-3.0078048913208071</v>
      </c>
      <c r="BG192">
        <f t="shared" si="135"/>
        <v>-135.32908634874715</v>
      </c>
      <c r="BH192">
        <f t="shared" si="150"/>
        <v>44.670913651252846</v>
      </c>
      <c r="BI192">
        <f t="shared" si="151"/>
        <v>44.670913651252846</v>
      </c>
      <c r="BJ192">
        <f t="shared" si="136"/>
        <v>0</v>
      </c>
      <c r="BK192">
        <f t="shared" si="152"/>
        <v>0</v>
      </c>
      <c r="BM192">
        <f t="shared" si="153"/>
        <v>-26.436321894051169</v>
      </c>
      <c r="BN192">
        <f t="shared" si="137"/>
        <v>-174.90252500187049</v>
      </c>
      <c r="BQ192" s="56">
        <f t="shared" si="154"/>
        <v>40.330477803015498</v>
      </c>
      <c r="BR192" s="59"/>
      <c r="BS192" s="59"/>
      <c r="BT192" s="59">
        <v>6606.9340000000002</v>
      </c>
      <c r="BU192" s="59">
        <v>3.6938100000000001E-2</v>
      </c>
      <c r="BV192" s="59">
        <v>-229.60900000000001</v>
      </c>
      <c r="BW192" s="61"/>
      <c r="BY192" s="59"/>
      <c r="BZ192" s="59"/>
      <c r="CA192" s="59"/>
      <c r="CC192" s="59"/>
    </row>
    <row r="193" spans="1:81" x14ac:dyDescent="0.25">
      <c r="A193">
        <f t="shared" si="158"/>
        <v>79500</v>
      </c>
      <c r="B193">
        <f t="shared" si="138"/>
        <v>79.5</v>
      </c>
      <c r="C193">
        <f t="shared" si="107"/>
        <v>1.0022711125038239</v>
      </c>
      <c r="D193">
        <f t="shared" si="108"/>
        <v>6.7332347712096882E-2</v>
      </c>
      <c r="F193">
        <f t="shared" si="109"/>
        <v>3.1305694439640219E-3</v>
      </c>
      <c r="G193">
        <f t="shared" si="110"/>
        <v>2.1918007432656664E-2</v>
      </c>
      <c r="H193">
        <f t="shared" si="111"/>
        <v>-3.1196746425673436</v>
      </c>
      <c r="J193">
        <f t="shared" si="112"/>
        <v>15</v>
      </c>
      <c r="M193">
        <f t="shared" si="113"/>
        <v>3.3580732890447794E-2</v>
      </c>
      <c r="N193">
        <f t="shared" si="114"/>
        <v>-1.5707963250000001</v>
      </c>
      <c r="O193">
        <f t="shared" si="115"/>
        <v>21.452437674596393</v>
      </c>
      <c r="P193">
        <f t="shared" si="116"/>
        <v>1.5241646793540784</v>
      </c>
      <c r="Q193">
        <f t="shared" si="117"/>
        <v>20.321839626802213</v>
      </c>
      <c r="R193">
        <f t="shared" si="118"/>
        <v>1.521568302544924</v>
      </c>
      <c r="S193">
        <f t="shared" si="119"/>
        <v>0.88848748967332447</v>
      </c>
      <c r="T193">
        <f t="shared" si="120"/>
        <v>-0.4767576887480105</v>
      </c>
      <c r="U193">
        <f t="shared" si="121"/>
        <v>0.99699944011360819</v>
      </c>
      <c r="V193">
        <f t="shared" si="122"/>
        <v>-7.7486278116344565E-2</v>
      </c>
      <c r="X193">
        <f t="shared" si="139"/>
        <v>-4.2884823049070047</v>
      </c>
      <c r="Y193">
        <f t="shared" si="123"/>
        <v>-122.13452589650916</v>
      </c>
      <c r="Z193">
        <f t="shared" si="140"/>
        <v>57.86547410349084</v>
      </c>
      <c r="AC193">
        <v>1</v>
      </c>
      <c r="AD193">
        <f t="shared" si="124"/>
        <v>21.429117624915001</v>
      </c>
      <c r="AE193">
        <f t="shared" si="125"/>
        <v>-1.2844953347760635E-4</v>
      </c>
      <c r="AF193">
        <f t="shared" si="126"/>
        <v>1.6543878222311998E-3</v>
      </c>
      <c r="AG193">
        <f t="shared" si="141"/>
        <v>12828.633697638628</v>
      </c>
      <c r="AH193">
        <f t="shared" si="142"/>
        <v>-1600.4905125847504</v>
      </c>
      <c r="AJ193">
        <f t="shared" si="127"/>
        <v>18000</v>
      </c>
      <c r="AK193">
        <f t="shared" si="128"/>
        <v>9296.9402618862005</v>
      </c>
      <c r="AL193">
        <v>1</v>
      </c>
      <c r="AM193">
        <f t="shared" si="129"/>
        <v>20.297220642675899</v>
      </c>
      <c r="AN193">
        <f t="shared" si="143"/>
        <v>500.51689271518052</v>
      </c>
      <c r="AO193">
        <f t="shared" si="144"/>
        <v>-862.16154494035993</v>
      </c>
      <c r="AQ193">
        <f t="shared" si="130"/>
        <v>0.39553832766395064</v>
      </c>
      <c r="AR193">
        <f t="shared" si="131"/>
        <v>-62.890594098568151</v>
      </c>
      <c r="AT193">
        <f t="shared" si="156"/>
        <v>-95581.582866599434</v>
      </c>
      <c r="AU193">
        <f t="shared" si="157"/>
        <v>-807433.45005819423</v>
      </c>
      <c r="AV193">
        <f t="shared" si="145"/>
        <v>-1.6886250270993519</v>
      </c>
      <c r="AW193">
        <f t="shared" si="146"/>
        <v>-39189.409095487754</v>
      </c>
      <c r="AX193">
        <f t="shared" si="147"/>
        <v>-37823.428683911159</v>
      </c>
      <c r="AY193">
        <f t="shared" si="155"/>
        <v>-2.3739296786475483</v>
      </c>
      <c r="BA193">
        <f t="shared" si="132"/>
        <v>14.928359738082865</v>
      </c>
      <c r="BB193">
        <f t="shared" si="148"/>
        <v>23.480241839921337</v>
      </c>
      <c r="BC193">
        <f t="shared" si="149"/>
        <v>0.68530465154819642</v>
      </c>
      <c r="BD193">
        <f t="shared" si="133"/>
        <v>-140.73493574073794</v>
      </c>
      <c r="BF193">
        <f t="shared" si="134"/>
        <v>-3.0657618736390169</v>
      </c>
      <c r="BG193">
        <f t="shared" si="135"/>
        <v>-135.62126706505663</v>
      </c>
      <c r="BH193">
        <f t="shared" si="150"/>
        <v>44.378732934943372</v>
      </c>
      <c r="BI193">
        <f t="shared" si="151"/>
        <v>44.378732934943372</v>
      </c>
      <c r="BJ193">
        <f t="shared" si="136"/>
        <v>0</v>
      </c>
      <c r="BK193">
        <f t="shared" si="152"/>
        <v>0</v>
      </c>
      <c r="BM193">
        <f t="shared" si="153"/>
        <v>-26.546003713560356</v>
      </c>
      <c r="BN193">
        <f t="shared" si="137"/>
        <v>-174.88633132431869</v>
      </c>
      <c r="BQ193" s="56">
        <f t="shared" si="154"/>
        <v>40.382202640206472</v>
      </c>
      <c r="BR193" s="59"/>
      <c r="BS193" s="59"/>
      <c r="BT193" s="59">
        <v>6760.83</v>
      </c>
      <c r="BU193" s="59">
        <v>-4.9019100000000003E-2</v>
      </c>
      <c r="BV193" s="59">
        <v>-229.1</v>
      </c>
      <c r="BW193" s="61"/>
      <c r="BY193" s="59"/>
      <c r="BZ193" s="59"/>
      <c r="CA193" s="59"/>
      <c r="CC193" s="59"/>
    </row>
    <row r="194" spans="1:81" x14ac:dyDescent="0.25">
      <c r="A194">
        <f t="shared" si="158"/>
        <v>80000</v>
      </c>
      <c r="B194">
        <f t="shared" si="138"/>
        <v>80</v>
      </c>
      <c r="C194">
        <f t="shared" si="107"/>
        <v>1.0022997369144864</v>
      </c>
      <c r="D194">
        <f t="shared" si="108"/>
        <v>6.7754530792114229E-2</v>
      </c>
      <c r="F194">
        <f t="shared" si="109"/>
        <v>3.0914454601867979E-3</v>
      </c>
      <c r="G194">
        <f t="shared" si="110"/>
        <v>2.1780193776320504E-2</v>
      </c>
      <c r="H194">
        <f t="shared" si="111"/>
        <v>-3.1198124562236798</v>
      </c>
      <c r="J194">
        <f t="shared" si="112"/>
        <v>15</v>
      </c>
      <c r="M194">
        <f t="shared" si="113"/>
        <v>3.3370853309882494E-2</v>
      </c>
      <c r="N194">
        <f t="shared" si="114"/>
        <v>-1.5707963250000001</v>
      </c>
      <c r="O194">
        <f t="shared" si="115"/>
        <v>21.587066405929821</v>
      </c>
      <c r="P194">
        <f t="shared" si="116"/>
        <v>1.5244557087742976</v>
      </c>
      <c r="Q194">
        <f t="shared" si="117"/>
        <v>20.449341418555274</v>
      </c>
      <c r="R194">
        <f t="shared" si="118"/>
        <v>1.5218754854969618</v>
      </c>
      <c r="S194">
        <f t="shared" si="119"/>
        <v>0.88730936571524965</v>
      </c>
      <c r="T194">
        <f t="shared" si="120"/>
        <v>-0.47931861615741878</v>
      </c>
      <c r="U194">
        <f t="shared" si="121"/>
        <v>0.99696175090931793</v>
      </c>
      <c r="V194">
        <f t="shared" si="122"/>
        <v>-7.7971646530135219E-2</v>
      </c>
      <c r="X194">
        <f t="shared" si="139"/>
        <v>-4.3551141602409942</v>
      </c>
      <c r="Y194">
        <f t="shared" si="123"/>
        <v>-122.25849757848611</v>
      </c>
      <c r="Z194">
        <f t="shared" si="140"/>
        <v>57.741502421513886</v>
      </c>
      <c r="AC194">
        <v>1</v>
      </c>
      <c r="AD194">
        <f t="shared" si="124"/>
        <v>21.563891949600002</v>
      </c>
      <c r="AE194">
        <f t="shared" si="125"/>
        <v>-1.3007033175217448E-4</v>
      </c>
      <c r="AF194">
        <f t="shared" si="126"/>
        <v>1.6647927770879999E-3</v>
      </c>
      <c r="AG194">
        <f t="shared" si="141"/>
        <v>12827.663803698999</v>
      </c>
      <c r="AH194">
        <f t="shared" si="142"/>
        <v>-1602.9012879429583</v>
      </c>
      <c r="AJ194">
        <f t="shared" si="127"/>
        <v>18000</v>
      </c>
      <c r="AK194">
        <f t="shared" si="128"/>
        <v>9355.4115842880001</v>
      </c>
      <c r="AL194">
        <v>1</v>
      </c>
      <c r="AM194">
        <f t="shared" si="129"/>
        <v>20.424876118416002</v>
      </c>
      <c r="AN194">
        <f t="shared" si="143"/>
        <v>499.98885735839224</v>
      </c>
      <c r="AO194">
        <f t="shared" si="144"/>
        <v>-856.79888784553248</v>
      </c>
      <c r="AQ194">
        <f t="shared" si="130"/>
        <v>0.39060974180696068</v>
      </c>
      <c r="AR194">
        <f t="shared" si="131"/>
        <v>-62.49755868911371</v>
      </c>
      <c r="AT194">
        <f t="shared" si="156"/>
        <v>-95166.806869721622</v>
      </c>
      <c r="AU194">
        <f t="shared" si="157"/>
        <v>-802323.78027412319</v>
      </c>
      <c r="AV194">
        <f t="shared" si="145"/>
        <v>-1.6888586727239319</v>
      </c>
      <c r="AW194">
        <f t="shared" si="146"/>
        <v>-38519.788571558434</v>
      </c>
      <c r="AX194">
        <f t="shared" si="147"/>
        <v>-37563.727382834011</v>
      </c>
      <c r="AY194">
        <f t="shared" si="155"/>
        <v>-2.3687597726963614</v>
      </c>
      <c r="BA194">
        <f t="shared" si="132"/>
        <v>15.016669232627475</v>
      </c>
      <c r="BB194">
        <f t="shared" si="148"/>
        <v>23.531472296102649</v>
      </c>
      <c r="BC194">
        <f t="shared" si="149"/>
        <v>0.67990109997242953</v>
      </c>
      <c r="BD194">
        <f t="shared" si="133"/>
        <v>-141.04453644076443</v>
      </c>
      <c r="BF194">
        <f t="shared" si="134"/>
        <v>-3.1235184154273905</v>
      </c>
      <c r="BG194">
        <f t="shared" si="135"/>
        <v>-135.91457459726502</v>
      </c>
      <c r="BH194">
        <f t="shared" si="150"/>
        <v>44.085425402734984</v>
      </c>
      <c r="BI194">
        <f t="shared" si="151"/>
        <v>44.085425402734984</v>
      </c>
      <c r="BJ194">
        <f t="shared" si="136"/>
        <v>0</v>
      </c>
      <c r="BK194">
        <f t="shared" si="152"/>
        <v>0</v>
      </c>
      <c r="BM194">
        <f t="shared" si="153"/>
        <v>-26.654990711530036</v>
      </c>
      <c r="BN194">
        <f t="shared" si="137"/>
        <v>-174.87003815650056</v>
      </c>
      <c r="BQ194" s="56">
        <f t="shared" si="154"/>
        <v>40.433433096387787</v>
      </c>
      <c r="BR194" s="59"/>
      <c r="BS194" s="59"/>
      <c r="BT194" s="59">
        <v>6918.31</v>
      </c>
      <c r="BU194" s="59">
        <v>-0.21798300000000001</v>
      </c>
      <c r="BV194" s="59">
        <v>-228.376</v>
      </c>
      <c r="BW194" s="61"/>
      <c r="BY194" s="59"/>
      <c r="BZ194" s="59"/>
      <c r="CA194" s="59"/>
      <c r="CC194" s="59"/>
    </row>
    <row r="195" spans="1:81" x14ac:dyDescent="0.25">
      <c r="A195">
        <f t="shared" si="158"/>
        <v>80500</v>
      </c>
      <c r="B195">
        <f t="shared" si="138"/>
        <v>80.5</v>
      </c>
      <c r="C195">
        <f t="shared" si="107"/>
        <v>1.0023285399633817</v>
      </c>
      <c r="D195">
        <f t="shared" si="108"/>
        <v>6.8176689683552449E-2</v>
      </c>
      <c r="F195">
        <f t="shared" si="109"/>
        <v>3.0530510367999431E-3</v>
      </c>
      <c r="G195">
        <f t="shared" si="110"/>
        <v>2.1644107398374451E-2</v>
      </c>
      <c r="H195">
        <f t="shared" si="111"/>
        <v>-3.1199485426016258</v>
      </c>
      <c r="J195">
        <f t="shared" si="112"/>
        <v>15</v>
      </c>
      <c r="M195">
        <f t="shared" si="113"/>
        <v>3.3163580929075773E-2</v>
      </c>
      <c r="N195">
        <f t="shared" si="114"/>
        <v>-1.5707963250000001</v>
      </c>
      <c r="O195">
        <f t="shared" si="115"/>
        <v>21.721696942982916</v>
      </c>
      <c r="P195">
        <f t="shared" si="116"/>
        <v>1.5247431306324031</v>
      </c>
      <c r="Q195">
        <f t="shared" si="117"/>
        <v>20.576845116022639</v>
      </c>
      <c r="R195">
        <f t="shared" si="118"/>
        <v>1.5221788615806027</v>
      </c>
      <c r="S195">
        <f t="shared" si="119"/>
        <v>0.88612857352537455</v>
      </c>
      <c r="T195">
        <f t="shared" si="120"/>
        <v>-0.48187274434202787</v>
      </c>
      <c r="U195">
        <f t="shared" si="121"/>
        <v>0.99692382972328242</v>
      </c>
      <c r="V195">
        <f t="shared" si="122"/>
        <v>-7.8456978134579122E-2</v>
      </c>
      <c r="X195">
        <f t="shared" si="139"/>
        <v>-4.4214380967807969</v>
      </c>
      <c r="Y195">
        <f t="shared" si="123"/>
        <v>-122.38240482027527</v>
      </c>
      <c r="Z195">
        <f t="shared" si="140"/>
        <v>57.617595179724731</v>
      </c>
      <c r="AC195">
        <v>1</v>
      </c>
      <c r="AD195">
        <f t="shared" si="124"/>
        <v>21.698666274285003</v>
      </c>
      <c r="AE195">
        <f t="shared" si="125"/>
        <v>-1.3170129177141073E-4</v>
      </c>
      <c r="AF195">
        <f t="shared" si="126"/>
        <v>1.6751977319447999E-3</v>
      </c>
      <c r="AG195">
        <f t="shared" si="141"/>
        <v>12826.687976945859</v>
      </c>
      <c r="AH195">
        <f t="shared" si="142"/>
        <v>-1605.3575792455817</v>
      </c>
      <c r="AJ195">
        <f t="shared" si="127"/>
        <v>18000</v>
      </c>
      <c r="AK195">
        <f t="shared" si="128"/>
        <v>9413.8829066898015</v>
      </c>
      <c r="AL195">
        <v>1</v>
      </c>
      <c r="AM195">
        <f t="shared" si="129"/>
        <v>20.5525315941561</v>
      </c>
      <c r="AN195">
        <f t="shared" si="143"/>
        <v>499.47059959664097</v>
      </c>
      <c r="AO195">
        <f t="shared" si="144"/>
        <v>-851.502371872254</v>
      </c>
      <c r="AQ195">
        <f t="shared" si="130"/>
        <v>0.38577270272355529</v>
      </c>
      <c r="AR195">
        <f t="shared" si="131"/>
        <v>-62.109405138492399</v>
      </c>
      <c r="AT195">
        <f t="shared" si="156"/>
        <v>-94759.618193655115</v>
      </c>
      <c r="AU195">
        <f t="shared" si="157"/>
        <v>-797277.26327734313</v>
      </c>
      <c r="AV195">
        <f t="shared" si="145"/>
        <v>-1.689095400839103</v>
      </c>
      <c r="AW195">
        <f t="shared" si="146"/>
        <v>-37862.588194273274</v>
      </c>
      <c r="AX195">
        <f t="shared" si="147"/>
        <v>-37308.020358556947</v>
      </c>
      <c r="AY195">
        <f t="shared" si="155"/>
        <v>-2.3635718120684581</v>
      </c>
      <c r="BA195">
        <f t="shared" si="132"/>
        <v>15.104644604581679</v>
      </c>
      <c r="BB195">
        <f t="shared" si="148"/>
        <v>23.582210225307662</v>
      </c>
      <c r="BC195">
        <f t="shared" si="149"/>
        <v>0.67447641122935509</v>
      </c>
      <c r="BD195">
        <f t="shared" si="133"/>
        <v>-141.35534821126987</v>
      </c>
      <c r="BF195">
        <f t="shared" si="134"/>
        <v>-3.1810813776172315</v>
      </c>
      <c r="BG195">
        <f t="shared" si="135"/>
        <v>-136.20899562009393</v>
      </c>
      <c r="BH195">
        <f t="shared" si="150"/>
        <v>43.79100437990607</v>
      </c>
      <c r="BI195">
        <f t="shared" si="151"/>
        <v>43.79100437990607</v>
      </c>
      <c r="BJ195">
        <f t="shared" si="136"/>
        <v>0</v>
      </c>
      <c r="BK195">
        <f t="shared" si="152"/>
        <v>0</v>
      </c>
      <c r="BM195">
        <f t="shared" si="153"/>
        <v>-26.763291602924895</v>
      </c>
      <c r="BN195">
        <f t="shared" si="137"/>
        <v>-174.85364740882406</v>
      </c>
      <c r="BQ195" s="56">
        <f t="shared" si="154"/>
        <v>40.484171025592801</v>
      </c>
      <c r="BR195" s="59"/>
      <c r="BS195" s="59"/>
      <c r="BT195" s="59">
        <v>7079.4579999999996</v>
      </c>
      <c r="BU195" s="59">
        <v>-0.38401400000000002</v>
      </c>
      <c r="BV195" s="59">
        <v>-227.04400000000001</v>
      </c>
      <c r="BW195" s="61"/>
      <c r="BY195" s="59"/>
      <c r="BZ195" s="59"/>
      <c r="CA195" s="59"/>
      <c r="CC195" s="59"/>
    </row>
    <row r="196" spans="1:81" x14ac:dyDescent="0.25">
      <c r="A196">
        <f t="shared" si="158"/>
        <v>81000</v>
      </c>
      <c r="B196">
        <f t="shared" si="138"/>
        <v>81</v>
      </c>
      <c r="C196">
        <f t="shared" si="107"/>
        <v>1.0023575216351097</v>
      </c>
      <c r="D196">
        <f t="shared" si="108"/>
        <v>6.8598824238030556E-2</v>
      </c>
      <c r="F196">
        <f t="shared" si="109"/>
        <v>3.0153681297965186E-3</v>
      </c>
      <c r="G196">
        <f t="shared" si="110"/>
        <v>2.1509715935971382E-2</v>
      </c>
      <c r="H196">
        <f t="shared" si="111"/>
        <v>-3.1200829340640288</v>
      </c>
      <c r="J196">
        <f t="shared" si="112"/>
        <v>15</v>
      </c>
      <c r="M196">
        <f t="shared" si="113"/>
        <v>3.2958867466550613E-2</v>
      </c>
      <c r="N196">
        <f t="shared" si="114"/>
        <v>-1.5707963250000001</v>
      </c>
      <c r="O196">
        <f t="shared" si="115"/>
        <v>21.856329252387088</v>
      </c>
      <c r="P196">
        <f t="shared" si="116"/>
        <v>1.5250270115468831</v>
      </c>
      <c r="Q196">
        <f t="shared" si="117"/>
        <v>20.704350683996395</v>
      </c>
      <c r="R196">
        <f t="shared" si="118"/>
        <v>1.5224785010720772</v>
      </c>
      <c r="S196">
        <f t="shared" si="119"/>
        <v>0.88494516986699168</v>
      </c>
      <c r="T196">
        <f t="shared" si="120"/>
        <v>-0.48442006715236535</v>
      </c>
      <c r="U196">
        <f t="shared" si="121"/>
        <v>0.99688567663556216</v>
      </c>
      <c r="V196">
        <f t="shared" si="122"/>
        <v>-7.8942272705252975E-2</v>
      </c>
      <c r="X196">
        <f t="shared" si="139"/>
        <v>-4.4874581649905361</v>
      </c>
      <c r="Y196">
        <f t="shared" si="123"/>
        <v>-122.50624127594587</v>
      </c>
      <c r="Z196">
        <f t="shared" si="140"/>
        <v>57.493758724054132</v>
      </c>
      <c r="AC196">
        <v>1</v>
      </c>
      <c r="AD196">
        <f t="shared" si="124"/>
        <v>21.83344059897</v>
      </c>
      <c r="AE196">
        <f t="shared" si="125"/>
        <v>-1.3334241353531512E-4</v>
      </c>
      <c r="AF196">
        <f t="shared" si="126"/>
        <v>1.6856026868015998E-3</v>
      </c>
      <c r="AG196">
        <f t="shared" si="141"/>
        <v>12825.70622012049</v>
      </c>
      <c r="AH196">
        <f t="shared" si="142"/>
        <v>-1607.8585089516823</v>
      </c>
      <c r="AJ196">
        <f t="shared" si="127"/>
        <v>18000</v>
      </c>
      <c r="AK196">
        <f t="shared" si="128"/>
        <v>9472.3542290916012</v>
      </c>
      <c r="AL196">
        <v>1</v>
      </c>
      <c r="AM196">
        <f t="shared" si="129"/>
        <v>20.680187069896199</v>
      </c>
      <c r="AN196">
        <f t="shared" si="143"/>
        <v>498.96187969641801</v>
      </c>
      <c r="AO196">
        <f t="shared" si="144"/>
        <v>-846.27078377736473</v>
      </c>
      <c r="AQ196">
        <f t="shared" si="130"/>
        <v>0.38102495713469231</v>
      </c>
      <c r="AR196">
        <f t="shared" si="131"/>
        <v>-61.726043055820156</v>
      </c>
      <c r="AT196">
        <f t="shared" si="156"/>
        <v>-94359.829388474784</v>
      </c>
      <c r="AU196">
        <f t="shared" si="157"/>
        <v>-792292.72858390969</v>
      </c>
      <c r="AV196">
        <f t="shared" si="145"/>
        <v>-1.689335153643382</v>
      </c>
      <c r="AW196">
        <f t="shared" si="146"/>
        <v>-37217.503776097925</v>
      </c>
      <c r="AX196">
        <f t="shared" si="147"/>
        <v>-37056.216940435217</v>
      </c>
      <c r="AY196">
        <f t="shared" si="155"/>
        <v>-2.3583660063166425</v>
      </c>
      <c r="BA196">
        <f t="shared" si="132"/>
        <v>15.192277013804039</v>
      </c>
      <c r="BB196">
        <f t="shared" si="148"/>
        <v>23.632457413291284</v>
      </c>
      <c r="BC196">
        <f t="shared" si="149"/>
        <v>0.66903085267326046</v>
      </c>
      <c r="BD196">
        <f t="shared" si="133"/>
        <v>-141.66735573398199</v>
      </c>
      <c r="BF196">
        <f t="shared" si="134"/>
        <v>-3.238457525672132</v>
      </c>
      <c r="BG196">
        <f t="shared" si="135"/>
        <v>-136.50451667802724</v>
      </c>
      <c r="BH196">
        <f t="shared" si="150"/>
        <v>43.495483321972756</v>
      </c>
      <c r="BI196">
        <f t="shared" si="151"/>
        <v>43.495483321972756</v>
      </c>
      <c r="BJ196">
        <f t="shared" si="136"/>
        <v>0</v>
      </c>
      <c r="BK196">
        <f t="shared" si="152"/>
        <v>0</v>
      </c>
      <c r="BM196">
        <f t="shared" si="153"/>
        <v>-26.870914938963413</v>
      </c>
      <c r="BN196">
        <f t="shared" si="137"/>
        <v>-174.83716094404528</v>
      </c>
      <c r="BQ196" s="56">
        <f t="shared" si="154"/>
        <v>40.534418213576416</v>
      </c>
      <c r="BR196" s="59"/>
      <c r="BS196" s="59"/>
      <c r="BT196" s="59">
        <v>7244.36</v>
      </c>
      <c r="BU196" s="59">
        <v>-0.57486000000000004</v>
      </c>
      <c r="BV196" s="59">
        <v>-226.239</v>
      </c>
      <c r="BW196" s="61"/>
      <c r="BY196" s="59"/>
      <c r="BZ196" s="59"/>
      <c r="CA196" s="59"/>
      <c r="CC196" s="59"/>
    </row>
    <row r="197" spans="1:81" x14ac:dyDescent="0.25">
      <c r="A197">
        <f t="shared" si="158"/>
        <v>81500</v>
      </c>
      <c r="B197">
        <f t="shared" si="138"/>
        <v>81.5</v>
      </c>
      <c r="C197">
        <f t="shared" si="107"/>
        <v>1.0023866819141773</v>
      </c>
      <c r="D197">
        <f t="shared" si="108"/>
        <v>6.9020934307219284E-2</v>
      </c>
      <c r="F197">
        <f t="shared" si="109"/>
        <v>2.9783792500976737E-3</v>
      </c>
      <c r="G197">
        <f t="shared" si="110"/>
        <v>2.1376987831941752E-2</v>
      </c>
      <c r="H197">
        <f t="shared" si="111"/>
        <v>-3.1202156621680586</v>
      </c>
      <c r="J197">
        <f t="shared" si="112"/>
        <v>15</v>
      </c>
      <c r="M197">
        <f t="shared" si="113"/>
        <v>3.2756665825651531E-2</v>
      </c>
      <c r="N197">
        <f t="shared" si="114"/>
        <v>-1.5707963250000001</v>
      </c>
      <c r="O197">
        <f t="shared" si="115"/>
        <v>21.990963301590458</v>
      </c>
      <c r="P197">
        <f t="shared" si="116"/>
        <v>1.525307416507123</v>
      </c>
      <c r="Q197">
        <f t="shared" si="117"/>
        <v>20.831858088130115</v>
      </c>
      <c r="R197">
        <f t="shared" si="118"/>
        <v>1.5227744725297545</v>
      </c>
      <c r="S197">
        <f t="shared" si="119"/>
        <v>0.8837592111696434</v>
      </c>
      <c r="T197">
        <f t="shared" si="120"/>
        <v>-0.48696057882495453</v>
      </c>
      <c r="U197">
        <f t="shared" si="121"/>
        <v>0.99684729172669129</v>
      </c>
      <c r="V197">
        <f t="shared" si="122"/>
        <v>-7.9427530017837478E-2</v>
      </c>
      <c r="X197">
        <f t="shared" si="139"/>
        <v>-4.5531783310394989</v>
      </c>
      <c r="Y197">
        <f t="shared" si="123"/>
        <v>-122.63000076729099</v>
      </c>
      <c r="Z197">
        <f t="shared" si="140"/>
        <v>57.369999232709006</v>
      </c>
      <c r="AC197">
        <v>1</v>
      </c>
      <c r="AD197">
        <f t="shared" si="124"/>
        <v>21.968214923655001</v>
      </c>
      <c r="AE197">
        <f t="shared" si="125"/>
        <v>-1.3499369704388764E-4</v>
      </c>
      <c r="AF197">
        <f t="shared" si="126"/>
        <v>1.6960076416583998E-3</v>
      </c>
      <c r="AG197">
        <f t="shared" si="141"/>
        <v>12824.718535980217</v>
      </c>
      <c r="AH197">
        <f t="shared" si="142"/>
        <v>-1610.4032208537405</v>
      </c>
      <c r="AJ197">
        <f t="shared" si="127"/>
        <v>18000</v>
      </c>
      <c r="AK197">
        <f t="shared" si="128"/>
        <v>9530.8255514934008</v>
      </c>
      <c r="AL197">
        <v>1</v>
      </c>
      <c r="AM197">
        <f t="shared" si="129"/>
        <v>20.807842545636298</v>
      </c>
      <c r="AN197">
        <f t="shared" si="143"/>
        <v>498.46246522123937</v>
      </c>
      <c r="AO197">
        <f t="shared" si="144"/>
        <v>-841.10293973985711</v>
      </c>
      <c r="AQ197">
        <f t="shared" si="130"/>
        <v>0.37636432066240122</v>
      </c>
      <c r="AR197">
        <f t="shared" si="131"/>
        <v>-61.3473842679714</v>
      </c>
      <c r="AT197">
        <f t="shared" si="156"/>
        <v>-93967.258736612537</v>
      </c>
      <c r="AU197">
        <f t="shared" si="157"/>
        <v>-787369.03446956316</v>
      </c>
      <c r="AV197">
        <f t="shared" si="145"/>
        <v>-1.6895778747426318</v>
      </c>
      <c r="AW197">
        <f t="shared" si="146"/>
        <v>-36584.240381775802</v>
      </c>
      <c r="AX197">
        <f t="shared" si="147"/>
        <v>-36808.229186709861</v>
      </c>
      <c r="AY197">
        <f t="shared" si="155"/>
        <v>-2.3531425679607745</v>
      </c>
      <c r="BA197">
        <f t="shared" si="132"/>
        <v>15.279557565890013</v>
      </c>
      <c r="BB197">
        <f t="shared" si="148"/>
        <v>23.682215580245725</v>
      </c>
      <c r="BC197">
        <f t="shared" si="149"/>
        <v>0.66356469321814271</v>
      </c>
      <c r="BD197">
        <f t="shared" si="133"/>
        <v>-141.98054360126361</v>
      </c>
      <c r="BF197">
        <f t="shared" si="134"/>
        <v>-3.2956535309600259</v>
      </c>
      <c r="BG197">
        <f t="shared" si="135"/>
        <v>-136.80112418001912</v>
      </c>
      <c r="BH197">
        <f t="shared" si="150"/>
        <v>43.198875819980884</v>
      </c>
      <c r="BI197">
        <f t="shared" si="151"/>
        <v>43.198875819980884</v>
      </c>
      <c r="BJ197">
        <f t="shared" si="136"/>
        <v>0</v>
      </c>
      <c r="BK197">
        <f t="shared" si="152"/>
        <v>0</v>
      </c>
      <c r="BM197">
        <f t="shared" si="153"/>
        <v>-26.977869111205752</v>
      </c>
      <c r="BN197">
        <f t="shared" si="137"/>
        <v>-174.82058057875551</v>
      </c>
      <c r="BQ197" s="56">
        <f t="shared" si="154"/>
        <v>40.584176380530863</v>
      </c>
      <c r="BR197" s="59"/>
      <c r="BS197" s="59"/>
      <c r="BT197" s="59">
        <v>7413.1019999999999</v>
      </c>
      <c r="BU197" s="59">
        <v>-0.73329999999999995</v>
      </c>
      <c r="BV197" s="59">
        <v>-225.834</v>
      </c>
      <c r="BW197" s="61"/>
      <c r="BY197" s="59"/>
      <c r="BZ197" s="59"/>
      <c r="CA197" s="59"/>
      <c r="CC197" s="59"/>
    </row>
    <row r="198" spans="1:81" x14ac:dyDescent="0.25">
      <c r="A198">
        <f t="shared" si="158"/>
        <v>82000</v>
      </c>
      <c r="B198">
        <f t="shared" si="138"/>
        <v>82</v>
      </c>
      <c r="C198">
        <f t="shared" si="107"/>
        <v>1.0024160207849973</v>
      </c>
      <c r="D198">
        <f t="shared" si="108"/>
        <v>6.9443019742841561E-2</v>
      </c>
      <c r="F198">
        <f t="shared" si="109"/>
        <v>2.94206744317986E-3</v>
      </c>
      <c r="G198">
        <f t="shared" si="110"/>
        <v>2.1245892309810808E-2</v>
      </c>
      <c r="H198">
        <f t="shared" si="111"/>
        <v>-3.1203467576901893</v>
      </c>
      <c r="J198">
        <f t="shared" si="112"/>
        <v>15</v>
      </c>
      <c r="M198">
        <f t="shared" si="113"/>
        <v>3.2556930058421946E-2</v>
      </c>
      <c r="N198">
        <f t="shared" si="114"/>
        <v>-1.5707963250000001</v>
      </c>
      <c r="O198">
        <f t="shared" si="115"/>
        <v>22.125599058833046</v>
      </c>
      <c r="P198">
        <f t="shared" si="116"/>
        <v>1.5255844089228656</v>
      </c>
      <c r="Q198">
        <f t="shared" si="117"/>
        <v>20.959367294912678</v>
      </c>
      <c r="R198">
        <f t="shared" si="118"/>
        <v>1.5230668428462732</v>
      </c>
      <c r="S198">
        <f t="shared" si="119"/>
        <v>0.88257075352568659</v>
      </c>
      <c r="T198">
        <f t="shared" si="120"/>
        <v>-0.48949427397877893</v>
      </c>
      <c r="U198">
        <f t="shared" si="121"/>
        <v>0.99680867507767612</v>
      </c>
      <c r="V198">
        <f t="shared" si="122"/>
        <v>-7.9912749848117998E-2</v>
      </c>
      <c r="X198">
        <f t="shared" si="139"/>
        <v>-4.6186024790180591</v>
      </c>
      <c r="Y198">
        <f t="shared" si="123"/>
        <v>-122.75367727923572</v>
      </c>
      <c r="Z198">
        <f t="shared" si="140"/>
        <v>57.246322720764283</v>
      </c>
      <c r="AC198">
        <v>1</v>
      </c>
      <c r="AD198">
        <f t="shared" si="124"/>
        <v>22.102989248340002</v>
      </c>
      <c r="AE198">
        <f t="shared" si="125"/>
        <v>-1.366551422971283E-4</v>
      </c>
      <c r="AF198">
        <f t="shared" si="126"/>
        <v>1.7064125965151999E-3</v>
      </c>
      <c r="AG198">
        <f t="shared" si="141"/>
        <v>12823.724927298346</v>
      </c>
      <c r="AH198">
        <f t="shared" si="142"/>
        <v>-1612.9908794274829</v>
      </c>
      <c r="AJ198">
        <f t="shared" si="127"/>
        <v>18000</v>
      </c>
      <c r="AK198">
        <f t="shared" si="128"/>
        <v>9589.2968738952004</v>
      </c>
      <c r="AL198">
        <v>1</v>
      </c>
      <c r="AM198">
        <f t="shared" si="129"/>
        <v>20.9354980213764</v>
      </c>
      <c r="AN198">
        <f t="shared" si="143"/>
        <v>497.97213076693237</v>
      </c>
      <c r="AO198">
        <f t="shared" si="144"/>
        <v>-835.99768447650229</v>
      </c>
      <c r="AQ198">
        <f t="shared" si="130"/>
        <v>0.37178867531694987</v>
      </c>
      <c r="AR198">
        <f t="shared" si="131"/>
        <v>-60.973342751979771</v>
      </c>
      <c r="AT198">
        <f t="shared" si="156"/>
        <v>-93581.730043799995</v>
      </c>
      <c r="AU198">
        <f t="shared" si="157"/>
        <v>-782505.06709162961</v>
      </c>
      <c r="AV198">
        <f t="shared" si="145"/>
        <v>-1.6898235091073635</v>
      </c>
      <c r="AW198">
        <f t="shared" si="146"/>
        <v>-35962.511992958047</v>
      </c>
      <c r="AX198">
        <f t="shared" si="147"/>
        <v>-36563.971783137524</v>
      </c>
      <c r="AY198">
        <f t="shared" si="155"/>
        <v>-2.3479017125571082</v>
      </c>
      <c r="BA198">
        <f t="shared" si="132"/>
        <v>15.366477315529316</v>
      </c>
      <c r="BB198">
        <f t="shared" si="148"/>
        <v>23.73148638347249</v>
      </c>
      <c r="BC198">
        <f t="shared" si="149"/>
        <v>0.65807820344974477</v>
      </c>
      <c r="BD198">
        <f t="shared" si="133"/>
        <v>-142.29489630969374</v>
      </c>
      <c r="BF198">
        <f t="shared" si="134"/>
        <v>-3.3526759720419581</v>
      </c>
      <c r="BG198">
        <f t="shared" si="135"/>
        <v>-137.09880439450623</v>
      </c>
      <c r="BH198">
        <f t="shared" si="150"/>
        <v>42.901195605493768</v>
      </c>
      <c r="BI198">
        <f t="shared" si="151"/>
        <v>42.901195605493768</v>
      </c>
      <c r="BJ198">
        <f t="shared" si="136"/>
        <v>0</v>
      </c>
      <c r="BK198">
        <f t="shared" si="152"/>
        <v>0</v>
      </c>
      <c r="BM198">
        <f t="shared" si="153"/>
        <v>-27.084162355514447</v>
      </c>
      <c r="BN198">
        <f t="shared" si="137"/>
        <v>-174.80390808481249</v>
      </c>
      <c r="BQ198" s="56">
        <f t="shared" si="154"/>
        <v>40.633447183757625</v>
      </c>
      <c r="BR198" s="59"/>
      <c r="BS198" s="59"/>
      <c r="BT198" s="59">
        <v>7585.7759999999998</v>
      </c>
      <c r="BU198" s="59">
        <v>-0.87090199999999995</v>
      </c>
      <c r="BV198" s="59">
        <v>-224.429</v>
      </c>
      <c r="BW198" s="61"/>
      <c r="BY198" s="59"/>
      <c r="BZ198" s="59"/>
      <c r="CA198" s="59"/>
      <c r="CC198" s="59"/>
    </row>
    <row r="199" spans="1:81" x14ac:dyDescent="0.25">
      <c r="A199">
        <f t="shared" si="158"/>
        <v>82500</v>
      </c>
      <c r="B199">
        <f t="shared" si="138"/>
        <v>82.5</v>
      </c>
      <c r="C199">
        <f t="shared" si="107"/>
        <v>1.0024455382318891</v>
      </c>
      <c r="D199">
        <f t="shared" si="108"/>
        <v>6.9865080396672663E-2</v>
      </c>
      <c r="F199">
        <f t="shared" si="109"/>
        <v>2.9064162695701082E-3</v>
      </c>
      <c r="G199">
        <f t="shared" si="110"/>
        <v>2.1116399349742035E-2</v>
      </c>
      <c r="H199">
        <f t="shared" si="111"/>
        <v>-3.1204762506502584</v>
      </c>
      <c r="J199">
        <f t="shared" si="112"/>
        <v>15</v>
      </c>
      <c r="M199">
        <f t="shared" si="113"/>
        <v>3.235961533079515E-2</v>
      </c>
      <c r="N199">
        <f t="shared" si="114"/>
        <v>-1.5707963250000001</v>
      </c>
      <c r="O199">
        <f t="shared" si="115"/>
        <v>22.260236493122839</v>
      </c>
      <c r="P199">
        <f t="shared" si="116"/>
        <v>1.5258580506718842</v>
      </c>
      <c r="Q199">
        <f t="shared" si="117"/>
        <v>21.08687827164303</v>
      </c>
      <c r="R199">
        <f t="shared" si="118"/>
        <v>1.5233556772987866</v>
      </c>
      <c r="S199">
        <f t="shared" si="119"/>
        <v>0.88137985268697483</v>
      </c>
      <c r="T199">
        <f t="shared" si="120"/>
        <v>-0.49202114761173094</v>
      </c>
      <c r="U199">
        <f t="shared" si="121"/>
        <v>0.99676982676999537</v>
      </c>
      <c r="V199">
        <f t="shared" si="122"/>
        <v>-8.0397931971985109E-2</v>
      </c>
      <c r="X199">
        <f t="shared" si="139"/>
        <v>-4.6837344130829868</v>
      </c>
      <c r="Y199">
        <f t="shared" si="123"/>
        <v>-122.87726495540204</v>
      </c>
      <c r="Z199">
        <f t="shared" si="140"/>
        <v>57.12273504459796</v>
      </c>
      <c r="AC199">
        <v>1</v>
      </c>
      <c r="AD199">
        <f t="shared" si="124"/>
        <v>22.237763573025003</v>
      </c>
      <c r="AE199">
        <f t="shared" si="125"/>
        <v>-1.3832674929503713E-4</v>
      </c>
      <c r="AF199">
        <f t="shared" si="126"/>
        <v>1.7168175513719997E-3</v>
      </c>
      <c r="AG199">
        <f t="shared" si="141"/>
        <v>12822.725396864202</v>
      </c>
      <c r="AH199">
        <f t="shared" si="142"/>
        <v>-1615.6206692053615</v>
      </c>
      <c r="AJ199">
        <f t="shared" si="127"/>
        <v>18000</v>
      </c>
      <c r="AK199">
        <f t="shared" si="128"/>
        <v>9647.768196297</v>
      </c>
      <c r="AL199">
        <v>1</v>
      </c>
      <c r="AM199">
        <f t="shared" si="129"/>
        <v>21.063153497116499</v>
      </c>
      <c r="AN199">
        <f t="shared" si="143"/>
        <v>497.49065770805043</v>
      </c>
      <c r="AO199">
        <f t="shared" si="144"/>
        <v>-830.95389038911026</v>
      </c>
      <c r="AQ199">
        <f t="shared" si="130"/>
        <v>0.36729596709028134</v>
      </c>
      <c r="AR199">
        <f t="shared" si="131"/>
        <v>-60.603834569896421</v>
      </c>
      <c r="AT199">
        <f t="shared" si="156"/>
        <v>-93203.072438852731</v>
      </c>
      <c r="AU199">
        <f t="shared" si="157"/>
        <v>-777699.73964291427</v>
      </c>
      <c r="AV199">
        <f t="shared" si="145"/>
        <v>-1.6900720030315837</v>
      </c>
      <c r="AW199">
        <f t="shared" si="146"/>
        <v>-35352.041186918184</v>
      </c>
      <c r="AX199">
        <f t="shared" si="147"/>
        <v>-36323.361946065757</v>
      </c>
      <c r="AY199">
        <f t="shared" si="155"/>
        <v>-2.3426436587630133</v>
      </c>
      <c r="BA199">
        <f t="shared" si="132"/>
        <v>15.45302726996492</v>
      </c>
      <c r="BB199">
        <f t="shared" si="148"/>
        <v>23.780271420012124</v>
      </c>
      <c r="BC199">
        <f t="shared" si="149"/>
        <v>0.65257165573142961</v>
      </c>
      <c r="BD199">
        <f t="shared" si="133"/>
        <v>-142.6103982540011</v>
      </c>
      <c r="BF199">
        <f t="shared" si="134"/>
        <v>-3.4095313358806774</v>
      </c>
      <c r="BG199">
        <f t="shared" si="135"/>
        <v>-137.39754344472001</v>
      </c>
      <c r="BH199">
        <f t="shared" si="150"/>
        <v>42.602456555279986</v>
      </c>
      <c r="BI199">
        <f t="shared" si="151"/>
        <v>42.602456555279986</v>
      </c>
      <c r="BJ199">
        <f t="shared" si="136"/>
        <v>0</v>
      </c>
      <c r="BK199">
        <f t="shared" si="152"/>
        <v>0</v>
      </c>
      <c r="BM199">
        <f t="shared" si="153"/>
        <v>-27.189802755892799</v>
      </c>
      <c r="BN199">
        <f t="shared" si="137"/>
        <v>-174.78714519071895</v>
      </c>
      <c r="BQ199" s="56">
        <f t="shared" si="154"/>
        <v>40.682232220297259</v>
      </c>
      <c r="BR199" s="59"/>
      <c r="BS199" s="59"/>
      <c r="BT199" s="59">
        <v>7762.4709999999995</v>
      </c>
      <c r="BU199" s="59">
        <v>-1.0348599999999999</v>
      </c>
      <c r="BV199" s="59">
        <v>-223.255</v>
      </c>
      <c r="BW199" s="61"/>
      <c r="BY199" s="59"/>
      <c r="BZ199" s="59"/>
      <c r="CA199" s="59"/>
      <c r="CC199" s="59"/>
    </row>
    <row r="200" spans="1:81" x14ac:dyDescent="0.25">
      <c r="A200">
        <f t="shared" si="158"/>
        <v>83000</v>
      </c>
      <c r="B200">
        <f t="shared" si="138"/>
        <v>83</v>
      </c>
      <c r="C200">
        <f t="shared" si="107"/>
        <v>1.0024752342390786</v>
      </c>
      <c r="D200">
        <f t="shared" si="108"/>
        <v>7.0287116120540644E-2</v>
      </c>
      <c r="F200">
        <f t="shared" si="109"/>
        <v>2.8714097861672941E-3</v>
      </c>
      <c r="G200">
        <f t="shared" si="110"/>
        <v>2.0988479665366898E-2</v>
      </c>
      <c r="H200">
        <f t="shared" si="111"/>
        <v>-3.1206041703346332</v>
      </c>
      <c r="J200">
        <f t="shared" si="112"/>
        <v>15</v>
      </c>
      <c r="M200">
        <f t="shared" si="113"/>
        <v>3.2164677889043369E-2</v>
      </c>
      <c r="N200">
        <f t="shared" si="114"/>
        <v>-1.5707963250000001</v>
      </c>
      <c r="O200">
        <f t="shared" si="115"/>
        <v>22.394875574212733</v>
      </c>
      <c r="P200">
        <f t="shared" si="116"/>
        <v>1.5261284021459378</v>
      </c>
      <c r="Q200">
        <f t="shared" si="117"/>
        <v>21.214390986405899</v>
      </c>
      <c r="R200">
        <f t="shared" si="118"/>
        <v>1.5236410395974038</v>
      </c>
      <c r="S200">
        <f t="shared" si="119"/>
        <v>0.88018656406166074</v>
      </c>
      <c r="T200">
        <f t="shared" si="120"/>
        <v>-0.49454119509704653</v>
      </c>
      <c r="U200">
        <f t="shared" si="121"/>
        <v>0.99673074688559982</v>
      </c>
      <c r="V200">
        <f t="shared" si="122"/>
        <v>-8.0883076165435219E-2</v>
      </c>
      <c r="X200">
        <f t="shared" si="139"/>
        <v>-4.7485778595349162</v>
      </c>
      <c r="Y200">
        <f t="shared" si="123"/>
        <v>-123.00075809382284</v>
      </c>
      <c r="Z200">
        <f t="shared" si="140"/>
        <v>56.999241906177161</v>
      </c>
      <c r="AC200">
        <v>1</v>
      </c>
      <c r="AD200">
        <f t="shared" si="124"/>
        <v>22.37253789771</v>
      </c>
      <c r="AE200">
        <f t="shared" si="125"/>
        <v>-1.4000851803761406E-4</v>
      </c>
      <c r="AF200">
        <f t="shared" si="126"/>
        <v>1.7272225062287998E-3</v>
      </c>
      <c r="AG200">
        <f t="shared" si="141"/>
        <v>12821.71994748304</v>
      </c>
      <c r="AH200">
        <f t="shared" si="142"/>
        <v>-1618.2917941726671</v>
      </c>
      <c r="AJ200">
        <f t="shared" si="127"/>
        <v>18000</v>
      </c>
      <c r="AK200">
        <f t="shared" si="128"/>
        <v>9706.2395186988015</v>
      </c>
      <c r="AL200">
        <v>1</v>
      </c>
      <c r="AM200">
        <f t="shared" si="129"/>
        <v>21.190808972856601</v>
      </c>
      <c r="AN200">
        <f t="shared" si="143"/>
        <v>497.01783395488405</v>
      </c>
      <c r="AO200">
        <f t="shared" si="144"/>
        <v>-825.97045674210756</v>
      </c>
      <c r="AQ200">
        <f t="shared" si="130"/>
        <v>0.36288420365061508</v>
      </c>
      <c r="AR200">
        <f t="shared" si="131"/>
        <v>-60.238777806002105</v>
      </c>
      <c r="AT200">
        <f t="shared" si="156"/>
        <v>-92831.120181870196</v>
      </c>
      <c r="AU200">
        <f t="shared" si="157"/>
        <v>-772951.99153621856</v>
      </c>
      <c r="AV200">
        <f t="shared" si="145"/>
        <v>-1.6903233040931203</v>
      </c>
      <c r="AW200">
        <f t="shared" si="146"/>
        <v>-34752.558828679932</v>
      </c>
      <c r="AX200">
        <f t="shared" si="147"/>
        <v>-36086.319329730133</v>
      </c>
      <c r="AY200">
        <f t="shared" si="155"/>
        <v>-2.3373686283970847</v>
      </c>
      <c r="BA200">
        <f t="shared" si="132"/>
        <v>15.539198392552025</v>
      </c>
      <c r="BB200">
        <f t="shared" si="148"/>
        <v>23.828572229232797</v>
      </c>
      <c r="BC200">
        <f t="shared" si="149"/>
        <v>0.64704532430396444</v>
      </c>
      <c r="BD200">
        <f t="shared" si="133"/>
        <v>-142.92703372134716</v>
      </c>
      <c r="BF200">
        <f t="shared" si="134"/>
        <v>-3.466226018972574</v>
      </c>
      <c r="BG200">
        <f t="shared" si="135"/>
        <v>-137.69732730429675</v>
      </c>
      <c r="BH200">
        <f t="shared" si="150"/>
        <v>42.302672695703251</v>
      </c>
      <c r="BI200">
        <f t="shared" si="151"/>
        <v>42.302672695703251</v>
      </c>
      <c r="BJ200">
        <f t="shared" si="136"/>
        <v>0</v>
      </c>
      <c r="BK200">
        <f t="shared" si="152"/>
        <v>0</v>
      </c>
      <c r="BM200">
        <f t="shared" si="153"/>
        <v>-27.294798248205371</v>
      </c>
      <c r="BN200">
        <f t="shared" si="137"/>
        <v>-174.77029358294959</v>
      </c>
      <c r="BQ200" s="56">
        <f t="shared" si="154"/>
        <v>40.730533029517929</v>
      </c>
      <c r="BR200" s="59"/>
      <c r="BS200" s="59"/>
      <c r="BT200" s="59">
        <v>7943.2820000000002</v>
      </c>
      <c r="BU200" s="59">
        <v>-1.2307999999999999</v>
      </c>
      <c r="BV200" s="59">
        <v>-223.13499999999999</v>
      </c>
      <c r="BW200" s="61"/>
      <c r="BY200" s="59"/>
      <c r="BZ200" s="59"/>
      <c r="CA200" s="59"/>
      <c r="CC200" s="59"/>
    </row>
    <row r="201" spans="1:81" x14ac:dyDescent="0.25">
      <c r="A201">
        <f>A200+500</f>
        <v>83500</v>
      </c>
      <c r="B201">
        <f t="shared" si="138"/>
        <v>83.5</v>
      </c>
      <c r="C201">
        <f t="shared" ref="C201:C264" si="159">SQRT((A201/Fesr)^2+1)</f>
        <v>1.0025051087906975</v>
      </c>
      <c r="D201">
        <f t="shared" ref="D201:D264" si="160">ATAN(A201/Fesr)</f>
        <v>7.0709126766326555E-2</v>
      </c>
      <c r="F201">
        <f t="shared" ref="F201:F264" si="161">(Ro/(Ro+Rdcr))/SQRT((A201/(Q*Fo))^2+(1-(A201^2/Fo^2))^2)</f>
        <v>2.8370325283496411E-3</v>
      </c>
      <c r="G201">
        <f t="shared" ref="G201:G264" si="162">-ATAN(A201*Fo/(Q*(Fo^2-A201^2)))</f>
        <v>2.0862104681462955E-2</v>
      </c>
      <c r="H201">
        <f t="shared" ref="H201:H264" si="163">IF(G201&gt;0,G201-Pi,G201)</f>
        <v>-3.1207305453185374</v>
      </c>
      <c r="J201">
        <f t="shared" ref="J201:J264" si="164">Vin/Vramp</f>
        <v>15</v>
      </c>
      <c r="M201">
        <f t="shared" ref="M201:M264" si="165">1/(2*Pi*_Rfb1*(Cc1ea_u+Cc2ea_u)*A201)</f>
        <v>3.197207502743233E-2</v>
      </c>
      <c r="N201">
        <f t="shared" ref="N201:N264" si="166">-Pi/2</f>
        <v>-1.5707963250000001</v>
      </c>
      <c r="O201">
        <f t="shared" ref="O201:O264" si="167">SQRT(1+(A201/Fz1_u)^2)</f>
        <v>22.529516272578324</v>
      </c>
      <c r="P201">
        <f t="shared" ref="P201:P264" si="168">ATAN2(Fz1_u,A201)</f>
        <v>1.5263955222950853</v>
      </c>
      <c r="Q201">
        <f t="shared" ref="Q201:Q264" si="169">SQRT(1+(A201/Fz2_u)^2)</f>
        <v>21.341905408048301</v>
      </c>
      <c r="R201">
        <f t="shared" ref="R201:R264" si="170">ATAN2(Fz2_u,A201)</f>
        <v>1.5239229919318964</v>
      </c>
      <c r="S201">
        <f t="shared" ref="S201:S264" si="171">1/SQRT(1+(A201/Fp1_u)^2)</f>
        <v>0.87899094271111466</v>
      </c>
      <c r="T201">
        <f t="shared" ref="T201:T264" si="172">-ATAN2(Fp1_u,A201)</f>
        <v>-0.49705441217972562</v>
      </c>
      <c r="U201">
        <f t="shared" ref="U201:U264" si="173">1/SQRT(1+(A201/Fp2_u)^2)</f>
        <v>0.99669143550691108</v>
      </c>
      <c r="V201">
        <f t="shared" ref="V201:V264" si="174">-ATAN2(Fp2_u,A201)</f>
        <v>-8.1368182204571204E-2</v>
      </c>
      <c r="X201">
        <f t="shared" si="139"/>
        <v>-4.8131364688304767</v>
      </c>
      <c r="Y201">
        <f t="shared" ref="Y201:Y264" si="175">(180/Pi)*(D201+H201+N201+P201+R201+T201+V201)</f>
        <v>-123.12415114280161</v>
      </c>
      <c r="Z201">
        <f t="shared" si="140"/>
        <v>56.875848857198392</v>
      </c>
      <c r="AC201">
        <v>1</v>
      </c>
      <c r="AD201">
        <f t="shared" ref="AD201:AD264" si="176">Rcea1_u*Cc1ea_u*A201*2*Pi</f>
        <v>22.507312222395001</v>
      </c>
      <c r="AE201">
        <f t="shared" ref="AE201:AE264" si="177">-Rcea1_u*Cc1ea_u*Cc2ea_u*(A201*2*Pi)^2</f>
        <v>-1.4170044852485916E-4</v>
      </c>
      <c r="AF201">
        <f t="shared" ref="AF201:AF264" si="178">(Cc2ea_u+Cc1ea_u)*A201*2*Pi</f>
        <v>1.7376274610856001E-3</v>
      </c>
      <c r="AG201">
        <f t="shared" si="141"/>
        <v>12820.70858197609</v>
      </c>
      <c r="AH201">
        <f t="shared" si="142"/>
        <v>-1621.003477185358</v>
      </c>
      <c r="AJ201">
        <f t="shared" ref="AJ201:AJ264" si="179">_Rfb1</f>
        <v>18000</v>
      </c>
      <c r="AK201">
        <f t="shared" ref="AK201:AK264" si="180">_Rfb1*Rcea2_u*Cc3ea_u*A201*2*Pi</f>
        <v>9764.7108411006011</v>
      </c>
      <c r="AL201">
        <v>1</v>
      </c>
      <c r="AM201">
        <f t="shared" ref="AM201:AM264" si="181">(_Rfb1+Rcea2_u)*Cc3ea_u*A201*2*Pi</f>
        <v>21.3184644485967</v>
      </c>
      <c r="AN201">
        <f t="shared" si="143"/>
        <v>496.55345372056604</v>
      </c>
      <c r="AO201">
        <f t="shared" si="144"/>
        <v>-821.0463088691929</v>
      </c>
      <c r="AQ201">
        <f t="shared" ref="AQ201:AQ264" si="182">Eadcg/(1+(Eadcg*A201/GBP)^2)</f>
        <v>0.35855145213338113</v>
      </c>
      <c r="AR201">
        <f t="shared" ref="AR201:AR264" si="183">-(A201*Eadcg*Eadcg/GBP)/(1+(Eadcg*A201/GBP)^2)</f>
        <v>-59.878092506274648</v>
      </c>
      <c r="AT201">
        <f t="shared" si="156"/>
        <v>-92465.712480451301</v>
      </c>
      <c r="AU201">
        <f t="shared" si="157"/>
        <v>-768260.7876182117</v>
      </c>
      <c r="AV201">
        <f t="shared" si="145"/>
        <v>-1.6905773611153656</v>
      </c>
      <c r="AW201">
        <f t="shared" si="146"/>
        <v>-34163.803775922701</v>
      </c>
      <c r="AX201">
        <f t="shared" si="147"/>
        <v>-35852.765937562501</v>
      </c>
      <c r="AY201">
        <f t="shared" si="155"/>
        <v>-2.3320768464946893</v>
      </c>
      <c r="BA201">
        <f t="shared" ref="BA201:BA264" si="184">SQRT(AT201^2+AU201^2)/SQRT(AW201^2+AX201^2)</f>
        <v>15.624981606415764</v>
      </c>
      <c r="BB201">
        <f t="shared" si="148"/>
        <v>23.876390295379103</v>
      </c>
      <c r="BC201">
        <f t="shared" si="149"/>
        <v>0.64149948537932366</v>
      </c>
      <c r="BD201">
        <f t="shared" ref="BD201:BD264" si="185">BC201*180/Pi-180</f>
        <v>-143.24478688595156</v>
      </c>
      <c r="BF201">
        <f t="shared" ref="BF201:BF264" si="186">20*LOG(BA201*J201*F201*C201)</f>
        <v>-3.5227663284058632</v>
      </c>
      <c r="BG201">
        <f t="shared" ref="BG201:BG264" si="187">(180/Pi)*(D201+H201+BC201)</f>
        <v>-137.99814179318238</v>
      </c>
      <c r="BH201">
        <f t="shared" si="150"/>
        <v>42.001858206817616</v>
      </c>
      <c r="BI201">
        <f t="shared" si="151"/>
        <v>42.001858206817616</v>
      </c>
      <c r="BJ201">
        <f t="shared" ref="BJ201:BJ264" si="188">SUM((BF202&lt;0)*(BF201&gt;0))*A201</f>
        <v>0</v>
      </c>
      <c r="BK201">
        <f t="shared" si="152"/>
        <v>0</v>
      </c>
      <c r="BM201">
        <f t="shared" si="153"/>
        <v>-27.399156623784968</v>
      </c>
      <c r="BN201">
        <f t="shared" ref="BN201:BN264" si="189">(H201+D201)*180/Pi</f>
        <v>-174.75335490723086</v>
      </c>
      <c r="BQ201" s="56">
        <f t="shared" si="154"/>
        <v>40.778351095664235</v>
      </c>
      <c r="BR201" s="59"/>
      <c r="BS201" s="59"/>
      <c r="BT201" s="59">
        <v>8128.3050000000003</v>
      </c>
      <c r="BU201" s="59">
        <v>-1.3526100000000001</v>
      </c>
      <c r="BV201" s="59">
        <v>-221.982</v>
      </c>
      <c r="BW201" s="61"/>
      <c r="BY201" s="59"/>
      <c r="BZ201" s="59"/>
      <c r="CA201" s="59"/>
      <c r="CC201" s="59"/>
    </row>
    <row r="202" spans="1:81" x14ac:dyDescent="0.25">
      <c r="A202">
        <f t="shared" ref="A202:A234" si="190">A201+500</f>
        <v>84000</v>
      </c>
      <c r="B202">
        <f t="shared" ref="B202:B265" si="191">A202/1000</f>
        <v>84</v>
      </c>
      <c r="C202">
        <f t="shared" si="159"/>
        <v>1.002535161870785</v>
      </c>
      <c r="D202">
        <f t="shared" si="160"/>
        <v>7.1131112185964782E-2</v>
      </c>
      <c r="F202">
        <f t="shared" si="161"/>
        <v>2.8032694928308245E-3</v>
      </c>
      <c r="G202">
        <f t="shared" si="162"/>
        <v>2.0737246512444209E-2</v>
      </c>
      <c r="H202">
        <f t="shared" si="163"/>
        <v>-3.120855403487556</v>
      </c>
      <c r="J202">
        <f t="shared" si="164"/>
        <v>15</v>
      </c>
      <c r="M202">
        <f t="shared" si="165"/>
        <v>3.1781765057030946E-2</v>
      </c>
      <c r="N202">
        <f t="shared" si="166"/>
        <v>-1.5707963250000001</v>
      </c>
      <c r="O202">
        <f t="shared" si="167"/>
        <v>22.664158559396402</v>
      </c>
      <c r="P202">
        <f t="shared" si="168"/>
        <v>1.5266594686704238</v>
      </c>
      <c r="Q202">
        <f t="shared" si="169"/>
        <v>21.46942150615698</v>
      </c>
      <c r="R202">
        <f t="shared" si="170"/>
        <v>1.5242015950167473</v>
      </c>
      <c r="S202">
        <f t="shared" si="171"/>
        <v>0.87779304334695862</v>
      </c>
      <c r="T202">
        <f t="shared" si="172"/>
        <v>-0.49956079497294054</v>
      </c>
      <c r="U202">
        <f t="shared" si="173"/>
        <v>0.99665189271682197</v>
      </c>
      <c r="V202">
        <f t="shared" si="174"/>
        <v>-8.1853249865602967E-2</v>
      </c>
      <c r="X202">
        <f t="shared" ref="X202:X265" si="192">20*LOG(C202*J202*O202*Q202*F202*M202*S202*U202)</f>
        <v>-4.8774138175315969</v>
      </c>
      <c r="Y202">
        <f t="shared" si="175"/>
        <v>-123.2474386969085</v>
      </c>
      <c r="Z202">
        <f t="shared" ref="Z202:Z265" si="193">Y202+180</f>
        <v>56.752561303091497</v>
      </c>
      <c r="AC202">
        <v>1</v>
      </c>
      <c r="AD202">
        <f t="shared" si="176"/>
        <v>22.642086547080002</v>
      </c>
      <c r="AE202">
        <f t="shared" si="177"/>
        <v>-1.4340254075677239E-4</v>
      </c>
      <c r="AF202">
        <f t="shared" si="178"/>
        <v>1.7480324159424002E-3</v>
      </c>
      <c r="AG202">
        <f t="shared" ref="AG202:AG265" si="194">AC202*AE202/(AE202^2+AF202^2)+AD202*AF202/(AE202^2+AF202^2)</f>
        <v>12819.691303180502</v>
      </c>
      <c r="AH202">
        <f t="shared" ref="AH202:AH265" si="195">AD202*AE202/(AE202^2+AF202^2)-AC202*AF202/(AE202^2+AF202^2)</f>
        <v>-1623.7549594086649</v>
      </c>
      <c r="AJ202">
        <f t="shared" si="179"/>
        <v>18000</v>
      </c>
      <c r="AK202">
        <f t="shared" si="180"/>
        <v>9823.1821635024007</v>
      </c>
      <c r="AL202">
        <v>1</v>
      </c>
      <c r="AM202">
        <f t="shared" si="181"/>
        <v>21.446119924336799</v>
      </c>
      <c r="AN202">
        <f t="shared" ref="AN202:AN265" si="196">AJ202*AL202/(AL202^2+AM202^2)+AK202*AM202/(AL202^2+AM202^2)</f>
        <v>496.09731729779503</v>
      </c>
      <c r="AO202">
        <f t="shared" ref="AO202:AO265" si="197">AK202*AL202/(AL202^2+AM202^2)-AJ202*AM202/(AL202^2+AM202^2)</f>
        <v>-816.18039740787731</v>
      </c>
      <c r="AQ202">
        <f t="shared" si="182"/>
        <v>0.35429583702391498</v>
      </c>
      <c r="AR202">
        <f t="shared" si="183"/>
        <v>-59.521700620017718</v>
      </c>
      <c r="AT202">
        <f t="shared" si="156"/>
        <v>-92106.693313543044</v>
      </c>
      <c r="AU202">
        <f t="shared" si="157"/>
        <v>-763625.11741141998</v>
      </c>
      <c r="AV202">
        <f t="shared" ref="AV202:AV265" si="198">ATAN2(AT202,AU202)</f>
        <v>-1.6908341241303808</v>
      </c>
      <c r="AW202">
        <f t="shared" ref="AW202:AW265" si="199">AG202-AH202*AO202/_Rfb2+AG202*AN202/_Rfb2+AN202-AO202*AR202+AQ202*AN202</f>
        <v>-33585.522596062881</v>
      </c>
      <c r="AX202">
        <f t="shared" ref="AX202:AX265" si="200">AH202+AH202*AN202/_Rfb2+AG202*AO202/_Rfb2+AO202+AO202*AQ202+AN202*AR202</f>
        <v>-35622.626037311384</v>
      </c>
      <c r="AY202">
        <f t="shared" si="155"/>
        <v>-2.3267685413589567</v>
      </c>
      <c r="BA202">
        <f t="shared" si="184"/>
        <v>15.710367798205702</v>
      </c>
      <c r="BB202">
        <f t="shared" ref="BB202:BB265" si="201">20*LOG(BA202)</f>
        <v>23.923727050081975</v>
      </c>
      <c r="BC202">
        <f t="shared" ref="BC202:BC265" si="202">AV202-AY202</f>
        <v>0.63593441722857591</v>
      </c>
      <c r="BD202">
        <f t="shared" si="185"/>
        <v>-143.5636418040564</v>
      </c>
      <c r="BF202">
        <f t="shared" si="186"/>
        <v>-3.5791584828482574</v>
      </c>
      <c r="BG202">
        <f t="shared" si="187"/>
        <v>-138.29997257382897</v>
      </c>
      <c r="BH202">
        <f t="shared" ref="BH202:BH265" si="203">IF(BG202&gt;180,BG202-180,BG202+180)</f>
        <v>41.700027426171033</v>
      </c>
      <c r="BI202">
        <f t="shared" ref="BI202:BI265" si="204">IF(BH202&gt;180,BH202-360,BH202)</f>
        <v>41.700027426171033</v>
      </c>
      <c r="BJ202">
        <f t="shared" si="188"/>
        <v>0</v>
      </c>
      <c r="BK202">
        <f t="shared" ref="BK202:BK265" si="205">IF(BJ202&gt;0,BI202,0)</f>
        <v>0</v>
      </c>
      <c r="BM202">
        <f t="shared" ref="BM202:BM265" si="206">20*LOG(J202*F202*C202)</f>
        <v>-27.502885532930232</v>
      </c>
      <c r="BN202">
        <f t="shared" si="189"/>
        <v>-174.73633076977259</v>
      </c>
      <c r="BQ202" s="56">
        <f t="shared" ref="BQ202:BQ265" si="207">20*LOG(BA202*7)</f>
        <v>40.825687850367117</v>
      </c>
      <c r="BR202" s="59"/>
      <c r="BS202" s="59"/>
      <c r="BT202" s="59">
        <v>8317.6380000000008</v>
      </c>
      <c r="BU202" s="59">
        <v>-1.29555</v>
      </c>
      <c r="BV202" s="59">
        <v>-220.93199999999999</v>
      </c>
      <c r="BW202" s="61"/>
      <c r="BY202" s="59"/>
      <c r="BZ202" s="59"/>
      <c r="CA202" s="59"/>
      <c r="CC202" s="59"/>
    </row>
    <row r="203" spans="1:81" x14ac:dyDescent="0.25">
      <c r="A203">
        <f t="shared" si="190"/>
        <v>84500</v>
      </c>
      <c r="B203">
        <f t="shared" si="191"/>
        <v>84.5</v>
      </c>
      <c r="C203">
        <f t="shared" si="159"/>
        <v>1.0025653934632857</v>
      </c>
      <c r="D203">
        <f t="shared" si="160"/>
        <v>7.1553072231443318E-2</v>
      </c>
      <c r="F203">
        <f t="shared" si="161"/>
        <v>2.770106121229065E-3</v>
      </c>
      <c r="G203">
        <f t="shared" si="162"/>
        <v>2.0613877941629371E-2</v>
      </c>
      <c r="H203">
        <f t="shared" si="163"/>
        <v>-3.120978772058371</v>
      </c>
      <c r="J203">
        <f t="shared" si="164"/>
        <v>15</v>
      </c>
      <c r="M203">
        <f t="shared" si="165"/>
        <v>3.1593707275628401E-2</v>
      </c>
      <c r="N203">
        <f t="shared" si="166"/>
        <v>-1.5707963250000001</v>
      </c>
      <c r="O203">
        <f t="shared" si="167"/>
        <v>22.798802406524331</v>
      </c>
      <c r="P203">
        <f t="shared" si="168"/>
        <v>1.5269202974653147</v>
      </c>
      <c r="Q203">
        <f t="shared" si="169"/>
        <v>21.596939251036552</v>
      </c>
      <c r="R203">
        <f t="shared" si="170"/>
        <v>1.5244769081346092</v>
      </c>
      <c r="S203">
        <f t="shared" si="171"/>
        <v>0.87659292032821723</v>
      </c>
      <c r="T203">
        <f t="shared" si="172"/>
        <v>-0.50206033995443244</v>
      </c>
      <c r="U203">
        <f t="shared" si="173"/>
        <v>0.99661211859869481</v>
      </c>
      <c r="V203">
        <f t="shared" si="174"/>
        <v>-8.233827892484806E-2</v>
      </c>
      <c r="X203">
        <f t="shared" si="192"/>
        <v>-4.9414134101942624</v>
      </c>
      <c r="Y203">
        <f t="shared" si="175"/>
        <v>-123.37061549311022</v>
      </c>
      <c r="Z203">
        <f t="shared" si="193"/>
        <v>56.629384506889778</v>
      </c>
      <c r="AC203">
        <v>1</v>
      </c>
      <c r="AD203">
        <f t="shared" si="176"/>
        <v>22.776860871765003</v>
      </c>
      <c r="AE203">
        <f t="shared" si="177"/>
        <v>-1.4511479473335373E-4</v>
      </c>
      <c r="AF203">
        <f t="shared" si="178"/>
        <v>1.7584373707992002E-3</v>
      </c>
      <c r="AG203">
        <f t="shared" si="194"/>
        <v>12818.668113949328</v>
      </c>
      <c r="AH203">
        <f t="shared" si="195"/>
        <v>-1626.5454997756378</v>
      </c>
      <c r="AJ203">
        <f t="shared" si="179"/>
        <v>18000</v>
      </c>
      <c r="AK203">
        <f t="shared" si="180"/>
        <v>9881.6534859042004</v>
      </c>
      <c r="AL203">
        <v>1</v>
      </c>
      <c r="AM203">
        <f t="shared" si="181"/>
        <v>21.573775400076901</v>
      </c>
      <c r="AN203">
        <f t="shared" si="196"/>
        <v>495.64923084472542</v>
      </c>
      <c r="AO203">
        <f t="shared" si="197"/>
        <v>-811.37169756077469</v>
      </c>
      <c r="AQ203">
        <f t="shared" si="182"/>
        <v>0.35011553812758212</v>
      </c>
      <c r="AR203">
        <f t="shared" si="183"/>
        <v>-59.169525943561375</v>
      </c>
      <c r="AT203">
        <f t="shared" si="156"/>
        <v>-91753.911262563357</v>
      </c>
      <c r="AU203">
        <f t="shared" si="157"/>
        <v>-759043.99438317074</v>
      </c>
      <c r="AV203">
        <f t="shared" si="198"/>
        <v>-1.6910935443432991</v>
      </c>
      <c r="AW203">
        <f t="shared" si="199"/>
        <v>-33017.469294940332</v>
      </c>
      <c r="AX203">
        <f t="shared" si="200"/>
        <v>-35395.826079786384</v>
      </c>
      <c r="AY203">
        <f t="shared" ref="AY203:AY266" si="208">ATAN2(AW203,AX203)</f>
        <v>-2.3214439446072439</v>
      </c>
      <c r="BA203">
        <f t="shared" si="184"/>
        <v>15.795347821945409</v>
      </c>
      <c r="BB203">
        <f t="shared" si="201"/>
        <v>23.970583874830808</v>
      </c>
      <c r="BC203">
        <f t="shared" si="202"/>
        <v>0.63035040026394484</v>
      </c>
      <c r="BD203">
        <f t="shared" si="185"/>
        <v>-143.8835824092248</v>
      </c>
      <c r="BF203">
        <f t="shared" si="186"/>
        <v>-3.6354086134670198</v>
      </c>
      <c r="BG203">
        <f t="shared" si="187"/>
        <v>-138.60280514768101</v>
      </c>
      <c r="BH203">
        <f t="shared" si="203"/>
        <v>41.397194852318989</v>
      </c>
      <c r="BI203">
        <f t="shared" si="204"/>
        <v>41.397194852318989</v>
      </c>
      <c r="BJ203">
        <f t="shared" si="188"/>
        <v>0</v>
      </c>
      <c r="BK203">
        <f t="shared" si="205"/>
        <v>0</v>
      </c>
      <c r="BM203">
        <f t="shared" si="206"/>
        <v>-27.605992488297826</v>
      </c>
      <c r="BN203">
        <f t="shared" si="189"/>
        <v>-174.71922273845624</v>
      </c>
      <c r="BQ203" s="56">
        <f t="shared" si="207"/>
        <v>40.872544675115947</v>
      </c>
      <c r="BR203" s="59"/>
      <c r="BS203" s="59"/>
      <c r="BT203" s="59">
        <v>8511.3799999999992</v>
      </c>
      <c r="BU203" s="59">
        <v>-1.5137499999999999</v>
      </c>
      <c r="BV203" s="59">
        <v>-219.99600000000001</v>
      </c>
      <c r="BW203" s="61"/>
      <c r="BY203" s="59"/>
      <c r="BZ203" s="59"/>
      <c r="CA203" s="59"/>
      <c r="CC203" s="59"/>
    </row>
    <row r="204" spans="1:81" x14ac:dyDescent="0.25">
      <c r="A204">
        <f t="shared" si="190"/>
        <v>85000</v>
      </c>
      <c r="B204">
        <f t="shared" si="191"/>
        <v>85</v>
      </c>
      <c r="C204">
        <f t="shared" si="159"/>
        <v>1.0025958035520521</v>
      </c>
      <c r="D204">
        <f t="shared" si="160"/>
        <v>7.1975006754804172E-2</v>
      </c>
      <c r="F204">
        <f t="shared" si="161"/>
        <v>2.7375282843154973E-3</v>
      </c>
      <c r="G204">
        <f t="shared" si="162"/>
        <v>2.0491972401255349E-2</v>
      </c>
      <c r="H204">
        <f t="shared" si="163"/>
        <v>-3.1211006775987449</v>
      </c>
      <c r="J204">
        <f t="shared" si="164"/>
        <v>15</v>
      </c>
      <c r="M204">
        <f t="shared" si="165"/>
        <v>3.1407861938712936E-2</v>
      </c>
      <c r="N204">
        <f t="shared" si="166"/>
        <v>-1.5707963250000001</v>
      </c>
      <c r="O204">
        <f t="shared" si="167"/>
        <v>22.933447786480048</v>
      </c>
      <c r="P204">
        <f t="shared" si="168"/>
        <v>1.5271780635551648</v>
      </c>
      <c r="Q204">
        <f t="shared" si="169"/>
        <v>21.724458613688476</v>
      </c>
      <c r="R204">
        <f t="shared" si="170"/>
        <v>1.5247489891782344</v>
      </c>
      <c r="S204">
        <f t="shared" si="171"/>
        <v>0.87539062765857989</v>
      </c>
      <c r="T204">
        <f t="shared" si="172"/>
        <v>-0.50455304396289846</v>
      </c>
      <c r="U204">
        <f t="shared" si="173"/>
        <v>0.99657211323636308</v>
      </c>
      <c r="V204">
        <f t="shared" si="174"/>
        <v>-8.2823269158732296E-2</v>
      </c>
      <c r="X204">
        <f t="shared" si="192"/>
        <v>-5.0051386811989929</v>
      </c>
      <c r="Y204">
        <f t="shared" si="175"/>
        <v>-123.49367640702589</v>
      </c>
      <c r="Z204">
        <f t="shared" si="193"/>
        <v>56.506323592974113</v>
      </c>
      <c r="AC204">
        <v>1</v>
      </c>
      <c r="AD204">
        <f t="shared" si="176"/>
        <v>22.911635196450003</v>
      </c>
      <c r="AE204">
        <f t="shared" si="177"/>
        <v>-1.4683721045460327E-4</v>
      </c>
      <c r="AF204">
        <f t="shared" si="178"/>
        <v>1.7688423256560001E-3</v>
      </c>
      <c r="AG204">
        <f t="shared" si="194"/>
        <v>12817.639017151518</v>
      </c>
      <c r="AH204">
        <f t="shared" si="195"/>
        <v>-1629.3743744648023</v>
      </c>
      <c r="AJ204">
        <f t="shared" si="179"/>
        <v>18000</v>
      </c>
      <c r="AK204">
        <f t="shared" si="180"/>
        <v>9940.124808306</v>
      </c>
      <c r="AL204">
        <v>1</v>
      </c>
      <c r="AM204">
        <f t="shared" si="181"/>
        <v>21.701430875817</v>
      </c>
      <c r="AN204">
        <f t="shared" si="196"/>
        <v>495.20900617959722</v>
      </c>
      <c r="AO204">
        <f t="shared" si="197"/>
        <v>-806.61920838256231</v>
      </c>
      <c r="AQ204">
        <f t="shared" si="182"/>
        <v>0.34600878862323103</v>
      </c>
      <c r="AR204">
        <f t="shared" si="183"/>
        <v>-58.821494065949274</v>
      </c>
      <c r="AT204">
        <f t="shared" si="156"/>
        <v>-91407.219349456718</v>
      </c>
      <c r="AU204">
        <f t="shared" si="157"/>
        <v>-754516.45524038025</v>
      </c>
      <c r="AV204">
        <f t="shared" si="198"/>
        <v>-1.6913555740979838</v>
      </c>
      <c r="AW204">
        <f t="shared" si="199"/>
        <v>-32459.405056569842</v>
      </c>
      <c r="AX204">
        <f t="shared" si="200"/>
        <v>-35172.294621049252</v>
      </c>
      <c r="AY204">
        <f t="shared" si="208"/>
        <v>-2.3161032912130883</v>
      </c>
      <c r="BA204">
        <f t="shared" si="184"/>
        <v>15.879912502975028</v>
      </c>
      <c r="BB204">
        <f t="shared" si="201"/>
        <v>24.016962103408687</v>
      </c>
      <c r="BC204">
        <f t="shared" si="202"/>
        <v>0.62474771711510457</v>
      </c>
      <c r="BD204">
        <f t="shared" si="185"/>
        <v>-144.20459250796921</v>
      </c>
      <c r="BF204">
        <f t="shared" si="186"/>
        <v>-3.6915227647842856</v>
      </c>
      <c r="BG204">
        <f t="shared" si="187"/>
        <v>-138.90662485194903</v>
      </c>
      <c r="BH204">
        <f t="shared" si="203"/>
        <v>41.093375148050967</v>
      </c>
      <c r="BI204">
        <f t="shared" si="204"/>
        <v>41.093375148050967</v>
      </c>
      <c r="BJ204">
        <f t="shared" si="188"/>
        <v>0</v>
      </c>
      <c r="BK204">
        <f t="shared" si="205"/>
        <v>0</v>
      </c>
      <c r="BM204">
        <f t="shared" si="206"/>
        <v>-27.708484868192969</v>
      </c>
      <c r="BN204">
        <f t="shared" si="189"/>
        <v>-174.70203234397982</v>
      </c>
      <c r="BQ204" s="56">
        <f t="shared" si="207"/>
        <v>40.918922903693826</v>
      </c>
      <c r="BR204" s="59"/>
      <c r="BS204" s="59"/>
      <c r="BT204" s="59">
        <v>8709.6360000000004</v>
      </c>
      <c r="BU204" s="59">
        <v>-1.62094</v>
      </c>
      <c r="BV204" s="59">
        <v>-218.72200000000001</v>
      </c>
      <c r="BW204" s="61"/>
      <c r="BY204" s="59"/>
      <c r="BZ204" s="59"/>
      <c r="CA204" s="59"/>
      <c r="CC204" s="59"/>
    </row>
    <row r="205" spans="1:81" x14ac:dyDescent="0.25">
      <c r="A205">
        <f t="shared" si="190"/>
        <v>85500</v>
      </c>
      <c r="B205">
        <f t="shared" si="191"/>
        <v>85.5</v>
      </c>
      <c r="C205">
        <f t="shared" si="159"/>
        <v>1.0026263921208418</v>
      </c>
      <c r="D205">
        <f t="shared" si="160"/>
        <v>7.2396915608143528E-2</v>
      </c>
      <c r="F205">
        <f t="shared" si="161"/>
        <v>2.7055222669098793E-3</v>
      </c>
      <c r="G205">
        <f t="shared" si="162"/>
        <v>2.0371503953204716E-2</v>
      </c>
      <c r="H205">
        <f t="shared" si="163"/>
        <v>-3.1212211460467953</v>
      </c>
      <c r="J205">
        <f t="shared" si="164"/>
        <v>15</v>
      </c>
      <c r="M205">
        <f t="shared" si="165"/>
        <v>3.1224190231469006E-2</v>
      </c>
      <c r="N205">
        <f t="shared" si="166"/>
        <v>-1.5707963250000001</v>
      </c>
      <c r="O205">
        <f t="shared" si="167"/>
        <v>23.068094672422816</v>
      </c>
      <c r="P205">
        <f t="shared" si="168"/>
        <v>1.5274328205358143</v>
      </c>
      <c r="Q205">
        <f t="shared" si="169"/>
        <v>21.851979565790746</v>
      </c>
      <c r="R205">
        <f t="shared" si="170"/>
        <v>1.5250178946909436</v>
      </c>
      <c r="S205">
        <f t="shared" si="171"/>
        <v>0.87418621898377724</v>
      </c>
      <c r="T205">
        <f t="shared" si="172"/>
        <v>-0.5070389041943687</v>
      </c>
      <c r="U205">
        <f t="shared" si="173"/>
        <v>0.99653187671412857</v>
      </c>
      <c r="V205">
        <f t="shared" si="174"/>
        <v>-8.3308220343790332E-2</v>
      </c>
      <c r="X205">
        <f t="shared" si="192"/>
        <v>-5.0685929965252665</v>
      </c>
      <c r="Y205">
        <f t="shared" si="175"/>
        <v>-123.61661644930621</v>
      </c>
      <c r="Z205">
        <f t="shared" si="193"/>
        <v>56.383383550693793</v>
      </c>
      <c r="AC205">
        <v>1</v>
      </c>
      <c r="AD205">
        <f t="shared" si="176"/>
        <v>23.046409521135001</v>
      </c>
      <c r="AE205">
        <f t="shared" si="177"/>
        <v>-1.4856978792052088E-4</v>
      </c>
      <c r="AF205">
        <f t="shared" si="178"/>
        <v>1.7792472805128001E-3</v>
      </c>
      <c r="AG205">
        <f t="shared" si="194"/>
        <v>12816.604015671877</v>
      </c>
      <c r="AH205">
        <f t="shared" si="195"/>
        <v>-1632.2408763961432</v>
      </c>
      <c r="AJ205">
        <f t="shared" si="179"/>
        <v>18000</v>
      </c>
      <c r="AK205">
        <f t="shared" si="180"/>
        <v>9998.5961307078014</v>
      </c>
      <c r="AL205">
        <v>1</v>
      </c>
      <c r="AM205">
        <f t="shared" si="181"/>
        <v>21.829086351557102</v>
      </c>
      <c r="AN205">
        <f t="shared" si="196"/>
        <v>494.77646058370021</v>
      </c>
      <c r="AO205">
        <f t="shared" si="197"/>
        <v>-801.92195209157831</v>
      </c>
      <c r="AQ205">
        <f t="shared" si="182"/>
        <v>0.3419738731960878</v>
      </c>
      <c r="AR205">
        <f t="shared" si="183"/>
        <v>-58.477532316531018</v>
      </c>
      <c r="AT205">
        <f t="shared" si="156"/>
        <v>-91066.474881358532</v>
      </c>
      <c r="AU205">
        <f t="shared" si="157"/>
        <v>-750041.55924912356</v>
      </c>
      <c r="AV205">
        <f t="shared" si="198"/>
        <v>-1.6916201668438806</v>
      </c>
      <c r="AW205">
        <f t="shared" si="199"/>
        <v>-31911.097993445292</v>
      </c>
      <c r="AX205">
        <f t="shared" si="200"/>
        <v>-34951.962247883821</v>
      </c>
      <c r="AY205">
        <f t="shared" si="208"/>
        <v>-2.310746819543676</v>
      </c>
      <c r="BA205">
        <f t="shared" si="184"/>
        <v>15.964052641984507</v>
      </c>
      <c r="BB205">
        <f t="shared" si="201"/>
        <v>24.062863024291445</v>
      </c>
      <c r="BC205">
        <f t="shared" si="202"/>
        <v>0.61912665269979539</v>
      </c>
      <c r="BD205">
        <f t="shared" si="185"/>
        <v>-144.52665577570562</v>
      </c>
      <c r="BF205">
        <f t="shared" si="186"/>
        <v>-3.7475068954705888</v>
      </c>
      <c r="BG205">
        <f t="shared" si="187"/>
        <v>-139.21141685666797</v>
      </c>
      <c r="BH205">
        <f t="shared" si="203"/>
        <v>40.788583143332033</v>
      </c>
      <c r="BI205">
        <f t="shared" si="204"/>
        <v>40.788583143332033</v>
      </c>
      <c r="BJ205">
        <f t="shared" si="188"/>
        <v>0</v>
      </c>
      <c r="BK205">
        <f t="shared" si="205"/>
        <v>0</v>
      </c>
      <c r="BM205">
        <f t="shared" si="206"/>
        <v>-27.810369919762039</v>
      </c>
      <c r="BN205">
        <f t="shared" si="189"/>
        <v>-174.68476108096232</v>
      </c>
      <c r="BQ205" s="56">
        <f t="shared" si="207"/>
        <v>40.964823824576584</v>
      </c>
      <c r="BR205" s="59"/>
      <c r="BS205" s="59"/>
      <c r="BT205" s="59">
        <v>8912.509</v>
      </c>
      <c r="BU205" s="59">
        <v>-1.6954</v>
      </c>
      <c r="BV205" s="59">
        <v>-217.619</v>
      </c>
      <c r="BW205" s="61"/>
      <c r="BY205" s="59"/>
      <c r="BZ205" s="59"/>
      <c r="CA205" s="59"/>
      <c r="CC205" s="59"/>
    </row>
    <row r="206" spans="1:81" x14ac:dyDescent="0.25">
      <c r="A206">
        <f t="shared" si="190"/>
        <v>86000</v>
      </c>
      <c r="B206">
        <f t="shared" si="191"/>
        <v>86</v>
      </c>
      <c r="C206">
        <f t="shared" si="159"/>
        <v>1.0026571591533207</v>
      </c>
      <c r="D206">
        <f t="shared" si="160"/>
        <v>7.2818798643612168E-2</v>
      </c>
      <c r="F206">
        <f t="shared" si="161"/>
        <v>2.6740747533933991E-3</v>
      </c>
      <c r="G206">
        <f t="shared" si="162"/>
        <v>2.0252447270417688E-2</v>
      </c>
      <c r="H206">
        <f t="shared" si="163"/>
        <v>-3.1213402027295825</v>
      </c>
      <c r="J206">
        <f t="shared" si="164"/>
        <v>15</v>
      </c>
      <c r="M206">
        <f t="shared" si="165"/>
        <v>3.104265424175116E-2</v>
      </c>
      <c r="N206">
        <f t="shared" si="166"/>
        <v>-1.5707963250000001</v>
      </c>
      <c r="O206">
        <f t="shared" si="167"/>
        <v>23.202743038134653</v>
      </c>
      <c r="P206">
        <f t="shared" si="168"/>
        <v>1.5276846207605941</v>
      </c>
      <c r="Q206">
        <f t="shared" si="169"/>
        <v>21.979502079678294</v>
      </c>
      <c r="R206">
        <f t="shared" si="170"/>
        <v>1.5252836799056881</v>
      </c>
      <c r="S206">
        <f t="shared" si="171"/>
        <v>0.87297974758906827</v>
      </c>
      <c r="T206">
        <f t="shared" si="172"/>
        <v>-0.50951791819857506</v>
      </c>
      <c r="U206">
        <f t="shared" si="173"/>
        <v>0.99649140911676215</v>
      </c>
      <c r="V206">
        <f t="shared" si="174"/>
        <v>-8.379313225666625E-2</v>
      </c>
      <c r="X206">
        <f t="shared" si="192"/>
        <v>-5.1317796554717257</v>
      </c>
      <c r="Y206">
        <f t="shared" si="175"/>
        <v>-123.73943076212868</v>
      </c>
      <c r="Z206">
        <f t="shared" si="193"/>
        <v>56.260569237871323</v>
      </c>
      <c r="AC206">
        <v>1</v>
      </c>
      <c r="AD206">
        <f t="shared" si="176"/>
        <v>23.181183845820001</v>
      </c>
      <c r="AE206">
        <f t="shared" si="177"/>
        <v>-1.5031252713110666E-4</v>
      </c>
      <c r="AF206">
        <f t="shared" si="178"/>
        <v>1.7896522353696002E-3</v>
      </c>
      <c r="AG206">
        <f t="shared" si="194"/>
        <v>12815.563112411073</v>
      </c>
      <c r="AH206">
        <f t="shared" si="195"/>
        <v>-1635.1443147446744</v>
      </c>
      <c r="AJ206">
        <f t="shared" si="179"/>
        <v>18000</v>
      </c>
      <c r="AK206">
        <f t="shared" si="180"/>
        <v>10057.067453109601</v>
      </c>
      <c r="AL206">
        <v>1</v>
      </c>
      <c r="AM206">
        <f t="shared" si="181"/>
        <v>21.956741827297201</v>
      </c>
      <c r="AN206">
        <f t="shared" si="196"/>
        <v>494.35141661228914</v>
      </c>
      <c r="AO206">
        <f t="shared" si="197"/>
        <v>-797.27897340507161</v>
      </c>
      <c r="AQ206">
        <f t="shared" si="182"/>
        <v>0.33800912624640866</v>
      </c>
      <c r="AR206">
        <f t="shared" si="183"/>
        <v>-58.137569714382288</v>
      </c>
      <c r="AT206">
        <f t="shared" si="156"/>
        <v>-90731.539301562574</v>
      </c>
      <c r="AU206">
        <f t="shared" si="157"/>
        <v>-745618.38757797843</v>
      </c>
      <c r="AV206">
        <f t="shared" si="198"/>
        <v>-1.6918872771040236</v>
      </c>
      <c r="AW206">
        <f t="shared" si="199"/>
        <v>-31372.322906910518</v>
      </c>
      <c r="AX206">
        <f t="shared" si="200"/>
        <v>-34734.761506386145</v>
      </c>
      <c r="AY206">
        <f t="shared" si="208"/>
        <v>-2.305374771392831</v>
      </c>
      <c r="BA206">
        <f t="shared" si="184"/>
        <v>16.047759019135299</v>
      </c>
      <c r="BB206">
        <f t="shared" si="201"/>
        <v>24.108287883011442</v>
      </c>
      <c r="BC206">
        <f t="shared" si="202"/>
        <v>0.61348749428880733</v>
      </c>
      <c r="BD206">
        <f t="shared" si="185"/>
        <v>-144.84975575303014</v>
      </c>
      <c r="BF206">
        <f t="shared" si="186"/>
        <v>-3.8033668790791566</v>
      </c>
      <c r="BG206">
        <f t="shared" si="187"/>
        <v>-139.51716616203865</v>
      </c>
      <c r="BH206">
        <f t="shared" si="203"/>
        <v>40.482833837961351</v>
      </c>
      <c r="BI206">
        <f t="shared" si="204"/>
        <v>40.482833837961351</v>
      </c>
      <c r="BJ206">
        <f t="shared" si="188"/>
        <v>0</v>
      </c>
      <c r="BK206">
        <f t="shared" si="205"/>
        <v>0</v>
      </c>
      <c r="BM206">
        <f t="shared" si="206"/>
        <v>-27.911654762090599</v>
      </c>
      <c r="BN206">
        <f t="shared" si="189"/>
        <v>-174.66741040900851</v>
      </c>
      <c r="BQ206" s="56">
        <f t="shared" si="207"/>
        <v>41.010248683296581</v>
      </c>
      <c r="BR206" s="59"/>
      <c r="BS206" s="59"/>
      <c r="BT206" s="59">
        <v>9120.1080000000002</v>
      </c>
      <c r="BU206" s="59">
        <v>-1.76502</v>
      </c>
      <c r="BV206" s="59">
        <v>-216.501</v>
      </c>
      <c r="BW206" s="61"/>
      <c r="BY206" s="59"/>
      <c r="BZ206" s="59"/>
      <c r="CA206" s="59"/>
      <c r="CC206" s="59"/>
    </row>
    <row r="207" spans="1:81" x14ac:dyDescent="0.25">
      <c r="A207">
        <f t="shared" si="190"/>
        <v>86500</v>
      </c>
      <c r="B207">
        <f t="shared" si="191"/>
        <v>86.5</v>
      </c>
      <c r="C207">
        <f t="shared" si="159"/>
        <v>1.0026881046330598</v>
      </c>
      <c r="D207">
        <f t="shared" si="160"/>
        <v>7.3240655713415703E-2</v>
      </c>
      <c r="F207">
        <f t="shared" si="161"/>
        <v>2.6431728138098945E-3</v>
      </c>
      <c r="G207">
        <f t="shared" si="162"/>
        <v>2.0134777618960174E-2</v>
      </c>
      <c r="H207">
        <f t="shared" si="163"/>
        <v>-3.1214578723810402</v>
      </c>
      <c r="J207">
        <f t="shared" si="164"/>
        <v>15</v>
      </c>
      <c r="M207">
        <f t="shared" si="165"/>
        <v>3.0863216933995373E-2</v>
      </c>
      <c r="N207">
        <f t="shared" si="166"/>
        <v>-1.5707963250000001</v>
      </c>
      <c r="O207">
        <f t="shared" si="167"/>
        <v>23.33739285800235</v>
      </c>
      <c r="P207">
        <f t="shared" si="168"/>
        <v>1.5279335153761018</v>
      </c>
      <c r="Q207">
        <f t="shared" si="169"/>
        <v>22.107026128324026</v>
      </c>
      <c r="R207">
        <f t="shared" si="170"/>
        <v>1.5255463987827635</v>
      </c>
      <c r="S207">
        <f t="shared" si="171"/>
        <v>0.87177126639683733</v>
      </c>
      <c r="T207">
        <f t="shared" si="172"/>
        <v>-0.51199008387531353</v>
      </c>
      <c r="U207">
        <f t="shared" si="173"/>
        <v>0.99645071052950318</v>
      </c>
      <c r="V207">
        <f t="shared" si="174"/>
        <v>-8.427800467411424E-2</v>
      </c>
      <c r="X207">
        <f t="shared" si="192"/>
        <v>-5.1947018923244617</v>
      </c>
      <c r="Y207">
        <f t="shared" si="175"/>
        <v>-123.86211461580598</v>
      </c>
      <c r="Z207">
        <f t="shared" si="193"/>
        <v>56.137885384194021</v>
      </c>
      <c r="AC207">
        <v>1</v>
      </c>
      <c r="AD207">
        <f t="shared" si="176"/>
        <v>23.315958170504999</v>
      </c>
      <c r="AE207">
        <f t="shared" si="177"/>
        <v>-1.520654280863605E-4</v>
      </c>
      <c r="AF207">
        <f t="shared" si="178"/>
        <v>1.8000571902264E-3</v>
      </c>
      <c r="AG207">
        <f t="shared" si="194"/>
        <v>12814.516310285593</v>
      </c>
      <c r="AH207">
        <f t="shared" si="195"/>
        <v>-1638.0840144708764</v>
      </c>
      <c r="AJ207">
        <f t="shared" si="179"/>
        <v>18000</v>
      </c>
      <c r="AK207">
        <f t="shared" si="180"/>
        <v>10115.538775511401</v>
      </c>
      <c r="AL207">
        <v>1</v>
      </c>
      <c r="AM207">
        <f t="shared" si="181"/>
        <v>22.084397303037299</v>
      </c>
      <c r="AN207">
        <f t="shared" si="196"/>
        <v>493.93370191308497</v>
      </c>
      <c r="AO207">
        <f t="shared" si="197"/>
        <v>-792.68933889716254</v>
      </c>
      <c r="AQ207">
        <f t="shared" si="182"/>
        <v>0.33411293017039762</v>
      </c>
      <c r="AR207">
        <f t="shared" si="183"/>
        <v>-57.801536919478785</v>
      </c>
      <c r="AT207">
        <f t="shared" si="156"/>
        <v>-90402.278046500505</v>
      </c>
      <c r="AU207">
        <f t="shared" si="157"/>
        <v>-741246.04266417585</v>
      </c>
      <c r="AV207">
        <f t="shared" si="198"/>
        <v>-1.6921568604441437</v>
      </c>
      <c r="AW207">
        <f t="shared" si="199"/>
        <v>-30842.861057136317</v>
      </c>
      <c r="AX207">
        <f t="shared" si="200"/>
        <v>-34520.626833525093</v>
      </c>
      <c r="AY207">
        <f t="shared" si="208"/>
        <v>-2.2999873920095535</v>
      </c>
      <c r="BA207">
        <f t="shared" si="184"/>
        <v>16.131022398267643</v>
      </c>
      <c r="BB207">
        <f t="shared" si="201"/>
        <v>24.153237884486487</v>
      </c>
      <c r="BC207">
        <f t="shared" si="202"/>
        <v>0.60783053156540978</v>
      </c>
      <c r="BD207">
        <f t="shared" si="185"/>
        <v>-145.173875842314</v>
      </c>
      <c r="BF207">
        <f t="shared" si="186"/>
        <v>-3.8591085047239213</v>
      </c>
      <c r="BG207">
        <f t="shared" si="187"/>
        <v>-139.8238575960504</v>
      </c>
      <c r="BH207">
        <f t="shared" si="203"/>
        <v>40.176142403949598</v>
      </c>
      <c r="BI207">
        <f t="shared" si="204"/>
        <v>40.176142403949598</v>
      </c>
      <c r="BJ207">
        <f t="shared" si="188"/>
        <v>0</v>
      </c>
      <c r="BK207">
        <f t="shared" si="205"/>
        <v>0</v>
      </c>
      <c r="BM207">
        <f t="shared" si="206"/>
        <v>-28.012346389210407</v>
      </c>
      <c r="BN207">
        <f t="shared" si="189"/>
        <v>-174.6499817537364</v>
      </c>
      <c r="BQ207" s="56">
        <f t="shared" si="207"/>
        <v>41.055198684771625</v>
      </c>
      <c r="BR207" s="59"/>
      <c r="BS207" s="59"/>
      <c r="BT207" s="59">
        <v>9332.5429999999997</v>
      </c>
      <c r="BU207" s="59">
        <v>-1.99203</v>
      </c>
      <c r="BV207" s="59">
        <v>-215.83600000000001</v>
      </c>
      <c r="BW207" s="61"/>
      <c r="BY207" s="59"/>
      <c r="BZ207" s="59"/>
      <c r="CA207" s="59"/>
      <c r="CC207" s="59"/>
    </row>
    <row r="208" spans="1:81" x14ac:dyDescent="0.25">
      <c r="A208">
        <f t="shared" si="190"/>
        <v>87000</v>
      </c>
      <c r="B208">
        <f t="shared" si="191"/>
        <v>87</v>
      </c>
      <c r="C208">
        <f t="shared" si="159"/>
        <v>1.002719228543538</v>
      </c>
      <c r="D208">
        <f t="shared" si="160"/>
        <v>7.3662486669814939E-2</v>
      </c>
      <c r="F208">
        <f t="shared" si="161"/>
        <v>2.6128038905283263E-3</v>
      </c>
      <c r="G208">
        <f t="shared" si="162"/>
        <v>2.0018470840721125E-2</v>
      </c>
      <c r="H208">
        <f t="shared" si="163"/>
        <v>-3.1215741791592793</v>
      </c>
      <c r="J208">
        <f t="shared" si="164"/>
        <v>15</v>
      </c>
      <c r="M208">
        <f t="shared" si="165"/>
        <v>3.0685842124029881E-2</v>
      </c>
      <c r="N208">
        <f t="shared" si="166"/>
        <v>-1.5707963250000001</v>
      </c>
      <c r="O208">
        <f t="shared" si="167"/>
        <v>23.472044107000148</v>
      </c>
      <c r="P208">
        <f t="shared" si="168"/>
        <v>1.5281795543567511</v>
      </c>
      <c r="Q208">
        <f t="shared" si="169"/>
        <v>22.234551685320593</v>
      </c>
      <c r="R208">
        <f t="shared" si="170"/>
        <v>1.5258061040462321</v>
      </c>
      <c r="S208">
        <f t="shared" si="171"/>
        <v>0.87056082796429968</v>
      </c>
      <c r="T208">
        <f t="shared" si="172"/>
        <v>-0.51445539947079932</v>
      </c>
      <c r="U208">
        <f t="shared" si="173"/>
        <v>0.99640978103805933</v>
      </c>
      <c r="V208">
        <f t="shared" si="174"/>
        <v>-8.476283737299907E-2</v>
      </c>
      <c r="X208">
        <f t="shared" si="192"/>
        <v>-5.2573628779748933</v>
      </c>
      <c r="Y208">
        <f t="shared" si="175"/>
        <v>-123.98466340550239</v>
      </c>
      <c r="Z208">
        <f t="shared" si="193"/>
        <v>56.015336594497612</v>
      </c>
      <c r="AC208">
        <v>1</v>
      </c>
      <c r="AD208">
        <f t="shared" si="176"/>
        <v>23.45073249519</v>
      </c>
      <c r="AE208">
        <f t="shared" si="177"/>
        <v>-1.5382849078628255E-4</v>
      </c>
      <c r="AF208">
        <f t="shared" si="178"/>
        <v>1.8104621450832001E-3</v>
      </c>
      <c r="AG208">
        <f t="shared" si="194"/>
        <v>12813.463612227739</v>
      </c>
      <c r="AH208">
        <f t="shared" si="195"/>
        <v>-1641.0593158673332</v>
      </c>
      <c r="AJ208">
        <f t="shared" si="179"/>
        <v>18000</v>
      </c>
      <c r="AK208">
        <f t="shared" si="180"/>
        <v>10174.0100979132</v>
      </c>
      <c r="AL208">
        <v>1</v>
      </c>
      <c r="AM208">
        <f t="shared" si="181"/>
        <v>22.212052778777398</v>
      </c>
      <c r="AN208">
        <f t="shared" si="196"/>
        <v>493.52314905201661</v>
      </c>
      <c r="AO208">
        <f t="shared" si="197"/>
        <v>-788.15213637861621</v>
      </c>
      <c r="AQ208">
        <f t="shared" si="182"/>
        <v>0.33028371371007698</v>
      </c>
      <c r="AR208">
        <f t="shared" si="183"/>
        <v>-57.46936618555339</v>
      </c>
      <c r="AT208">
        <f t="shared" si="156"/>
        <v>-90078.560408457983</v>
      </c>
      <c r="AU208">
        <f t="shared" si="157"/>
        <v>-736923.64760164276</v>
      </c>
      <c r="AV208">
        <f t="shared" si="198"/>
        <v>-1.6924288734428374</v>
      </c>
      <c r="AW208">
        <f t="shared" si="199"/>
        <v>-30322.499942265978</v>
      </c>
      <c r="AX208">
        <f t="shared" si="200"/>
        <v>-34309.494491531252</v>
      </c>
      <c r="AY208">
        <f t="shared" si="208"/>
        <v>-2.2945849301221166</v>
      </c>
      <c r="BA208">
        <f t="shared" si="184"/>
        <v>16.213833531190989</v>
      </c>
      <c r="BB208">
        <f t="shared" si="201"/>
        <v>24.197714195314685</v>
      </c>
      <c r="BC208">
        <f t="shared" si="202"/>
        <v>0.60215605667927918</v>
      </c>
      <c r="BD208">
        <f t="shared" si="185"/>
        <v>-145.49899930461379</v>
      </c>
      <c r="BF208">
        <f t="shared" si="186"/>
        <v>-3.9147374777036377</v>
      </c>
      <c r="BG208">
        <f t="shared" si="187"/>
        <v>-140.13147581238238</v>
      </c>
      <c r="BH208">
        <f t="shared" si="203"/>
        <v>39.868524187617624</v>
      </c>
      <c r="BI208">
        <f t="shared" si="204"/>
        <v>39.868524187617624</v>
      </c>
      <c r="BJ208">
        <f t="shared" si="188"/>
        <v>0</v>
      </c>
      <c r="BK208">
        <f t="shared" si="205"/>
        <v>0</v>
      </c>
      <c r="BM208">
        <f t="shared" si="206"/>
        <v>-28.112451673018324</v>
      </c>
      <c r="BN208">
        <f t="shared" si="189"/>
        <v>-174.63247650776864</v>
      </c>
      <c r="BQ208" s="56">
        <f t="shared" si="207"/>
        <v>41.09967499559982</v>
      </c>
      <c r="BR208" s="59"/>
      <c r="BS208" s="59"/>
      <c r="BT208" s="59">
        <v>9549.9259999999995</v>
      </c>
      <c r="BU208" s="59">
        <v>-2.1278299999999999</v>
      </c>
      <c r="BV208" s="59">
        <v>-215.499</v>
      </c>
      <c r="BW208" s="61"/>
      <c r="BY208" s="59"/>
      <c r="BZ208" s="59"/>
      <c r="CA208" s="59"/>
      <c r="CC208" s="59"/>
    </row>
    <row r="209" spans="1:81" x14ac:dyDescent="0.25">
      <c r="A209">
        <f t="shared" si="190"/>
        <v>87500</v>
      </c>
      <c r="B209">
        <f t="shared" si="191"/>
        <v>87.5</v>
      </c>
      <c r="C209">
        <f t="shared" si="159"/>
        <v>1.0027505308681406</v>
      </c>
      <c r="D209">
        <f t="shared" si="160"/>
        <v>7.4084291365126079E-2</v>
      </c>
      <c r="F209">
        <f t="shared" si="161"/>
        <v>2.5829557854407186E-3</v>
      </c>
      <c r="G209">
        <f t="shared" si="162"/>
        <v>1.9903503336713393E-2</v>
      </c>
      <c r="H209">
        <f t="shared" si="163"/>
        <v>-3.1216891466632868</v>
      </c>
      <c r="J209">
        <f t="shared" si="164"/>
        <v>15</v>
      </c>
      <c r="M209">
        <f t="shared" si="165"/>
        <v>3.0510494454749709E-2</v>
      </c>
      <c r="N209">
        <f t="shared" si="166"/>
        <v>-1.5707963250000001</v>
      </c>
      <c r="O209">
        <f t="shared" si="167"/>
        <v>23.606696760673024</v>
      </c>
      <c r="P209">
        <f t="shared" si="168"/>
        <v>1.5284227865381399</v>
      </c>
      <c r="Q209">
        <f t="shared" si="169"/>
        <v>22.362078724862709</v>
      </c>
      <c r="R209">
        <f t="shared" si="170"/>
        <v>1.5260628472190978</v>
      </c>
      <c r="S209">
        <f t="shared" si="171"/>
        <v>0.86934848448131563</v>
      </c>
      <c r="T209">
        <f t="shared" si="172"/>
        <v>-0.51691386357401714</v>
      </c>
      <c r="U209">
        <f t="shared" si="173"/>
        <v>0.99636862072860433</v>
      </c>
      <c r="V209">
        <f t="shared" si="174"/>
        <v>-8.524763013029682E-2</v>
      </c>
      <c r="X209">
        <f t="shared" si="192"/>
        <v>-5.3197657214893477</v>
      </c>
      <c r="Y209">
        <f t="shared" si="175"/>
        <v>-124.10707264805404</v>
      </c>
      <c r="Z209">
        <f t="shared" si="193"/>
        <v>55.892927351945957</v>
      </c>
      <c r="AC209">
        <v>1</v>
      </c>
      <c r="AD209">
        <f t="shared" si="176"/>
        <v>23.585506819875004</v>
      </c>
      <c r="AE209">
        <f t="shared" si="177"/>
        <v>-1.5560171523087277E-4</v>
      </c>
      <c r="AF209">
        <f t="shared" si="178"/>
        <v>1.8208670999400002E-3</v>
      </c>
      <c r="AG209">
        <f t="shared" si="194"/>
        <v>12812.405021185588</v>
      </c>
      <c r="AH209">
        <f t="shared" si="195"/>
        <v>-1644.0695741209056</v>
      </c>
      <c r="AJ209">
        <f t="shared" si="179"/>
        <v>18000</v>
      </c>
      <c r="AK209">
        <f t="shared" si="180"/>
        <v>10232.481420315</v>
      </c>
      <c r="AL209">
        <v>1</v>
      </c>
      <c r="AM209">
        <f t="shared" si="181"/>
        <v>22.3397082545175</v>
      </c>
      <c r="AN209">
        <f t="shared" si="196"/>
        <v>493.11959534587498</v>
      </c>
      <c r="AO209">
        <f t="shared" si="197"/>
        <v>-783.66647429757336</v>
      </c>
      <c r="AQ209">
        <f t="shared" si="182"/>
        <v>0.32651995036896753</v>
      </c>
      <c r="AR209">
        <f t="shared" si="183"/>
        <v>-57.14099131456932</v>
      </c>
      <c r="AT209">
        <f t="shared" si="156"/>
        <v>-89760.259403765711</v>
      </c>
      <c r="AU209">
        <f t="shared" si="157"/>
        <v>-732650.34555005515</v>
      </c>
      <c r="AV209">
        <f t="shared" si="198"/>
        <v>-1.692703273662753</v>
      </c>
      <c r="AW209">
        <f t="shared" si="199"/>
        <v>-29811.033086314954</v>
      </c>
      <c r="AX209">
        <f t="shared" si="200"/>
        <v>-34101.302504980136</v>
      </c>
      <c r="AY209">
        <f t="shared" si="208"/>
        <v>-2.2891676379577444</v>
      </c>
      <c r="BA209">
        <f t="shared" si="184"/>
        <v>16.296183162054302</v>
      </c>
      <c r="BB209">
        <f t="shared" si="201"/>
        <v>24.241717946035628</v>
      </c>
      <c r="BC209">
        <f t="shared" si="202"/>
        <v>0.59646436429499139</v>
      </c>
      <c r="BD209">
        <f t="shared" si="185"/>
        <v>-145.82510925689286</v>
      </c>
      <c r="BF209">
        <f t="shared" si="186"/>
        <v>-3.9702594200748531</v>
      </c>
      <c r="BG209">
        <f t="shared" si="187"/>
        <v>-140.44000528858203</v>
      </c>
      <c r="BH209">
        <f t="shared" si="203"/>
        <v>39.559994711417971</v>
      </c>
      <c r="BI209">
        <f t="shared" si="204"/>
        <v>39.559994711417971</v>
      </c>
      <c r="BJ209">
        <f t="shared" si="188"/>
        <v>0</v>
      </c>
      <c r="BK209">
        <f t="shared" si="205"/>
        <v>0</v>
      </c>
      <c r="BM209">
        <f t="shared" si="206"/>
        <v>-28.211977366110482</v>
      </c>
      <c r="BN209">
        <f t="shared" si="189"/>
        <v>-174.61489603168917</v>
      </c>
      <c r="BQ209" s="56">
        <f t="shared" si="207"/>
        <v>41.143678746320766</v>
      </c>
      <c r="BR209" s="59"/>
      <c r="BS209" s="59"/>
      <c r="BT209" s="59">
        <v>9772.3719999999994</v>
      </c>
      <c r="BU209" s="59">
        <v>-1.9944299999999999</v>
      </c>
      <c r="BV209" s="59">
        <v>-212.98699999999999</v>
      </c>
      <c r="BW209" s="61"/>
      <c r="BY209" s="59"/>
      <c r="BZ209" s="59"/>
      <c r="CA209" s="59"/>
      <c r="CC209" s="59"/>
    </row>
    <row r="210" spans="1:81" x14ac:dyDescent="0.25">
      <c r="A210">
        <f t="shared" si="190"/>
        <v>88000</v>
      </c>
      <c r="B210">
        <f t="shared" si="191"/>
        <v>88</v>
      </c>
      <c r="C210">
        <f t="shared" si="159"/>
        <v>1.0027820115901596</v>
      </c>
      <c r="D210">
        <f t="shared" si="160"/>
        <v>7.4506069651721143E-2</v>
      </c>
      <c r="F210">
        <f t="shared" si="161"/>
        <v>2.5536166476711236E-3</v>
      </c>
      <c r="G210">
        <f t="shared" si="162"/>
        <v>1.9789852050953714E-2</v>
      </c>
      <c r="H210">
        <f t="shared" si="163"/>
        <v>-3.1218027979490466</v>
      </c>
      <c r="J210">
        <f t="shared" si="164"/>
        <v>15</v>
      </c>
      <c r="M210">
        <f t="shared" si="165"/>
        <v>3.0337139372620451E-2</v>
      </c>
      <c r="N210">
        <f t="shared" si="166"/>
        <v>-1.5707963250000001</v>
      </c>
      <c r="O210">
        <f t="shared" si="167"/>
        <v>23.741350795120496</v>
      </c>
      <c r="P210">
        <f t="shared" si="168"/>
        <v>1.5286632596492866</v>
      </c>
      <c r="Q210">
        <f t="shared" si="169"/>
        <v>22.4896072217301</v>
      </c>
      <c r="R210">
        <f t="shared" si="170"/>
        <v>1.5263166786572924</v>
      </c>
      <c r="S210">
        <f t="shared" si="171"/>
        <v>0.86813428776830948</v>
      </c>
      <c r="T210">
        <f t="shared" si="172"/>
        <v>-0.5193654751130673</v>
      </c>
      <c r="U210">
        <f t="shared" si="173"/>
        <v>0.99632722968778042</v>
      </c>
      <c r="V210">
        <f t="shared" si="174"/>
        <v>-8.5732382723095371E-2</v>
      </c>
      <c r="X210">
        <f t="shared" si="192"/>
        <v>-5.3819134716318375</v>
      </c>
      <c r="Y210">
        <f t="shared" si="175"/>
        <v>-124.22933797888903</v>
      </c>
      <c r="Z210">
        <f t="shared" si="193"/>
        <v>55.770662021110965</v>
      </c>
      <c r="AC210">
        <v>1</v>
      </c>
      <c r="AD210">
        <f t="shared" si="176"/>
        <v>23.720281144560001</v>
      </c>
      <c r="AE210">
        <f t="shared" si="177"/>
        <v>-1.5738510142013112E-4</v>
      </c>
      <c r="AF210">
        <f t="shared" si="178"/>
        <v>1.8312720547968E-3</v>
      </c>
      <c r="AG210">
        <f t="shared" si="194"/>
        <v>12811.340540122999</v>
      </c>
      <c r="AH210">
        <f t="shared" si="195"/>
        <v>-1647.1141588898377</v>
      </c>
      <c r="AJ210">
        <f t="shared" si="179"/>
        <v>18000</v>
      </c>
      <c r="AK210">
        <f t="shared" si="180"/>
        <v>10290.952742716801</v>
      </c>
      <c r="AL210">
        <v>1</v>
      </c>
      <c r="AM210">
        <f t="shared" si="181"/>
        <v>22.467363730257599</v>
      </c>
      <c r="AN210">
        <f t="shared" si="196"/>
        <v>492.72288270156969</v>
      </c>
      <c r="AO210">
        <f t="shared" si="197"/>
        <v>-779.23148116041557</v>
      </c>
      <c r="AQ210">
        <f t="shared" si="182"/>
        <v>0.32282015689059623</v>
      </c>
      <c r="AR210">
        <f t="shared" si="183"/>
        <v>-56.816347612744941</v>
      </c>
      <c r="AT210">
        <f t="shared" si="156"/>
        <v>-89447.251646217657</v>
      </c>
      <c r="AU210">
        <f t="shared" si="157"/>
        <v>-728425.29916406935</v>
      </c>
      <c r="AV210">
        <f t="shared" si="198"/>
        <v>-1.6929800196227545</v>
      </c>
      <c r="AW210">
        <f t="shared" si="199"/>
        <v>-29308.259835430035</v>
      </c>
      <c r="AX210">
        <f t="shared" si="200"/>
        <v>-33895.990600442601</v>
      </c>
      <c r="AY210">
        <f t="shared" si="208"/>
        <v>-2.2837357712578816</v>
      </c>
      <c r="BA210">
        <f t="shared" si="184"/>
        <v>16.378062031793345</v>
      </c>
      <c r="BB210">
        <f t="shared" si="201"/>
        <v>24.285250233358301</v>
      </c>
      <c r="BC210">
        <f t="shared" si="202"/>
        <v>0.59075575163512717</v>
      </c>
      <c r="BD210">
        <f t="shared" si="185"/>
        <v>-146.15218866955178</v>
      </c>
      <c r="BF210">
        <f t="shared" si="186"/>
        <v>-4.0256798711761839</v>
      </c>
      <c r="BG210">
        <f t="shared" si="187"/>
        <v>-140.74943032451887</v>
      </c>
      <c r="BH210">
        <f t="shared" si="203"/>
        <v>39.250569675481131</v>
      </c>
      <c r="BI210">
        <f t="shared" si="204"/>
        <v>39.250569675481131</v>
      </c>
      <c r="BJ210">
        <f t="shared" si="188"/>
        <v>0</v>
      </c>
      <c r="BK210">
        <f t="shared" si="205"/>
        <v>0</v>
      </c>
      <c r="BM210">
        <f t="shared" si="206"/>
        <v>-28.310930104534489</v>
      </c>
      <c r="BN210">
        <f t="shared" si="189"/>
        <v>-174.59724165496712</v>
      </c>
      <c r="BQ210" s="56">
        <f t="shared" si="207"/>
        <v>41.187211033643436</v>
      </c>
      <c r="BR210" s="59"/>
      <c r="BS210" s="59"/>
      <c r="BT210" s="59">
        <v>10000</v>
      </c>
      <c r="BU210" s="59">
        <v>-2.2209699999999999</v>
      </c>
      <c r="BV210" s="59">
        <v>-213.047</v>
      </c>
      <c r="BW210" s="61"/>
      <c r="BY210" s="59"/>
      <c r="BZ210" s="59"/>
      <c r="CA210" s="59"/>
      <c r="CC210" s="59"/>
    </row>
    <row r="211" spans="1:81" x14ac:dyDescent="0.25">
      <c r="A211">
        <f t="shared" si="190"/>
        <v>88500</v>
      </c>
      <c r="B211">
        <f t="shared" si="191"/>
        <v>88.5</v>
      </c>
      <c r="C211">
        <f t="shared" si="159"/>
        <v>1.0028136706927944</v>
      </c>
      <c r="D211">
        <f t="shared" si="160"/>
        <v>7.4927821382028234E-2</v>
      </c>
      <c r="F211">
        <f t="shared" si="161"/>
        <v>2.5247749617724143E-3</v>
      </c>
      <c r="G211">
        <f t="shared" si="162"/>
        <v>1.9677494454898449E-2</v>
      </c>
      <c r="H211">
        <f t="shared" si="163"/>
        <v>-3.1219151555451017</v>
      </c>
      <c r="J211">
        <f t="shared" si="164"/>
        <v>15</v>
      </c>
      <c r="M211">
        <f t="shared" si="165"/>
        <v>3.0165743104978524E-2</v>
      </c>
      <c r="N211">
        <f t="shared" si="166"/>
        <v>-1.5707963250000001</v>
      </c>
      <c r="O211">
        <f t="shared" si="167"/>
        <v>23.876006186981019</v>
      </c>
      <c r="P211">
        <f t="shared" si="168"/>
        <v>1.5289010203437785</v>
      </c>
      <c r="Q211">
        <f t="shared" si="169"/>
        <v>22.617137151271045</v>
      </c>
      <c r="R211">
        <f t="shared" si="170"/>
        <v>1.5265676475825114</v>
      </c>
      <c r="S211">
        <f t="shared" si="171"/>
        <v>0.8669182892742946</v>
      </c>
      <c r="T211">
        <f t="shared" si="172"/>
        <v>-0.52181023335150856</v>
      </c>
      <c r="U211">
        <f t="shared" si="173"/>
        <v>0.99628560800269483</v>
      </c>
      <c r="V211">
        <f t="shared" si="174"/>
        <v>-8.6217094928595042E-2</v>
      </c>
      <c r="X211">
        <f t="shared" si="192"/>
        <v>-5.4438091183418793</v>
      </c>
      <c r="Y211">
        <f t="shared" si="175"/>
        <v>-124.35145514904349</v>
      </c>
      <c r="Z211">
        <f t="shared" si="193"/>
        <v>55.648544850956512</v>
      </c>
      <c r="AC211">
        <v>1</v>
      </c>
      <c r="AD211">
        <f t="shared" si="176"/>
        <v>23.855055469245002</v>
      </c>
      <c r="AE211">
        <f t="shared" si="177"/>
        <v>-1.5917864935405758E-4</v>
      </c>
      <c r="AF211">
        <f t="shared" si="178"/>
        <v>1.8416770096536001E-3</v>
      </c>
      <c r="AG211">
        <f t="shared" si="194"/>
        <v>12810.270172019567</v>
      </c>
      <c r="AH211">
        <f t="shared" si="195"/>
        <v>-1650.1924538951985</v>
      </c>
      <c r="AJ211">
        <f t="shared" si="179"/>
        <v>18000</v>
      </c>
      <c r="AK211">
        <f t="shared" si="180"/>
        <v>10349.424065118601</v>
      </c>
      <c r="AL211">
        <v>1</v>
      </c>
      <c r="AM211">
        <f t="shared" si="181"/>
        <v>22.595019205997701</v>
      </c>
      <c r="AN211">
        <f t="shared" si="196"/>
        <v>492.33285746168872</v>
      </c>
      <c r="AO211">
        <f t="shared" si="197"/>
        <v>-774.84630497198316</v>
      </c>
      <c r="AQ211">
        <f t="shared" si="182"/>
        <v>0.31918289179699966</v>
      </c>
      <c r="AR211">
        <f t="shared" si="183"/>
        <v>-56.495371848068942</v>
      </c>
      <c r="AT211">
        <f t="shared" si="156"/>
        <v>-89139.417225480545</v>
      </c>
      <c r="AU211">
        <f t="shared" si="157"/>
        <v>-724247.69004192739</v>
      </c>
      <c r="AV211">
        <f t="shared" si="198"/>
        <v>-1.6932590707710251</v>
      </c>
      <c r="AW211">
        <f t="shared" si="199"/>
        <v>-28813.985162134282</v>
      </c>
      <c r="AX211">
        <f t="shared" si="200"/>
        <v>-33693.500148581887</v>
      </c>
      <c r="AY211">
        <f t="shared" si="208"/>
        <v>-2.2782895892890789</v>
      </c>
      <c r="BA211">
        <f t="shared" si="184"/>
        <v>16.45946088265157</v>
      </c>
      <c r="BB211">
        <f t="shared" si="201"/>
        <v>24.328312122356188</v>
      </c>
      <c r="BC211">
        <f t="shared" si="202"/>
        <v>0.58503051851805377</v>
      </c>
      <c r="BD211">
        <f t="shared" si="185"/>
        <v>-146.48022036426343</v>
      </c>
      <c r="BF211">
        <f t="shared" si="186"/>
        <v>-4.081004288106322</v>
      </c>
      <c r="BG211">
        <f t="shared" si="187"/>
        <v>-141.05973504111157</v>
      </c>
      <c r="BH211">
        <f t="shared" si="203"/>
        <v>38.940264958888434</v>
      </c>
      <c r="BI211">
        <f t="shared" si="204"/>
        <v>38.940264958888434</v>
      </c>
      <c r="BJ211">
        <f t="shared" si="188"/>
        <v>0</v>
      </c>
      <c r="BK211">
        <f t="shared" si="205"/>
        <v>0</v>
      </c>
      <c r="BM211">
        <f t="shared" si="206"/>
        <v>-28.409316410462505</v>
      </c>
      <c r="BN211">
        <f t="shared" si="189"/>
        <v>-174.57951467684813</v>
      </c>
      <c r="BQ211" s="56">
        <f t="shared" si="207"/>
        <v>41.230272922641326</v>
      </c>
      <c r="BR211" s="59"/>
      <c r="BS211" s="59"/>
      <c r="BT211" s="59">
        <v>10232.93</v>
      </c>
      <c r="BU211" s="59">
        <v>-2.4867400000000002</v>
      </c>
      <c r="BV211" s="59">
        <v>-211.715</v>
      </c>
      <c r="BW211" s="61"/>
      <c r="BY211" s="59"/>
      <c r="BZ211" s="59"/>
      <c r="CA211" s="59"/>
      <c r="CC211" s="59"/>
    </row>
    <row r="212" spans="1:81" x14ac:dyDescent="0.25">
      <c r="A212">
        <f t="shared" si="190"/>
        <v>89000</v>
      </c>
      <c r="B212">
        <f t="shared" si="191"/>
        <v>89</v>
      </c>
      <c r="C212">
        <f t="shared" si="159"/>
        <v>1.0028455081591505</v>
      </c>
      <c r="D212">
        <f t="shared" si="160"/>
        <v>7.5349546408531781E-2</v>
      </c>
      <c r="F212">
        <f t="shared" si="161"/>
        <v>2.4964195363888783E-3</v>
      </c>
      <c r="G212">
        <f t="shared" si="162"/>
        <v>1.9566408532412729E-2</v>
      </c>
      <c r="H212">
        <f t="shared" si="163"/>
        <v>-3.1220262414675877</v>
      </c>
      <c r="J212">
        <f t="shared" si="164"/>
        <v>15</v>
      </c>
      <c r="M212">
        <f t="shared" si="165"/>
        <v>2.9996272638096629E-2</v>
      </c>
      <c r="N212">
        <f t="shared" si="166"/>
        <v>-1.5707963250000001</v>
      </c>
      <c r="O212">
        <f t="shared" si="167"/>
        <v>24.010662913416855</v>
      </c>
      <c r="P212">
        <f t="shared" si="168"/>
        <v>1.5291361142298738</v>
      </c>
      <c r="Q212">
        <f t="shared" si="169"/>
        <v>22.744668489386431</v>
      </c>
      <c r="R212">
        <f t="shared" si="170"/>
        <v>1.52681580211395</v>
      </c>
      <c r="S212">
        <f t="shared" si="171"/>
        <v>0.86570054007500052</v>
      </c>
      <c r="T212">
        <f t="shared" si="172"/>
        <v>-0.52424813788469771</v>
      </c>
      <c r="U212">
        <f t="shared" si="173"/>
        <v>0.99624375576092183</v>
      </c>
      <c r="V212">
        <f t="shared" si="174"/>
        <v>-8.6701766524109186E-2</v>
      </c>
      <c r="X212">
        <f t="shared" si="192"/>
        <v>-5.5054555941688088</v>
      </c>
      <c r="Y212">
        <f t="shared" si="175"/>
        <v>-124.47342002227025</v>
      </c>
      <c r="Z212">
        <f t="shared" si="193"/>
        <v>55.526579977729753</v>
      </c>
      <c r="AC212">
        <v>1</v>
      </c>
      <c r="AD212">
        <f t="shared" si="176"/>
        <v>23.989829793929999</v>
      </c>
      <c r="AE212">
        <f t="shared" si="177"/>
        <v>-1.6098235903265218E-4</v>
      </c>
      <c r="AF212">
        <f t="shared" si="178"/>
        <v>1.8520819645104001E-3</v>
      </c>
      <c r="AG212">
        <f t="shared" si="194"/>
        <v>12809.193919870615</v>
      </c>
      <c r="AH212">
        <f t="shared" si="195"/>
        <v>-1653.3038565260983</v>
      </c>
      <c r="AJ212">
        <f t="shared" si="179"/>
        <v>18000</v>
      </c>
      <c r="AK212">
        <f t="shared" si="180"/>
        <v>10407.895387520401</v>
      </c>
      <c r="AL212">
        <v>1</v>
      </c>
      <c r="AM212">
        <f t="shared" si="181"/>
        <v>22.7226746817378</v>
      </c>
      <c r="AN212">
        <f t="shared" si="196"/>
        <v>491.94937025608499</v>
      </c>
      <c r="AO212">
        <f t="shared" si="197"/>
        <v>-770.51011269439698</v>
      </c>
      <c r="AQ212">
        <f t="shared" si="182"/>
        <v>0.31560675398453525</v>
      </c>
      <c r="AR212">
        <f t="shared" si="183"/>
        <v>-56.178002209247275</v>
      </c>
      <c r="AT212">
        <f t="shared" si="156"/>
        <v>-88836.639590271385</v>
      </c>
      <c r="AU212">
        <f t="shared" si="157"/>
        <v>-720116.71819267643</v>
      </c>
      <c r="AV212">
        <f t="shared" si="198"/>
        <v>-1.6935403874590731</v>
      </c>
      <c r="AW212">
        <f t="shared" si="199"/>
        <v>-28328.019477202102</v>
      </c>
      <c r="AX212">
        <f t="shared" si="200"/>
        <v>-33493.774108583726</v>
      </c>
      <c r="AY212">
        <f t="shared" si="208"/>
        <v>-2.2728293548495047</v>
      </c>
      <c r="BA212">
        <f t="shared" si="184"/>
        <v>16.540370462771033</v>
      </c>
      <c r="BB212">
        <f t="shared" si="201"/>
        <v>24.370904648629747</v>
      </c>
      <c r="BC212">
        <f t="shared" si="202"/>
        <v>0.57928896739043156</v>
      </c>
      <c r="BD212">
        <f t="shared" si="185"/>
        <v>-146.80918701211067</v>
      </c>
      <c r="BF212">
        <f t="shared" si="186"/>
        <v>-4.1362380461583168</v>
      </c>
      <c r="BG212">
        <f t="shared" si="187"/>
        <v>-141.37090337932651</v>
      </c>
      <c r="BH212">
        <f t="shared" si="203"/>
        <v>38.629096620673494</v>
      </c>
      <c r="BI212">
        <f t="shared" si="204"/>
        <v>38.629096620673494</v>
      </c>
      <c r="BJ212">
        <f t="shared" si="188"/>
        <v>0</v>
      </c>
      <c r="BK212">
        <f t="shared" si="205"/>
        <v>0</v>
      </c>
      <c r="BM212">
        <f t="shared" si="206"/>
        <v>-28.507142694788069</v>
      </c>
      <c r="BN212">
        <f t="shared" si="189"/>
        <v>-174.56171636721584</v>
      </c>
      <c r="BQ212" s="56">
        <f t="shared" si="207"/>
        <v>41.272865448914885</v>
      </c>
      <c r="BR212" s="59"/>
      <c r="BS212" s="59"/>
      <c r="BT212" s="59">
        <v>10471.285</v>
      </c>
      <c r="BU212" s="59">
        <v>-2.3517399999999999</v>
      </c>
      <c r="BV212" s="59">
        <v>-211.89099999999999</v>
      </c>
      <c r="BW212" s="61"/>
      <c r="BY212" s="59"/>
      <c r="BZ212" s="59"/>
      <c r="CA212" s="59"/>
      <c r="CC212" s="59"/>
    </row>
    <row r="213" spans="1:81" x14ac:dyDescent="0.25">
      <c r="A213">
        <f t="shared" si="190"/>
        <v>89500</v>
      </c>
      <c r="B213">
        <f t="shared" si="191"/>
        <v>89.5</v>
      </c>
      <c r="C213">
        <f t="shared" si="159"/>
        <v>1.0028775239722409</v>
      </c>
      <c r="D213">
        <f t="shared" si="160"/>
        <v>7.577124458377292E-2</v>
      </c>
      <c r="F213">
        <f t="shared" si="161"/>
        <v>2.4685394933637167E-3</v>
      </c>
      <c r="G213">
        <f t="shared" si="162"/>
        <v>1.9456572765251919E-2</v>
      </c>
      <c r="H213">
        <f t="shared" si="163"/>
        <v>-3.1221360772347482</v>
      </c>
      <c r="J213">
        <f t="shared" si="164"/>
        <v>15</v>
      </c>
      <c r="M213">
        <f t="shared" si="165"/>
        <v>2.9828695695984356E-2</v>
      </c>
      <c r="N213">
        <f t="shared" si="166"/>
        <v>-1.5707963250000001</v>
      </c>
      <c r="O213">
        <f t="shared" si="167"/>
        <v>24.145320952099514</v>
      </c>
      <c r="P213">
        <f t="shared" si="168"/>
        <v>1.5293685858995989</v>
      </c>
      <c r="Q213">
        <f t="shared" si="169"/>
        <v>22.872201212514373</v>
      </c>
      <c r="R213">
        <f t="shared" si="170"/>
        <v>1.5270611892989803</v>
      </c>
      <c r="S213">
        <f t="shared" si="171"/>
        <v>0.86448109087110514</v>
      </c>
      <c r="T213">
        <f t="shared" si="172"/>
        <v>-0.52667918863612839</v>
      </c>
      <c r="U213">
        <f t="shared" si="173"/>
        <v>0.99620167305050022</v>
      </c>
      <c r="V213">
        <f t="shared" si="174"/>
        <v>-8.7186397287064843E-2</v>
      </c>
      <c r="X213">
        <f t="shared" si="192"/>
        <v>-5.5668557756641395</v>
      </c>
      <c r="Y213">
        <f t="shared" si="175"/>
        <v>-124.59522857223581</v>
      </c>
      <c r="Z213">
        <f t="shared" si="193"/>
        <v>55.404771427764189</v>
      </c>
      <c r="AC213">
        <v>1</v>
      </c>
      <c r="AD213">
        <f t="shared" si="176"/>
        <v>24.124604118615</v>
      </c>
      <c r="AE213">
        <f t="shared" si="177"/>
        <v>-1.6279623045591492E-4</v>
      </c>
      <c r="AF213">
        <f t="shared" si="178"/>
        <v>1.8624869193672E-3</v>
      </c>
      <c r="AG213">
        <f t="shared" si="194"/>
        <v>12808.111786687185</v>
      </c>
      <c r="AH213">
        <f t="shared" si="195"/>
        <v>-1656.4477774581351</v>
      </c>
      <c r="AJ213">
        <f t="shared" si="179"/>
        <v>18000</v>
      </c>
      <c r="AK213">
        <f t="shared" si="180"/>
        <v>10466.366709922202</v>
      </c>
      <c r="AL213">
        <v>1</v>
      </c>
      <c r="AM213">
        <f t="shared" si="181"/>
        <v>22.850330157477899</v>
      </c>
      <c r="AN213">
        <f t="shared" si="196"/>
        <v>491.57227585921959</v>
      </c>
      <c r="AO213">
        <f t="shared" si="197"/>
        <v>-766.22208972376927</v>
      </c>
      <c r="AQ213">
        <f t="shared" si="182"/>
        <v>0.31209038137444606</v>
      </c>
      <c r="AR213">
        <f t="shared" si="183"/>
        <v>-55.864178266025839</v>
      </c>
      <c r="AT213">
        <f t="shared" si="156"/>
        <v>-88538.805436089824</v>
      </c>
      <c r="AU213">
        <f t="shared" si="157"/>
        <v>-716031.60152127338</v>
      </c>
      <c r="AV213">
        <f t="shared" si="198"/>
        <v>-1.693823930916603</v>
      </c>
      <c r="AW213">
        <f t="shared" si="199"/>
        <v>-27850.178448826759</v>
      </c>
      <c r="AX213">
        <f t="shared" si="200"/>
        <v>-33296.756974811098</v>
      </c>
      <c r="AY213">
        <f t="shared" si="208"/>
        <v>-2.2673553342711124</v>
      </c>
      <c r="BA213">
        <f t="shared" si="184"/>
        <v>16.620781530849829</v>
      </c>
      <c r="BB213">
        <f t="shared" si="201"/>
        <v>24.413028820436615</v>
      </c>
      <c r="BC213">
        <f t="shared" si="202"/>
        <v>0.57353140335450936</v>
      </c>
      <c r="BD213">
        <f t="shared" si="185"/>
        <v>-147.13907113202225</v>
      </c>
      <c r="BF213">
        <f t="shared" si="186"/>
        <v>-4.1913864392123763</v>
      </c>
      <c r="BG213">
        <f t="shared" si="187"/>
        <v>-141.68291909944588</v>
      </c>
      <c r="BH213">
        <f t="shared" si="203"/>
        <v>38.317080900554117</v>
      </c>
      <c r="BI213">
        <f t="shared" si="204"/>
        <v>38.317080900554117</v>
      </c>
      <c r="BJ213">
        <f t="shared" si="188"/>
        <v>0</v>
      </c>
      <c r="BK213">
        <f t="shared" si="205"/>
        <v>0</v>
      </c>
      <c r="BM213">
        <f t="shared" si="206"/>
        <v>-28.604415259648988</v>
      </c>
      <c r="BN213">
        <f t="shared" si="189"/>
        <v>-174.54384796742363</v>
      </c>
      <c r="BQ213" s="56">
        <f t="shared" si="207"/>
        <v>41.314989620721754</v>
      </c>
      <c r="BR213" s="59"/>
      <c r="BS213" s="59"/>
      <c r="BT213" s="59">
        <v>10715.192999999999</v>
      </c>
      <c r="BU213" s="59">
        <v>-2.5136799999999999</v>
      </c>
      <c r="BV213" s="59">
        <v>-209.68</v>
      </c>
      <c r="BW213" s="61"/>
      <c r="BY213" s="59"/>
      <c r="BZ213" s="59"/>
      <c r="CA213" s="59"/>
      <c r="CC213" s="59"/>
    </row>
    <row r="214" spans="1:81" x14ac:dyDescent="0.25">
      <c r="A214">
        <f t="shared" si="190"/>
        <v>90000</v>
      </c>
      <c r="B214">
        <f t="shared" si="191"/>
        <v>90</v>
      </c>
      <c r="C214">
        <f t="shared" si="159"/>
        <v>1.002909718114986</v>
      </c>
      <c r="D214">
        <f t="shared" si="160"/>
        <v>7.6192915760349755E-2</v>
      </c>
      <c r="F214">
        <f t="shared" si="161"/>
        <v>2.4411242572715819E-3</v>
      </c>
      <c r="G214">
        <f t="shared" si="162"/>
        <v>1.9347966119034943E-2</v>
      </c>
      <c r="H214">
        <f t="shared" si="163"/>
        <v>-3.1222446838809654</v>
      </c>
      <c r="J214">
        <f t="shared" si="164"/>
        <v>15</v>
      </c>
      <c r="M214">
        <f t="shared" si="165"/>
        <v>2.9662980719895555E-2</v>
      </c>
      <c r="N214">
        <f t="shared" si="166"/>
        <v>-1.5707963250000001</v>
      </c>
      <c r="O214">
        <f t="shared" si="167"/>
        <v>24.279980281195634</v>
      </c>
      <c r="P214">
        <f t="shared" si="168"/>
        <v>1.5295984789568806</v>
      </c>
      <c r="Q214">
        <f t="shared" si="169"/>
        <v>22.999735297615338</v>
      </c>
      <c r="R214">
        <f t="shared" si="170"/>
        <v>1.5273038551428084</v>
      </c>
      <c r="S214">
        <f t="shared" si="171"/>
        <v>0.86325999198656356</v>
      </c>
      <c r="T214">
        <f t="shared" si="172"/>
        <v>-0.52910338585376937</v>
      </c>
      <c r="U214">
        <f t="shared" si="173"/>
        <v>0.9961593599599341</v>
      </c>
      <c r="V214">
        <f t="shared" si="174"/>
        <v>-8.7670986995003197E-2</v>
      </c>
      <c r="X214">
        <f t="shared" si="192"/>
        <v>-5.6280124847334587</v>
      </c>
      <c r="Y214">
        <f t="shared" si="175"/>
        <v>-124.71687687980361</v>
      </c>
      <c r="Z214">
        <f t="shared" si="193"/>
        <v>55.283123120196393</v>
      </c>
      <c r="AC214">
        <v>1</v>
      </c>
      <c r="AD214">
        <f t="shared" si="176"/>
        <v>24.259378443300001</v>
      </c>
      <c r="AE214">
        <f t="shared" si="177"/>
        <v>-1.6462026362384582E-4</v>
      </c>
      <c r="AF214">
        <f t="shared" si="178"/>
        <v>1.8728918742240001E-3</v>
      </c>
      <c r="AG214">
        <f t="shared" si="194"/>
        <v>12807.023775495978</v>
      </c>
      <c r="AH214">
        <f t="shared" si="195"/>
        <v>-1659.6236402845609</v>
      </c>
      <c r="AJ214">
        <f t="shared" si="179"/>
        <v>18000</v>
      </c>
      <c r="AK214">
        <f t="shared" si="180"/>
        <v>10524.838032324</v>
      </c>
      <c r="AL214">
        <v>1</v>
      </c>
      <c r="AM214">
        <f t="shared" si="181"/>
        <v>22.977985633218001</v>
      </c>
      <c r="AN214">
        <f t="shared" si="196"/>
        <v>491.2014330530082</v>
      </c>
      <c r="AO214">
        <f t="shared" si="197"/>
        <v>-761.98143938411613</v>
      </c>
      <c r="AQ214">
        <f t="shared" si="182"/>
        <v>0.30863244961575259</v>
      </c>
      <c r="AR214">
        <f t="shared" si="183"/>
        <v>-55.55384093083547</v>
      </c>
      <c r="AT214">
        <f t="shared" ref="AT214:AT277" si="209">-AR214*AH214+AG214*AQ214</f>
        <v>-88245.804597304101</v>
      </c>
      <c r="AU214">
        <f t="shared" ref="AU214:AU277" si="210">AQ214*AH214+AG214*AR214</f>
        <v>-711991.57533087279</v>
      </c>
      <c r="AV214">
        <f t="shared" si="198"/>
        <v>-1.6941096632272232</v>
      </c>
      <c r="AW214">
        <f t="shared" si="199"/>
        <v>-27380.282828759216</v>
      </c>
      <c r="AX214">
        <f t="shared" si="200"/>
        <v>-33102.39472558142</v>
      </c>
      <c r="AY214">
        <f t="shared" si="208"/>
        <v>-2.2618677974174775</v>
      </c>
      <c r="BA214">
        <f t="shared" si="184"/>
        <v>16.700684860862086</v>
      </c>
      <c r="BB214">
        <f t="shared" si="201"/>
        <v>24.454685620789594</v>
      </c>
      <c r="BC214">
        <f t="shared" si="202"/>
        <v>0.56775813419025423</v>
      </c>
      <c r="BD214">
        <f t="shared" si="185"/>
        <v>-147.46985508950507</v>
      </c>
      <c r="BF214">
        <f t="shared" si="186"/>
        <v>-4.246454680089581</v>
      </c>
      <c r="BG214">
        <f t="shared" si="187"/>
        <v>-141.99576578060336</v>
      </c>
      <c r="BH214">
        <f t="shared" si="203"/>
        <v>38.004234219396636</v>
      </c>
      <c r="BI214">
        <f t="shared" si="204"/>
        <v>38.004234219396636</v>
      </c>
      <c r="BJ214">
        <f t="shared" si="188"/>
        <v>0</v>
      </c>
      <c r="BK214">
        <f t="shared" si="205"/>
        <v>0</v>
      </c>
      <c r="BM214">
        <f t="shared" si="206"/>
        <v>-28.701140300879171</v>
      </c>
      <c r="BN214">
        <f t="shared" si="189"/>
        <v>-174.52591069109829</v>
      </c>
      <c r="BQ214" s="56">
        <f t="shared" si="207"/>
        <v>41.356646421074728</v>
      </c>
      <c r="BR214" s="59"/>
      <c r="BS214" s="59"/>
      <c r="BT214" s="59">
        <v>10964.781999999999</v>
      </c>
      <c r="BU214" s="59">
        <v>-2.5043700000000002</v>
      </c>
      <c r="BV214" s="59">
        <v>-209.52500000000001</v>
      </c>
      <c r="BW214" s="61"/>
      <c r="BY214" s="59"/>
      <c r="BZ214" s="59"/>
      <c r="CA214" s="59"/>
      <c r="CC214" s="59"/>
    </row>
    <row r="215" spans="1:81" x14ac:dyDescent="0.25">
      <c r="A215">
        <f t="shared" si="190"/>
        <v>90500</v>
      </c>
      <c r="B215">
        <f t="shared" si="191"/>
        <v>90.5</v>
      </c>
      <c r="C215">
        <f t="shared" si="159"/>
        <v>1.0029420905702122</v>
      </c>
      <c r="D215">
        <f t="shared" si="160"/>
        <v>7.661455979091765E-2</v>
      </c>
      <c r="F215">
        <f t="shared" si="161"/>
        <v>2.4141635453572975E-3</v>
      </c>
      <c r="G215">
        <f t="shared" si="162"/>
        <v>1.9240568029690142E-2</v>
      </c>
      <c r="H215">
        <f t="shared" si="163"/>
        <v>-3.1223520819703099</v>
      </c>
      <c r="J215">
        <f t="shared" si="164"/>
        <v>15</v>
      </c>
      <c r="M215">
        <f t="shared" si="165"/>
        <v>2.9499096848514914E-2</v>
      </c>
      <c r="N215">
        <f t="shared" si="166"/>
        <v>-1.5707963250000001</v>
      </c>
      <c r="O215">
        <f t="shared" si="167"/>
        <v>24.414640879353321</v>
      </c>
      <c r="P215">
        <f t="shared" si="168"/>
        <v>1.5298258360447476</v>
      </c>
      <c r="Q215">
        <f t="shared" si="169"/>
        <v>23.127270722157736</v>
      </c>
      <c r="R215">
        <f t="shared" si="170"/>
        <v>1.5275438446371556</v>
      </c>
      <c r="S215">
        <f t="shared" si="171"/>
        <v>0.86203729336704071</v>
      </c>
      <c r="T215">
        <f t="shared" si="172"/>
        <v>-0.53152073010640244</v>
      </c>
      <c r="U215">
        <f t="shared" si="173"/>
        <v>0.99611681657819151</v>
      </c>
      <c r="V215">
        <f t="shared" si="174"/>
        <v>-8.81555354255803E-2</v>
      </c>
      <c r="X215">
        <f t="shared" si="192"/>
        <v>-5.6889284899492774</v>
      </c>
      <c r="Y215">
        <f t="shared" si="175"/>
        <v>-124.83836113039824</v>
      </c>
      <c r="Z215">
        <f t="shared" si="193"/>
        <v>55.161638869601759</v>
      </c>
      <c r="AC215">
        <v>1</v>
      </c>
      <c r="AD215">
        <f t="shared" si="176"/>
        <v>24.394152767985002</v>
      </c>
      <c r="AE215">
        <f t="shared" si="177"/>
        <v>-1.6645445853644483E-4</v>
      </c>
      <c r="AF215">
        <f t="shared" si="178"/>
        <v>1.8832968290808001E-3</v>
      </c>
      <c r="AG215">
        <f t="shared" si="194"/>
        <v>12805.929889339375</v>
      </c>
      <c r="AH215">
        <f t="shared" si="195"/>
        <v>-1662.8308811596812</v>
      </c>
      <c r="AJ215">
        <f t="shared" si="179"/>
        <v>18000</v>
      </c>
      <c r="AK215">
        <f t="shared" si="180"/>
        <v>10583.309354725801</v>
      </c>
      <c r="AL215">
        <v>1</v>
      </c>
      <c r="AM215">
        <f t="shared" si="181"/>
        <v>23.1056411089581</v>
      </c>
      <c r="AN215">
        <f t="shared" si="196"/>
        <v>490.83670449493212</v>
      </c>
      <c r="AO215">
        <f t="shared" si="197"/>
        <v>-757.78738243782084</v>
      </c>
      <c r="AQ215">
        <f t="shared" si="182"/>
        <v>0.30523167083816616</v>
      </c>
      <c r="AR215">
        <f t="shared" si="183"/>
        <v>-55.246932421708074</v>
      </c>
      <c r="AT215">
        <f t="shared" si="209"/>
        <v>-87957.529943398724</v>
      </c>
      <c r="AU215">
        <f t="shared" si="210"/>
        <v>-707995.89184164163</v>
      </c>
      <c r="AV215">
        <f t="shared" si="198"/>
        <v>-1.6943975473049531</v>
      </c>
      <c r="AW215">
        <f t="shared" si="199"/>
        <v>-26918.15828511319</v>
      </c>
      <c r="AX215">
        <f t="shared" si="200"/>
        <v>-32910.634773969206</v>
      </c>
      <c r="AY215">
        <f t="shared" si="208"/>
        <v>-2.2563670176773223</v>
      </c>
      <c r="BA215">
        <f t="shared" si="184"/>
        <v>16.780071246836592</v>
      </c>
      <c r="BB215">
        <f t="shared" si="201"/>
        <v>24.495876009522636</v>
      </c>
      <c r="BC215">
        <f t="shared" si="202"/>
        <v>0.56196947037236922</v>
      </c>
      <c r="BD215">
        <f t="shared" si="185"/>
        <v>-147.80152109566896</v>
      </c>
      <c r="BF215">
        <f t="shared" si="186"/>
        <v>-4.3014479008688129</v>
      </c>
      <c r="BG215">
        <f t="shared" si="187"/>
        <v>-142.30942682058546</v>
      </c>
      <c r="BH215">
        <f t="shared" si="203"/>
        <v>37.690573179414542</v>
      </c>
      <c r="BI215">
        <f t="shared" si="204"/>
        <v>37.690573179414542</v>
      </c>
      <c r="BJ215">
        <f t="shared" si="188"/>
        <v>0</v>
      </c>
      <c r="BK215">
        <f t="shared" si="205"/>
        <v>0</v>
      </c>
      <c r="BM215">
        <f t="shared" si="206"/>
        <v>-28.797323910391448</v>
      </c>
      <c r="BN215">
        <f t="shared" si="189"/>
        <v>-174.50790572491647</v>
      </c>
      <c r="BQ215" s="56">
        <f t="shared" si="207"/>
        <v>41.397836809807771</v>
      </c>
      <c r="BR215" s="59"/>
      <c r="BS215" s="59"/>
      <c r="BT215" s="59">
        <v>11220.184999999999</v>
      </c>
      <c r="BU215" s="59">
        <v>-2.7486899999999999</v>
      </c>
      <c r="BV215" s="59">
        <v>-207.815</v>
      </c>
      <c r="BW215" s="61"/>
      <c r="BY215" s="59"/>
      <c r="BZ215" s="59"/>
      <c r="CA215" s="59"/>
      <c r="CC215" s="59"/>
    </row>
    <row r="216" spans="1:81" x14ac:dyDescent="0.25">
      <c r="A216">
        <f t="shared" si="190"/>
        <v>91000</v>
      </c>
      <c r="B216">
        <f t="shared" si="191"/>
        <v>91</v>
      </c>
      <c r="C216">
        <f t="shared" si="159"/>
        <v>1.0029746413206542</v>
      </c>
      <c r="D216">
        <f t="shared" si="160"/>
        <v>7.7036176528189573E-2</v>
      </c>
      <c r="F216">
        <f t="shared" si="161"/>
        <v>2.3876473578628276E-3</v>
      </c>
      <c r="G216">
        <f t="shared" si="162"/>
        <v>1.9134358390355252E-2</v>
      </c>
      <c r="H216">
        <f t="shared" si="163"/>
        <v>-3.1224582916096448</v>
      </c>
      <c r="J216">
        <f t="shared" si="164"/>
        <v>15</v>
      </c>
      <c r="M216">
        <f t="shared" si="165"/>
        <v>2.9337013898797799E-2</v>
      </c>
      <c r="N216">
        <f t="shared" si="166"/>
        <v>-1.5707963250000001</v>
      </c>
      <c r="O216">
        <f t="shared" si="167"/>
        <v>24.549302725688982</v>
      </c>
      <c r="P216">
        <f t="shared" si="168"/>
        <v>1.5300506988716411</v>
      </c>
      <c r="Q216">
        <f t="shared" si="169"/>
        <v>23.25480746410404</v>
      </c>
      <c r="R216">
        <f t="shared" si="170"/>
        <v>1.527781201787997</v>
      </c>
      <c r="S216">
        <f t="shared" si="171"/>
        <v>0.86081304457843899</v>
      </c>
      <c r="T216">
        <f t="shared" si="172"/>
        <v>-0.5339312222799617</v>
      </c>
      <c r="U216">
        <f t="shared" si="173"/>
        <v>0.9960740429947047</v>
      </c>
      <c r="V216">
        <f t="shared" si="174"/>
        <v>-8.8640042356567555E-2</v>
      </c>
      <c r="X216">
        <f t="shared" si="192"/>
        <v>-5.7496065078260274</v>
      </c>
      <c r="Y216">
        <f t="shared" si="175"/>
        <v>-124.95967761145047</v>
      </c>
      <c r="Z216">
        <f t="shared" si="193"/>
        <v>55.040322388549527</v>
      </c>
      <c r="AC216">
        <v>1</v>
      </c>
      <c r="AD216">
        <f t="shared" si="176"/>
        <v>24.528927092670003</v>
      </c>
      <c r="AE216">
        <f t="shared" si="177"/>
        <v>-1.6829881519371198E-4</v>
      </c>
      <c r="AF216">
        <f t="shared" si="178"/>
        <v>1.8937017839376E-3</v>
      </c>
      <c r="AG216">
        <f t="shared" si="194"/>
        <v>12804.830131275403</v>
      </c>
      <c r="AH216">
        <f t="shared" si="195"/>
        <v>-1666.0689484540067</v>
      </c>
      <c r="AJ216">
        <f t="shared" si="179"/>
        <v>18000</v>
      </c>
      <c r="AK216">
        <f t="shared" si="180"/>
        <v>10641.780677127601</v>
      </c>
      <c r="AL216">
        <v>1</v>
      </c>
      <c r="AM216">
        <f t="shared" si="181"/>
        <v>23.233296584698202</v>
      </c>
      <c r="AN216">
        <f t="shared" si="196"/>
        <v>490.47795659118015</v>
      </c>
      <c r="AO216">
        <f t="shared" si="197"/>
        <v>-753.63915661201759</v>
      </c>
      <c r="AQ216">
        <f t="shared" si="182"/>
        <v>0.30188679245283018</v>
      </c>
      <c r="AR216">
        <f t="shared" si="183"/>
        <v>-54.943396226415096</v>
      </c>
      <c r="AT216">
        <f t="shared" si="209"/>
        <v>-87673.877279201159</v>
      </c>
      <c r="AU216">
        <f t="shared" si="210"/>
        <v>-704043.81972545735</v>
      </c>
      <c r="AV216">
        <f t="shared" si="198"/>
        <v>-1.694687546871503</v>
      </c>
      <c r="AW216">
        <f t="shared" si="199"/>
        <v>-26463.635241545948</v>
      </c>
      <c r="AX216">
        <f t="shared" si="200"/>
        <v>-32721.425920541813</v>
      </c>
      <c r="AY216">
        <f t="shared" si="208"/>
        <v>-2.2508532719537664</v>
      </c>
      <c r="BA216">
        <f t="shared" si="184"/>
        <v>16.85893150768992</v>
      </c>
      <c r="BB216">
        <f t="shared" si="201"/>
        <v>24.536600925324908</v>
      </c>
      <c r="BC216">
        <f t="shared" si="202"/>
        <v>0.55616572508226336</v>
      </c>
      <c r="BD216">
        <f t="shared" si="185"/>
        <v>-148.13405120654093</v>
      </c>
      <c r="BF216">
        <f t="shared" si="186"/>
        <v>-4.356371153169043</v>
      </c>
      <c r="BG216">
        <f t="shared" si="187"/>
        <v>-142.62388543589651</v>
      </c>
      <c r="BH216">
        <f t="shared" si="203"/>
        <v>37.376114564103489</v>
      </c>
      <c r="BI216">
        <f t="shared" si="204"/>
        <v>37.376114564103489</v>
      </c>
      <c r="BJ216">
        <f t="shared" si="188"/>
        <v>0</v>
      </c>
      <c r="BK216">
        <f t="shared" si="205"/>
        <v>0</v>
      </c>
      <c r="BM216">
        <f t="shared" si="206"/>
        <v>-28.892972078493951</v>
      </c>
      <c r="BN216">
        <f t="shared" si="189"/>
        <v>-174.48983422935558</v>
      </c>
      <c r="BQ216" s="56">
        <f t="shared" si="207"/>
        <v>41.438561725610043</v>
      </c>
      <c r="BR216" s="59"/>
      <c r="BS216" s="59"/>
      <c r="BT216" s="59">
        <v>11481.536</v>
      </c>
      <c r="BU216" s="59">
        <v>-2.86917</v>
      </c>
      <c r="BV216" s="59">
        <v>-207.916</v>
      </c>
      <c r="BW216" s="61"/>
      <c r="BY216" s="59"/>
      <c r="BZ216" s="59"/>
      <c r="CA216" s="59"/>
      <c r="CC216" s="59"/>
    </row>
    <row r="217" spans="1:81" x14ac:dyDescent="0.25">
      <c r="A217">
        <f t="shared" si="190"/>
        <v>91500</v>
      </c>
      <c r="B217">
        <f t="shared" si="191"/>
        <v>91.5</v>
      </c>
      <c r="C217">
        <f t="shared" si="159"/>
        <v>1.0030073703489528</v>
      </c>
      <c r="D217">
        <f t="shared" si="160"/>
        <v>7.7457765824936367E-2</v>
      </c>
      <c r="F217">
        <f t="shared" si="161"/>
        <v>2.3615659687254609E-3</v>
      </c>
      <c r="G217">
        <f t="shared" si="162"/>
        <v>1.9029317538713654E-2</v>
      </c>
      <c r="H217">
        <f t="shared" si="163"/>
        <v>-3.1225633324612865</v>
      </c>
      <c r="J217">
        <f t="shared" si="164"/>
        <v>15</v>
      </c>
      <c r="M217">
        <f t="shared" si="165"/>
        <v>2.9176702347438247E-2</v>
      </c>
      <c r="N217">
        <f t="shared" si="166"/>
        <v>-1.5707963250000001</v>
      </c>
      <c r="O217">
        <f t="shared" si="167"/>
        <v>24.683965799774541</v>
      </c>
      <c r="P217">
        <f t="shared" si="168"/>
        <v>1.5302731082368644</v>
      </c>
      <c r="Q217">
        <f t="shared" si="169"/>
        <v>23.382345501897291</v>
      </c>
      <c r="R217">
        <f t="shared" si="170"/>
        <v>1.5280159696423932</v>
      </c>
      <c r="S217">
        <f t="shared" si="171"/>
        <v>0.85958729480552554</v>
      </c>
      <c r="T217">
        <f t="shared" si="172"/>
        <v>-0.53633486357387472</v>
      </c>
      <c r="U217">
        <f t="shared" si="173"/>
        <v>0.99603103929936898</v>
      </c>
      <c r="V217">
        <f t="shared" si="174"/>
        <v>-8.912450756585244E-2</v>
      </c>
      <c r="X217">
        <f t="shared" si="192"/>
        <v>-5.8100492040587195</v>
      </c>
      <c r="Y217">
        <f t="shared" si="175"/>
        <v>-125.08082270991679</v>
      </c>
      <c r="Z217">
        <f t="shared" si="193"/>
        <v>54.919177290083212</v>
      </c>
      <c r="AC217">
        <v>1</v>
      </c>
      <c r="AD217">
        <f t="shared" si="176"/>
        <v>24.663701417355</v>
      </c>
      <c r="AE217">
        <f t="shared" si="177"/>
        <v>-1.7015333359564732E-4</v>
      </c>
      <c r="AF217">
        <f t="shared" si="178"/>
        <v>1.9041067387944E-3</v>
      </c>
      <c r="AG217">
        <f t="shared" si="194"/>
        <v>12803.724504377691</v>
      </c>
      <c r="AH217">
        <f t="shared" si="195"/>
        <v>-1669.3373024207112</v>
      </c>
      <c r="AJ217">
        <f t="shared" si="179"/>
        <v>18000</v>
      </c>
      <c r="AK217">
        <f t="shared" si="180"/>
        <v>10700.251999529401</v>
      </c>
      <c r="AL217">
        <v>1</v>
      </c>
      <c r="AM217">
        <f t="shared" si="181"/>
        <v>23.360952060438301</v>
      </c>
      <c r="AN217">
        <f t="shared" si="196"/>
        <v>490.12505937460816</v>
      </c>
      <c r="AO217">
        <f t="shared" si="197"/>
        <v>-749.53601614029731</v>
      </c>
      <c r="AQ217">
        <f t="shared" si="182"/>
        <v>0.29859659599880561</v>
      </c>
      <c r="AR217">
        <f t="shared" si="183"/>
        <v>-54.64317706778143</v>
      </c>
      <c r="AT217">
        <f t="shared" si="209"/>
        <v>-87394.745248913852</v>
      </c>
      <c r="AU217">
        <f t="shared" si="210"/>
        <v>-700134.64365587884</v>
      </c>
      <c r="AV217">
        <f t="shared" si="198"/>
        <v>-1.6949796264342936</v>
      </c>
      <c r="AW217">
        <f t="shared" si="199"/>
        <v>-26016.54872253877</v>
      </c>
      <c r="AX217">
        <f t="shared" si="200"/>
        <v>-32534.718307941199</v>
      </c>
      <c r="AY217">
        <f t="shared" si="208"/>
        <v>-2.2453268406493119</v>
      </c>
      <c r="BA217">
        <f t="shared" si="184"/>
        <v>16.937256492109526</v>
      </c>
      <c r="BB217">
        <f t="shared" si="201"/>
        <v>24.576861287742791</v>
      </c>
      <c r="BC217">
        <f t="shared" si="202"/>
        <v>0.55034721421501831</v>
      </c>
      <c r="BD217">
        <f t="shared" si="185"/>
        <v>-148.467427322666</v>
      </c>
      <c r="BF217">
        <f t="shared" si="186"/>
        <v>-4.4112294083993531</v>
      </c>
      <c r="BG217">
        <f t="shared" si="187"/>
        <v>-142.93912466208494</v>
      </c>
      <c r="BH217">
        <f t="shared" si="203"/>
        <v>37.060875337915064</v>
      </c>
      <c r="BI217">
        <f t="shared" si="204"/>
        <v>37.060875337915064</v>
      </c>
      <c r="BJ217">
        <f t="shared" si="188"/>
        <v>0</v>
      </c>
      <c r="BK217">
        <f t="shared" si="205"/>
        <v>0</v>
      </c>
      <c r="BM217">
        <f t="shared" si="206"/>
        <v>-28.988090696142145</v>
      </c>
      <c r="BN217">
        <f t="shared" si="189"/>
        <v>-174.47169733941891</v>
      </c>
      <c r="BQ217" s="56">
        <f t="shared" si="207"/>
        <v>41.478822088027925</v>
      </c>
      <c r="BR217" s="59"/>
      <c r="BS217" s="59"/>
      <c r="BT217" s="59">
        <v>11748.976000000001</v>
      </c>
      <c r="BU217" s="59">
        <v>-3.0396299999999998</v>
      </c>
      <c r="BV217" s="59">
        <v>-206.25700000000001</v>
      </c>
      <c r="BW217" s="61"/>
      <c r="BY217" s="59"/>
      <c r="BZ217" s="59"/>
      <c r="CA217" s="59"/>
      <c r="CC217" s="59"/>
    </row>
    <row r="218" spans="1:81" x14ac:dyDescent="0.25">
      <c r="A218">
        <f t="shared" si="190"/>
        <v>92000</v>
      </c>
      <c r="B218">
        <f t="shared" si="191"/>
        <v>92</v>
      </c>
      <c r="C218">
        <f t="shared" si="159"/>
        <v>1.0030402776376568</v>
      </c>
      <c r="D218">
        <f t="shared" si="160"/>
        <v>7.7879327533987047E-2</v>
      </c>
      <c r="F218">
        <f t="shared" si="161"/>
        <v>2.3359099166309987E-3</v>
      </c>
      <c r="G218">
        <f t="shared" si="162"/>
        <v>1.8925426244750139E-2</v>
      </c>
      <c r="H218">
        <f t="shared" si="163"/>
        <v>-3.1226672237552502</v>
      </c>
      <c r="J218">
        <f t="shared" si="164"/>
        <v>15</v>
      </c>
      <c r="M218">
        <f t="shared" si="165"/>
        <v>2.9018133312941299E-2</v>
      </c>
      <c r="N218">
        <f t="shared" si="166"/>
        <v>-1.5707963250000001</v>
      </c>
      <c r="O218">
        <f t="shared" si="167"/>
        <v>24.818630081625102</v>
      </c>
      <c r="P218">
        <f t="shared" si="168"/>
        <v>1.5304931040552059</v>
      </c>
      <c r="Q218">
        <f t="shared" si="169"/>
        <v>23.509884814448085</v>
      </c>
      <c r="R218">
        <f t="shared" si="170"/>
        <v>1.5282481903144529</v>
      </c>
      <c r="S218">
        <f t="shared" si="171"/>
        <v>0.85836009285065151</v>
      </c>
      <c r="T218">
        <f t="shared" si="172"/>
        <v>-0.53873165549740665</v>
      </c>
      <c r="U218">
        <f t="shared" si="173"/>
        <v>0.99598780558254285</v>
      </c>
      <c r="V218">
        <f t="shared" si="174"/>
        <v>-8.9608930831438963E-2</v>
      </c>
      <c r="X218">
        <f t="shared" si="192"/>
        <v>-5.8702591947263301</v>
      </c>
      <c r="Y218">
        <f t="shared" si="175"/>
        <v>-125.2017929098736</v>
      </c>
      <c r="Z218">
        <f t="shared" si="193"/>
        <v>54.798207090126397</v>
      </c>
      <c r="AC218">
        <v>1</v>
      </c>
      <c r="AD218">
        <f t="shared" si="176"/>
        <v>24.798475742040001</v>
      </c>
      <c r="AE218">
        <f t="shared" si="177"/>
        <v>-1.7201801374225076E-4</v>
      </c>
      <c r="AF218">
        <f t="shared" si="178"/>
        <v>1.9145116936512001E-3</v>
      </c>
      <c r="AG218">
        <f t="shared" si="194"/>
        <v>12802.61301173549</v>
      </c>
      <c r="AH218">
        <f t="shared" si="195"/>
        <v>-1672.6354148729733</v>
      </c>
      <c r="AJ218">
        <f t="shared" si="179"/>
        <v>18000</v>
      </c>
      <c r="AK218">
        <f t="shared" si="180"/>
        <v>10758.723321931202</v>
      </c>
      <c r="AL218">
        <v>1</v>
      </c>
      <c r="AM218">
        <f t="shared" si="181"/>
        <v>23.488607536178399</v>
      </c>
      <c r="AN218">
        <f t="shared" si="196"/>
        <v>489.77788638730436</v>
      </c>
      <c r="AO218">
        <f t="shared" si="197"/>
        <v>-745.4772313191628</v>
      </c>
      <c r="AQ218">
        <f t="shared" si="182"/>
        <v>0.29535989603331658</v>
      </c>
      <c r="AR218">
        <f t="shared" si="183"/>
        <v>-54.346220870130253</v>
      </c>
      <c r="AT218">
        <f t="shared" si="209"/>
        <v>-87120.035243787584</v>
      </c>
      <c r="AU218">
        <f t="shared" si="210"/>
        <v>-696267.66387281881</v>
      </c>
      <c r="AV218">
        <f t="shared" si="198"/>
        <v>-1.6952737512651903</v>
      </c>
      <c r="AW218">
        <f t="shared" si="199"/>
        <v>-25576.738204514317</v>
      </c>
      <c r="AX218">
        <f t="shared" si="200"/>
        <v>-32350.463377228582</v>
      </c>
      <c r="AY218">
        <f t="shared" si="208"/>
        <v>-2.2397880076466024</v>
      </c>
      <c r="BA218">
        <f t="shared" si="184"/>
        <v>17.015037083482671</v>
      </c>
      <c r="BB218">
        <f t="shared" si="201"/>
        <v>24.616657999150043</v>
      </c>
      <c r="BC218">
        <f t="shared" si="202"/>
        <v>0.54451425638141204</v>
      </c>
      <c r="BD218">
        <f t="shared" si="185"/>
        <v>-148.80163118899131</v>
      </c>
      <c r="BF218">
        <f t="shared" si="186"/>
        <v>-4.4660275579786379</v>
      </c>
      <c r="BG218">
        <f t="shared" si="187"/>
        <v>-143.25512735432875</v>
      </c>
      <c r="BH218">
        <f t="shared" si="203"/>
        <v>36.744872645671251</v>
      </c>
      <c r="BI218">
        <f t="shared" si="204"/>
        <v>36.744872645671251</v>
      </c>
      <c r="BJ218">
        <f t="shared" si="188"/>
        <v>0</v>
      </c>
      <c r="BK218">
        <f t="shared" si="205"/>
        <v>0</v>
      </c>
      <c r="BM218">
        <f t="shared" si="206"/>
        <v>-29.082685557128684</v>
      </c>
      <c r="BN218">
        <f t="shared" si="189"/>
        <v>-174.45349616533744</v>
      </c>
      <c r="BQ218" s="56">
        <f t="shared" si="207"/>
        <v>41.518618799435181</v>
      </c>
      <c r="BR218" s="59"/>
      <c r="BS218" s="59"/>
      <c r="BT218" s="59">
        <v>12022.644</v>
      </c>
      <c r="BU218" s="59">
        <v>-3.2097500000000001</v>
      </c>
      <c r="BV218" s="59">
        <v>-205.79599999999999</v>
      </c>
      <c r="BW218" s="61"/>
      <c r="BY218" s="59"/>
      <c r="BZ218" s="59"/>
      <c r="CA218" s="59"/>
      <c r="CC218" s="59"/>
    </row>
    <row r="219" spans="1:81" x14ac:dyDescent="0.25">
      <c r="A219">
        <f t="shared" si="190"/>
        <v>92500</v>
      </c>
      <c r="B219">
        <f t="shared" si="191"/>
        <v>92.5</v>
      </c>
      <c r="C219">
        <f t="shared" si="159"/>
        <v>1.0030733631692217</v>
      </c>
      <c r="D219">
        <f t="shared" si="160"/>
        <v>7.8300861508229111E-2</v>
      </c>
      <c r="F219">
        <f t="shared" si="161"/>
        <v>2.310669996406548E-3</v>
      </c>
      <c r="G219">
        <f t="shared" si="162"/>
        <v>1.8822665698909974E-2</v>
      </c>
      <c r="H219">
        <f t="shared" si="163"/>
        <v>-3.1227699843010903</v>
      </c>
      <c r="J219">
        <f t="shared" si="164"/>
        <v>15</v>
      </c>
      <c r="M219">
        <f t="shared" si="165"/>
        <v>2.8861278538276757E-2</v>
      </c>
      <c r="N219">
        <f t="shared" si="166"/>
        <v>-1.5707963250000001</v>
      </c>
      <c r="O219">
        <f t="shared" si="167"/>
        <v>24.953295551686999</v>
      </c>
      <c r="P219">
        <f t="shared" si="168"/>
        <v>1.5307107253807677</v>
      </c>
      <c r="Q219">
        <f t="shared" si="169"/>
        <v>23.637425381121986</v>
      </c>
      <c r="R219">
        <f t="shared" si="170"/>
        <v>1.5284779050104567</v>
      </c>
      <c r="S219">
        <f t="shared" si="171"/>
        <v>0.85713148713256893</v>
      </c>
      <c r="T219">
        <f t="shared" si="172"/>
        <v>-0.54112159986600783</v>
      </c>
      <c r="U219">
        <f t="shared" si="173"/>
        <v>0.99594434193504677</v>
      </c>
      <c r="V219">
        <f t="shared" si="174"/>
        <v>-9.0093311931448344E-2</v>
      </c>
      <c r="X219">
        <f t="shared" si="192"/>
        <v>-5.9302390474611375</v>
      </c>
      <c r="Y219">
        <f t="shared" si="175"/>
        <v>-125.32258479018171</v>
      </c>
      <c r="Z219">
        <f t="shared" si="193"/>
        <v>54.677415209818292</v>
      </c>
      <c r="AC219">
        <v>1</v>
      </c>
      <c r="AD219">
        <f t="shared" si="176"/>
        <v>24.933250066725002</v>
      </c>
      <c r="AE219">
        <f t="shared" si="177"/>
        <v>-1.7389285563352232E-4</v>
      </c>
      <c r="AF219">
        <f t="shared" si="178"/>
        <v>1.9249166485079999E-3</v>
      </c>
      <c r="AG219">
        <f t="shared" si="194"/>
        <v>12801.495656453621</v>
      </c>
      <c r="AH219">
        <f t="shared" si="195"/>
        <v>-1675.962768871779</v>
      </c>
      <c r="AJ219">
        <f t="shared" si="179"/>
        <v>18000</v>
      </c>
      <c r="AK219">
        <f t="shared" si="180"/>
        <v>10817.194644333</v>
      </c>
      <c r="AL219">
        <v>1</v>
      </c>
      <c r="AM219">
        <f t="shared" si="181"/>
        <v>23.616263011918498</v>
      </c>
      <c r="AN219">
        <f t="shared" si="196"/>
        <v>489.43631456756452</v>
      </c>
      <c r="AO219">
        <f t="shared" si="197"/>
        <v>-741.46208807868197</v>
      </c>
      <c r="AQ219">
        <f t="shared" si="182"/>
        <v>0.29217553906386956</v>
      </c>
      <c r="AR219">
        <f t="shared" si="183"/>
        <v>-54.052474726815873</v>
      </c>
      <c r="AT219">
        <f t="shared" si="209"/>
        <v>-86849.651313278067</v>
      </c>
      <c r="AU219">
        <f t="shared" si="210"/>
        <v>-692442.19576134859</v>
      </c>
      <c r="AV219">
        <f t="shared" si="198"/>
        <v>-1.695569887379925</v>
      </c>
      <c r="AW219">
        <f t="shared" si="199"/>
        <v>-25144.047472540777</v>
      </c>
      <c r="AX219">
        <f t="shared" si="200"/>
        <v>-32168.6138259133</v>
      </c>
      <c r="AY219">
        <f t="shared" si="208"/>
        <v>-2.2342370602849853</v>
      </c>
      <c r="BA219">
        <f t="shared" si="184"/>
        <v>17.092264204866179</v>
      </c>
      <c r="BB219">
        <f t="shared" si="201"/>
        <v>24.655991946685823</v>
      </c>
      <c r="BC219">
        <f t="shared" si="202"/>
        <v>0.53866717290506028</v>
      </c>
      <c r="BD219">
        <f t="shared" si="185"/>
        <v>-149.13664439502975</v>
      </c>
      <c r="BF219">
        <f t="shared" si="186"/>
        <v>-4.5207704135273206</v>
      </c>
      <c r="BG219">
        <f t="shared" si="187"/>
        <v>-143.57187618827797</v>
      </c>
      <c r="BH219">
        <f t="shared" si="203"/>
        <v>36.428123811722031</v>
      </c>
      <c r="BI219">
        <f t="shared" si="204"/>
        <v>36.428123811722031</v>
      </c>
      <c r="BJ219">
        <f t="shared" si="188"/>
        <v>0</v>
      </c>
      <c r="BK219">
        <f t="shared" si="205"/>
        <v>0</v>
      </c>
      <c r="BM219">
        <f t="shared" si="206"/>
        <v>-29.176762360213143</v>
      </c>
      <c r="BN219">
        <f t="shared" si="189"/>
        <v>-174.43523179324822</v>
      </c>
      <c r="BQ219" s="56">
        <f t="shared" si="207"/>
        <v>41.557952746970955</v>
      </c>
      <c r="BR219" s="59"/>
      <c r="BS219" s="59"/>
      <c r="BT219" s="59">
        <v>12302.688</v>
      </c>
      <c r="BU219" s="59">
        <v>-3.2360000000000002</v>
      </c>
      <c r="BV219" s="59">
        <v>-205.58</v>
      </c>
      <c r="BW219" s="61"/>
      <c r="BY219" s="59"/>
      <c r="BZ219" s="59"/>
      <c r="CA219" s="59"/>
      <c r="CC219" s="59"/>
    </row>
    <row r="220" spans="1:81" x14ac:dyDescent="0.25">
      <c r="A220">
        <f t="shared" si="190"/>
        <v>93000</v>
      </c>
      <c r="B220">
        <f t="shared" si="191"/>
        <v>93</v>
      </c>
      <c r="C220">
        <f t="shared" si="159"/>
        <v>1.0031066269260105</v>
      </c>
      <c r="D220">
        <f t="shared" si="160"/>
        <v>7.8722367600608883E-2</v>
      </c>
      <c r="F220">
        <f t="shared" si="161"/>
        <v>2.2858372507382355E-3</v>
      </c>
      <c r="G220">
        <f t="shared" si="162"/>
        <v>1.8721017500645802E-2</v>
      </c>
      <c r="H220">
        <f t="shared" si="163"/>
        <v>-3.1228716324993546</v>
      </c>
      <c r="J220">
        <f t="shared" si="164"/>
        <v>15</v>
      </c>
      <c r="M220">
        <f t="shared" si="165"/>
        <v>2.8706110374092472E-2</v>
      </c>
      <c r="N220">
        <f t="shared" si="166"/>
        <v>-1.5707963250000001</v>
      </c>
      <c r="O220">
        <f t="shared" si="167"/>
        <v>25.087962190826236</v>
      </c>
      <c r="P220">
        <f t="shared" si="168"/>
        <v>1.5309260104300275</v>
      </c>
      <c r="Q220">
        <f t="shared" si="169"/>
        <v>23.764967181727307</v>
      </c>
      <c r="R220">
        <f t="shared" si="170"/>
        <v>1.5287051540531726</v>
      </c>
      <c r="S220">
        <f t="shared" si="171"/>
        <v>0.85590152568533739</v>
      </c>
      <c r="T220">
        <f t="shared" si="172"/>
        <v>-0.54350469879766483</v>
      </c>
      <c r="U220">
        <f t="shared" si="173"/>
        <v>0.99590064844816273</v>
      </c>
      <c r="V220">
        <f t="shared" si="174"/>
        <v>-9.0577650644119559E-2</v>
      </c>
      <c r="X220">
        <f t="shared" si="192"/>
        <v>-5.9899912825852306</v>
      </c>
      <c r="Y220">
        <f t="shared" si="175"/>
        <v>-125.44319502221884</v>
      </c>
      <c r="Z220">
        <f t="shared" si="193"/>
        <v>54.556804977781155</v>
      </c>
      <c r="AC220">
        <v>1</v>
      </c>
      <c r="AD220">
        <f t="shared" si="176"/>
        <v>25.068024391410002</v>
      </c>
      <c r="AE220">
        <f t="shared" si="177"/>
        <v>-1.7577785926946207E-4</v>
      </c>
      <c r="AF220">
        <f t="shared" si="178"/>
        <v>1.9353216033648E-3</v>
      </c>
      <c r="AG220">
        <f t="shared" si="194"/>
        <v>12800.372441652456</v>
      </c>
      <c r="AH220">
        <f t="shared" si="195"/>
        <v>-1679.3188584237955</v>
      </c>
      <c r="AJ220">
        <f t="shared" si="179"/>
        <v>18000</v>
      </c>
      <c r="AK220">
        <f t="shared" si="180"/>
        <v>10875.665966734799</v>
      </c>
      <c r="AL220">
        <v>1</v>
      </c>
      <c r="AM220">
        <f t="shared" si="181"/>
        <v>23.7439184876586</v>
      </c>
      <c r="AN220">
        <f t="shared" si="196"/>
        <v>489.10022414109079</v>
      </c>
      <c r="AO220">
        <f t="shared" si="197"/>
        <v>-737.48988756681285</v>
      </c>
      <c r="AQ220">
        <f t="shared" si="182"/>
        <v>0.28904240252044977</v>
      </c>
      <c r="AR220">
        <f t="shared" si="183"/>
        <v>-53.76188686880365</v>
      </c>
      <c r="AT220">
        <f t="shared" si="209"/>
        <v>-86583.500079536796</v>
      </c>
      <c r="AU220">
        <f t="shared" si="210"/>
        <v>-688657.56944410806</v>
      </c>
      <c r="AV220">
        <f t="shared" si="198"/>
        <v>-1.6958680015181762</v>
      </c>
      <c r="AW220">
        <f t="shared" si="199"/>
        <v>-24718.324482384491</v>
      </c>
      <c r="AX220">
        <f t="shared" si="200"/>
        <v>-31989.123567591196</v>
      </c>
      <c r="AY220">
        <f t="shared" si="208"/>
        <v>-2.2286742893329006</v>
      </c>
      <c r="BA220">
        <f t="shared" si="184"/>
        <v>17.168928823992449</v>
      </c>
      <c r="BB220">
        <f t="shared" si="201"/>
        <v>24.694864004160543</v>
      </c>
      <c r="BC220">
        <f t="shared" si="202"/>
        <v>0.53280628781472439</v>
      </c>
      <c r="BD220">
        <f t="shared" si="185"/>
        <v>-149.47244837530087</v>
      </c>
      <c r="BF220">
        <f t="shared" si="186"/>
        <v>-4.5754627070330569</v>
      </c>
      <c r="BG220">
        <f t="shared" si="187"/>
        <v>-143.88935366115138</v>
      </c>
      <c r="BH220">
        <f t="shared" si="203"/>
        <v>36.110646338848625</v>
      </c>
      <c r="BI220">
        <f t="shared" si="204"/>
        <v>36.110646338848625</v>
      </c>
      <c r="BJ220">
        <f t="shared" si="188"/>
        <v>0</v>
      </c>
      <c r="BK220">
        <f t="shared" si="205"/>
        <v>0</v>
      </c>
      <c r="BM220">
        <f t="shared" si="206"/>
        <v>-29.270326711193597</v>
      </c>
      <c r="BN220">
        <f t="shared" si="189"/>
        <v>-174.4169052858505</v>
      </c>
      <c r="BQ220" s="56">
        <f t="shared" si="207"/>
        <v>41.596824804445674</v>
      </c>
      <c r="BR220" s="59"/>
      <c r="BS220" s="59"/>
      <c r="BT220" s="59">
        <v>12589.254000000001</v>
      </c>
      <c r="BU220" s="59">
        <v>-3.6465100000000001</v>
      </c>
      <c r="BV220" s="59">
        <v>-203.78</v>
      </c>
      <c r="BW220" s="61"/>
      <c r="BY220" s="59"/>
      <c r="BZ220" s="59"/>
      <c r="CA220" s="59"/>
      <c r="CC220" s="59"/>
    </row>
    <row r="221" spans="1:81" x14ac:dyDescent="0.25">
      <c r="A221">
        <f t="shared" si="190"/>
        <v>93500</v>
      </c>
      <c r="B221">
        <f t="shared" si="191"/>
        <v>93.5</v>
      </c>
      <c r="C221">
        <f t="shared" si="159"/>
        <v>1.0031400688902938</v>
      </c>
      <c r="D221">
        <f t="shared" si="160"/>
        <v>7.9143845664131685E-2</v>
      </c>
      <c r="F221">
        <f t="shared" si="161"/>
        <v>2.2614029621999166E-3</v>
      </c>
      <c r="G221">
        <f t="shared" si="162"/>
        <v>1.8620463647337687E-2</v>
      </c>
      <c r="H221">
        <f t="shared" si="163"/>
        <v>-3.1229721863526625</v>
      </c>
      <c r="J221">
        <f t="shared" si="164"/>
        <v>15</v>
      </c>
      <c r="M221">
        <f t="shared" si="165"/>
        <v>2.8552601762466309E-2</v>
      </c>
      <c r="N221">
        <f t="shared" si="166"/>
        <v>-1.5707963250000001</v>
      </c>
      <c r="O221">
        <f t="shared" si="167"/>
        <v>25.222629980317276</v>
      </c>
      <c r="P221">
        <f t="shared" si="168"/>
        <v>1.5311389966041635</v>
      </c>
      <c r="Q221">
        <f t="shared" si="169"/>
        <v>23.892510196503313</v>
      </c>
      <c r="R221">
        <f t="shared" si="170"/>
        <v>1.5289299769053957</v>
      </c>
      <c r="S221">
        <f t="shared" si="171"/>
        <v>0.85467025615732362</v>
      </c>
      <c r="T221">
        <f t="shared" si="172"/>
        <v>-0.54588095470925868</v>
      </c>
      <c r="U221">
        <f t="shared" si="173"/>
        <v>0.99585672521363433</v>
      </c>
      <c r="V221">
        <f t="shared" si="174"/>
        <v>-9.1061946747809944E-2</v>
      </c>
      <c r="X221">
        <f t="shared" si="192"/>
        <v>-6.049518374215161</v>
      </c>
      <c r="Y221">
        <f t="shared" si="175"/>
        <v>-125.56362036767788</v>
      </c>
      <c r="Z221">
        <f t="shared" si="193"/>
        <v>54.436379632322115</v>
      </c>
      <c r="AC221">
        <v>1</v>
      </c>
      <c r="AD221">
        <f t="shared" si="176"/>
        <v>25.202798716095</v>
      </c>
      <c r="AE221">
        <f t="shared" si="177"/>
        <v>-1.776730246500699E-4</v>
      </c>
      <c r="AF221">
        <f t="shared" si="178"/>
        <v>1.9457265582216001E-3</v>
      </c>
      <c r="AG221">
        <f t="shared" si="194"/>
        <v>12799.24337046791</v>
      </c>
      <c r="AH221">
        <f t="shared" si="195"/>
        <v>-1682.7031881889448</v>
      </c>
      <c r="AJ221">
        <f t="shared" si="179"/>
        <v>18000</v>
      </c>
      <c r="AK221">
        <f t="shared" si="180"/>
        <v>10934.137289136601</v>
      </c>
      <c r="AL221">
        <v>1</v>
      </c>
      <c r="AM221">
        <f t="shared" si="181"/>
        <v>23.871573963398699</v>
      </c>
      <c r="AN221">
        <f t="shared" si="196"/>
        <v>488.76949851623084</v>
      </c>
      <c r="AO221">
        <f t="shared" si="197"/>
        <v>-733.55994574689612</v>
      </c>
      <c r="AQ221">
        <f t="shared" si="182"/>
        <v>0.2859593937660852</v>
      </c>
      <c r="AR221">
        <f t="shared" si="183"/>
        <v>-53.474406634257939</v>
      </c>
      <c r="AT221">
        <f t="shared" si="209"/>
        <v>-86321.490655094298</v>
      </c>
      <c r="AU221">
        <f t="shared" si="210"/>
        <v>-684913.12938681396</v>
      </c>
      <c r="AV221">
        <f t="shared" si="198"/>
        <v>-1.6961680611242889</v>
      </c>
      <c r="AW221">
        <f t="shared" si="199"/>
        <v>-24299.421227684492</v>
      </c>
      <c r="AX221">
        <f t="shared" si="200"/>
        <v>-31811.947693121372</v>
      </c>
      <c r="AY221">
        <f t="shared" si="208"/>
        <v>-2.2230999889561458</v>
      </c>
      <c r="BA221">
        <f t="shared" si="184"/>
        <v>17.245021958306825</v>
      </c>
      <c r="BB221">
        <f t="shared" si="201"/>
        <v>24.733275033929502</v>
      </c>
      <c r="BC221">
        <f t="shared" si="202"/>
        <v>0.52693192783185694</v>
      </c>
      <c r="BD221">
        <f t="shared" si="185"/>
        <v>-149.80902441004429</v>
      </c>
      <c r="BF221">
        <f t="shared" si="186"/>
        <v>-4.6301090909924447</v>
      </c>
      <c r="BG221">
        <f t="shared" si="187"/>
        <v>-144.20754209308492</v>
      </c>
      <c r="BH221">
        <f t="shared" si="203"/>
        <v>35.792457906915075</v>
      </c>
      <c r="BI221">
        <f t="shared" si="204"/>
        <v>35.792457906915075</v>
      </c>
      <c r="BJ221">
        <f t="shared" si="188"/>
        <v>0</v>
      </c>
      <c r="BK221">
        <f t="shared" si="205"/>
        <v>0</v>
      </c>
      <c r="BM221">
        <f t="shared" si="206"/>
        <v>-29.363384124921946</v>
      </c>
      <c r="BN221">
        <f t="shared" si="189"/>
        <v>-174.39851768304064</v>
      </c>
      <c r="BQ221" s="56">
        <f t="shared" si="207"/>
        <v>41.63523583421464</v>
      </c>
      <c r="BR221" s="59"/>
      <c r="BS221" s="59"/>
      <c r="BT221" s="59">
        <v>12882.495999999999</v>
      </c>
      <c r="BU221" s="59">
        <v>-3.6234700000000002</v>
      </c>
      <c r="BV221" s="59">
        <v>-201.71899999999999</v>
      </c>
      <c r="BW221" s="61"/>
      <c r="BY221" s="59"/>
      <c r="BZ221" s="59"/>
      <c r="CA221" s="59"/>
      <c r="CC221" s="59"/>
    </row>
    <row r="222" spans="1:81" x14ac:dyDescent="0.25">
      <c r="A222">
        <f t="shared" si="190"/>
        <v>94000</v>
      </c>
      <c r="B222">
        <f t="shared" si="191"/>
        <v>94</v>
      </c>
      <c r="C222">
        <f t="shared" si="159"/>
        <v>1.0031736890442493</v>
      </c>
      <c r="D222">
        <f t="shared" si="160"/>
        <v>7.9565295551862286E-2</v>
      </c>
      <c r="F222">
        <f t="shared" si="161"/>
        <v>2.2373586455795734E-3</v>
      </c>
      <c r="G222">
        <f t="shared" si="162"/>
        <v>1.8520986523572092E-2</v>
      </c>
      <c r="H222">
        <f t="shared" si="163"/>
        <v>-3.123071663476428</v>
      </c>
      <c r="J222">
        <f t="shared" si="164"/>
        <v>15</v>
      </c>
      <c r="M222">
        <f t="shared" si="165"/>
        <v>2.8400726221176592E-2</v>
      </c>
      <c r="N222">
        <f t="shared" si="166"/>
        <v>-1.5707963250000001</v>
      </c>
      <c r="O222">
        <f t="shared" si="167"/>
        <v>25.35729890183222</v>
      </c>
      <c r="P222">
        <f t="shared" si="168"/>
        <v>1.5313497205106699</v>
      </c>
      <c r="Q222">
        <f t="shared" si="169"/>
        <v>24.020054406108791</v>
      </c>
      <c r="R222">
        <f t="shared" si="170"/>
        <v>1.5291524121927393</v>
      </c>
      <c r="S222">
        <f t="shared" si="171"/>
        <v>0.85343772581029043</v>
      </c>
      <c r="T222">
        <f t="shared" si="172"/>
        <v>-0.54825037031292634</v>
      </c>
      <c r="U222">
        <f t="shared" si="173"/>
        <v>0.99581257232366582</v>
      </c>
      <c r="V222">
        <f t="shared" si="174"/>
        <v>-9.1546200020995769E-2</v>
      </c>
      <c r="X222">
        <f t="shared" si="192"/>
        <v>-6.1088227513358628</v>
      </c>
      <c r="Y222">
        <f t="shared" si="175"/>
        <v>-125.68385767642862</v>
      </c>
      <c r="Z222">
        <f t="shared" si="193"/>
        <v>54.316142323571384</v>
      </c>
      <c r="AC222">
        <v>1</v>
      </c>
      <c r="AD222">
        <f t="shared" si="176"/>
        <v>25.337573040779997</v>
      </c>
      <c r="AE222">
        <f t="shared" si="177"/>
        <v>-1.7957835177534589E-4</v>
      </c>
      <c r="AF222">
        <f t="shared" si="178"/>
        <v>1.9561315130783999E-3</v>
      </c>
      <c r="AG222">
        <f t="shared" si="194"/>
        <v>12798.108446051407</v>
      </c>
      <c r="AH222">
        <f t="shared" si="195"/>
        <v>-1686.1152731973052</v>
      </c>
      <c r="AJ222">
        <f t="shared" si="179"/>
        <v>18000</v>
      </c>
      <c r="AK222">
        <f t="shared" si="180"/>
        <v>10992.608611538401</v>
      </c>
      <c r="AL222">
        <v>1</v>
      </c>
      <c r="AM222">
        <f t="shared" si="181"/>
        <v>23.999229439138801</v>
      </c>
      <c r="AN222">
        <f t="shared" si="196"/>
        <v>488.44402418308982</v>
      </c>
      <c r="AO222">
        <f t="shared" si="197"/>
        <v>-729.67159300783374</v>
      </c>
      <c r="AQ222">
        <f t="shared" si="182"/>
        <v>0.28292544914415052</v>
      </c>
      <c r="AR222">
        <f t="shared" si="183"/>
        <v>-53.1899844391003</v>
      </c>
      <c r="AT222">
        <f t="shared" si="209"/>
        <v>-86063.534563599373</v>
      </c>
      <c r="AU222">
        <f t="shared" si="210"/>
        <v>-681208.23401637061</v>
      </c>
      <c r="AV222">
        <f t="shared" si="198"/>
        <v>-1.6964700343286032</v>
      </c>
      <c r="AW222">
        <f t="shared" si="199"/>
        <v>-23887.193612032726</v>
      </c>
      <c r="AX222">
        <f t="shared" si="200"/>
        <v>-31637.042433273848</v>
      </c>
      <c r="AY222">
        <f t="shared" si="208"/>
        <v>-2.2175144566820415</v>
      </c>
      <c r="BA222">
        <f t="shared" si="184"/>
        <v>17.320534680031102</v>
      </c>
      <c r="BB222">
        <f t="shared" si="201"/>
        <v>24.771225888733888</v>
      </c>
      <c r="BC222">
        <f t="shared" si="202"/>
        <v>0.52104442235343829</v>
      </c>
      <c r="BD222">
        <f t="shared" si="185"/>
        <v>-150.14635362620328</v>
      </c>
      <c r="BF222">
        <f t="shared" si="186"/>
        <v>-4.6847141385309135</v>
      </c>
      <c r="BG222">
        <f t="shared" si="187"/>
        <v>-144.52642362872948</v>
      </c>
      <c r="BH222">
        <f t="shared" si="203"/>
        <v>35.473576371270525</v>
      </c>
      <c r="BI222">
        <f t="shared" si="204"/>
        <v>35.473576371270525</v>
      </c>
      <c r="BJ222">
        <f t="shared" si="188"/>
        <v>0</v>
      </c>
      <c r="BK222">
        <f t="shared" si="205"/>
        <v>0</v>
      </c>
      <c r="BM222">
        <f t="shared" si="206"/>
        <v>-29.455940027264802</v>
      </c>
      <c r="BN222">
        <f t="shared" si="189"/>
        <v>-174.38007000252622</v>
      </c>
      <c r="BQ222" s="56">
        <f t="shared" si="207"/>
        <v>41.673186689019026</v>
      </c>
      <c r="BR222" s="59"/>
      <c r="BS222" s="59"/>
      <c r="BT222" s="59">
        <v>13182.566999999999</v>
      </c>
      <c r="BU222" s="59">
        <v>-4.1132799999999996</v>
      </c>
      <c r="BV222" s="59">
        <v>-198.27600000000001</v>
      </c>
      <c r="BW222" s="61"/>
      <c r="BY222" s="59"/>
      <c r="BZ222" s="59"/>
      <c r="CA222" s="59"/>
      <c r="CC222" s="59"/>
    </row>
    <row r="223" spans="1:81" x14ac:dyDescent="0.25">
      <c r="A223">
        <f t="shared" si="190"/>
        <v>94500</v>
      </c>
      <c r="B223">
        <f t="shared" si="191"/>
        <v>94.5</v>
      </c>
      <c r="C223">
        <f t="shared" si="159"/>
        <v>1.0032074873699619</v>
      </c>
      <c r="D223">
        <f t="shared" si="160"/>
        <v>7.9986717116925121E-2</v>
      </c>
      <c r="F223">
        <f t="shared" si="161"/>
        <v>2.2136960404907659E-3</v>
      </c>
      <c r="G223">
        <f t="shared" si="162"/>
        <v>1.842256889076627E-2</v>
      </c>
      <c r="H223">
        <f t="shared" si="163"/>
        <v>-3.123170081109234</v>
      </c>
      <c r="J223">
        <f t="shared" si="164"/>
        <v>15</v>
      </c>
      <c r="M223">
        <f t="shared" si="165"/>
        <v>2.8250457828471954E-2</v>
      </c>
      <c r="N223">
        <f t="shared" si="166"/>
        <v>-1.5707963250000001</v>
      </c>
      <c r="O223">
        <f t="shared" si="167"/>
        <v>25.491968937430311</v>
      </c>
      <c r="P223">
        <f t="shared" si="168"/>
        <v>1.5315582179842873</v>
      </c>
      <c r="Q223">
        <f t="shared" si="169"/>
        <v>24.147599791610986</v>
      </c>
      <c r="R223">
        <f t="shared" si="170"/>
        <v>1.5293724977257057</v>
      </c>
      <c r="S223">
        <f t="shared" si="171"/>
        <v>0.85220398151857402</v>
      </c>
      <c r="T223">
        <f t="shared" si="172"/>
        <v>-0.55061294861243115</v>
      </c>
      <c r="U223">
        <f t="shared" si="173"/>
        <v>0.99576818987092153</v>
      </c>
      <c r="V223">
        <f t="shared" si="174"/>
        <v>-9.2030410242272861E-2</v>
      </c>
      <c r="X223">
        <f t="shared" si="192"/>
        <v>-6.1679067988448892</v>
      </c>
      <c r="Y223">
        <f t="shared" si="175"/>
        <v>-125.80390388444015</v>
      </c>
      <c r="Z223">
        <f t="shared" si="193"/>
        <v>54.196096115559854</v>
      </c>
      <c r="AC223">
        <v>1</v>
      </c>
      <c r="AD223">
        <f t="shared" si="176"/>
        <v>25.472347365465001</v>
      </c>
      <c r="AE223">
        <f t="shared" si="177"/>
        <v>-1.8149384064529002E-4</v>
      </c>
      <c r="AF223">
        <f t="shared" si="178"/>
        <v>1.9665364679352002E-3</v>
      </c>
      <c r="AG223">
        <f t="shared" si="194"/>
        <v>12796.96767156987</v>
      </c>
      <c r="AH223">
        <f t="shared" si="195"/>
        <v>-1689.5546385750079</v>
      </c>
      <c r="AJ223">
        <f t="shared" si="179"/>
        <v>18000</v>
      </c>
      <c r="AK223">
        <f t="shared" si="180"/>
        <v>11051.079933940202</v>
      </c>
      <c r="AL223">
        <v>1</v>
      </c>
      <c r="AM223">
        <f t="shared" si="181"/>
        <v>24.1268849148789</v>
      </c>
      <c r="AN223">
        <f t="shared" si="196"/>
        <v>488.12369061635252</v>
      </c>
      <c r="AO223">
        <f t="shared" si="197"/>
        <v>-725.82417378648768</v>
      </c>
      <c r="AQ223">
        <f t="shared" si="182"/>
        <v>0.27993953306085884</v>
      </c>
      <c r="AR223">
        <f t="shared" si="183"/>
        <v>-52.908571748502325</v>
      </c>
      <c r="AT223">
        <f t="shared" si="209"/>
        <v>-85809.54566348654</v>
      </c>
      <c r="AU223">
        <f t="shared" si="210"/>
        <v>-677542.2553511227</v>
      </c>
      <c r="AV223">
        <f t="shared" si="198"/>
        <v>-1.6967738899293778</v>
      </c>
      <c r="AW223">
        <f t="shared" si="199"/>
        <v>-23481.501325754256</v>
      </c>
      <c r="AX223">
        <f t="shared" si="200"/>
        <v>-31464.365122784042</v>
      </c>
      <c r="AY223">
        <f t="shared" si="208"/>
        <v>-2.2119179933595476</v>
      </c>
      <c r="BA223">
        <f t="shared" si="184"/>
        <v>17.395458121248119</v>
      </c>
      <c r="BB223">
        <f t="shared" si="201"/>
        <v>24.808717413509132</v>
      </c>
      <c r="BC223">
        <f t="shared" si="202"/>
        <v>0.51514410343016981</v>
      </c>
      <c r="BD223">
        <f t="shared" si="185"/>
        <v>-150.48441699867405</v>
      </c>
      <c r="BF223">
        <f t="shared" si="186"/>
        <v>-4.739282343502607</v>
      </c>
      <c r="BG223">
        <f t="shared" si="187"/>
        <v>-144.84598023909462</v>
      </c>
      <c r="BH223">
        <f t="shared" si="203"/>
        <v>35.154019760905385</v>
      </c>
      <c r="BI223">
        <f t="shared" si="204"/>
        <v>35.154019760905385</v>
      </c>
      <c r="BJ223">
        <f t="shared" si="188"/>
        <v>0</v>
      </c>
      <c r="BK223">
        <f t="shared" si="205"/>
        <v>0</v>
      </c>
      <c r="BM223">
        <f t="shared" si="206"/>
        <v>-29.547999757011738</v>
      </c>
      <c r="BN223">
        <f t="shared" si="189"/>
        <v>-174.36156324042062</v>
      </c>
      <c r="BQ223" s="56">
        <f t="shared" si="207"/>
        <v>41.710678213794267</v>
      </c>
      <c r="BR223" s="59"/>
      <c r="BS223" s="59"/>
      <c r="BT223" s="59">
        <v>13489.629000000001</v>
      </c>
      <c r="BU223" s="59">
        <v>-3.8779599999999999</v>
      </c>
      <c r="BV223" s="59">
        <v>-197.578</v>
      </c>
      <c r="BW223" s="61"/>
      <c r="BY223" s="59"/>
      <c r="BZ223" s="59"/>
      <c r="CA223" s="59"/>
      <c r="CC223" s="59"/>
    </row>
    <row r="224" spans="1:81" x14ac:dyDescent="0.25">
      <c r="A224">
        <f t="shared" si="190"/>
        <v>95000</v>
      </c>
      <c r="B224">
        <f t="shared" si="191"/>
        <v>95</v>
      </c>
      <c r="C224">
        <f t="shared" si="159"/>
        <v>1.0032414638494245</v>
      </c>
      <c r="D224">
        <f t="shared" si="160"/>
        <v>8.0408110212504602E-2</v>
      </c>
      <c r="F224">
        <f t="shared" si="161"/>
        <v>2.1904071042570918E-3</v>
      </c>
      <c r="G224">
        <f t="shared" si="162"/>
        <v>1.832519387712523E-2</v>
      </c>
      <c r="H224">
        <f t="shared" si="163"/>
        <v>-3.1232674561228748</v>
      </c>
      <c r="J224">
        <f t="shared" si="164"/>
        <v>15</v>
      </c>
      <c r="M224">
        <f t="shared" si="165"/>
        <v>2.81017712083221E-2</v>
      </c>
      <c r="N224">
        <f t="shared" si="166"/>
        <v>-1.5707963250000001</v>
      </c>
      <c r="O224">
        <f t="shared" si="167"/>
        <v>25.626640069547758</v>
      </c>
      <c r="P224">
        <f t="shared" si="168"/>
        <v>1.5317645241072768</v>
      </c>
      <c r="Q224">
        <f t="shared" si="169"/>
        <v>24.275146334474861</v>
      </c>
      <c r="R224">
        <f t="shared" si="170"/>
        <v>1.5295902705210629</v>
      </c>
      <c r="S224">
        <f t="shared" si="171"/>
        <v>0.85096906976834774</v>
      </c>
      <c r="T224">
        <f t="shared" si="172"/>
        <v>-0.55296869289953876</v>
      </c>
      <c r="U224">
        <f t="shared" si="173"/>
        <v>0.99572357794852528</v>
      </c>
      <c r="V224">
        <f t="shared" si="174"/>
        <v>-9.2514577190357133E-2</v>
      </c>
      <c r="X224">
        <f t="shared" si="192"/>
        <v>-6.2267728585678492</v>
      </c>
      <c r="Y224">
        <f t="shared" si="175"/>
        <v>-125.92375601176263</v>
      </c>
      <c r="Z224">
        <f t="shared" si="193"/>
        <v>54.076243988237366</v>
      </c>
      <c r="AC224">
        <v>1</v>
      </c>
      <c r="AD224">
        <f t="shared" si="176"/>
        <v>25.607121690150002</v>
      </c>
      <c r="AE224">
        <f t="shared" si="177"/>
        <v>-1.8341949125990232E-4</v>
      </c>
      <c r="AF224">
        <f t="shared" si="178"/>
        <v>1.976941422792E-3</v>
      </c>
      <c r="AG224">
        <f t="shared" si="194"/>
        <v>12795.821050205692</v>
      </c>
      <c r="AH224">
        <f t="shared" si="195"/>
        <v>-1693.0208192787841</v>
      </c>
      <c r="AJ224">
        <f t="shared" si="179"/>
        <v>18000</v>
      </c>
      <c r="AK224">
        <f t="shared" si="180"/>
        <v>11109.551256342002</v>
      </c>
      <c r="AL224">
        <v>1</v>
      </c>
      <c r="AM224">
        <f t="shared" si="181"/>
        <v>24.254540390618999</v>
      </c>
      <c r="AN224">
        <f t="shared" si="196"/>
        <v>487.80839018165807</v>
      </c>
      <c r="AO224">
        <f t="shared" si="197"/>
        <v>-722.01704620185615</v>
      </c>
      <c r="AQ224">
        <f t="shared" si="182"/>
        <v>0.27700063710146533</v>
      </c>
      <c r="AR224">
        <f t="shared" si="183"/>
        <v>-52.630121049278415</v>
      </c>
      <c r="AT224">
        <f t="shared" si="209"/>
        <v>-85559.440074447601</v>
      </c>
      <c r="AU224">
        <f t="shared" si="210"/>
        <v>-673914.57864279661</v>
      </c>
      <c r="AV224">
        <f t="shared" si="198"/>
        <v>-1.6970795973752781</v>
      </c>
      <c r="AW224">
        <f t="shared" si="199"/>
        <v>-23082.207727191148</v>
      </c>
      <c r="AX224">
        <f t="shared" si="200"/>
        <v>-31293.87416575291</v>
      </c>
      <c r="AY224">
        <f t="shared" si="208"/>
        <v>-2.2063109031153707</v>
      </c>
      <c r="BA224">
        <f t="shared" si="184"/>
        <v>17.469783479002114</v>
      </c>
      <c r="BB224">
        <f t="shared" si="201"/>
        <v>24.845750447160249</v>
      </c>
      <c r="BC224">
        <f t="shared" si="202"/>
        <v>0.50923130574009257</v>
      </c>
      <c r="BD224">
        <f t="shared" si="185"/>
        <v>-150.82319535181728</v>
      </c>
      <c r="BF224">
        <f t="shared" si="186"/>
        <v>-4.7938181205722756</v>
      </c>
      <c r="BG224">
        <f t="shared" si="187"/>
        <v>-145.16619372363564</v>
      </c>
      <c r="BH224">
        <f t="shared" si="203"/>
        <v>34.833806276364356</v>
      </c>
      <c r="BI224">
        <f t="shared" si="204"/>
        <v>34.833806276364356</v>
      </c>
      <c r="BJ224">
        <f t="shared" si="188"/>
        <v>0</v>
      </c>
      <c r="BK224">
        <f t="shared" si="205"/>
        <v>0</v>
      </c>
      <c r="BM224">
        <f t="shared" si="206"/>
        <v>-29.639568567732525</v>
      </c>
      <c r="BN224">
        <f t="shared" si="189"/>
        <v>-174.34299837181837</v>
      </c>
      <c r="BQ224" s="56">
        <f t="shared" si="207"/>
        <v>41.747711247445388</v>
      </c>
      <c r="BR224" s="59"/>
      <c r="BS224" s="59"/>
      <c r="BT224" s="59">
        <v>13803.843000000001</v>
      </c>
      <c r="BU224" s="59">
        <v>-4.0306600000000001</v>
      </c>
      <c r="BV224" s="59">
        <v>-195.64599999999999</v>
      </c>
      <c r="BW224" s="61"/>
      <c r="BY224" s="59"/>
      <c r="BZ224" s="59"/>
      <c r="CA224" s="59"/>
      <c r="CC224" s="59"/>
    </row>
    <row r="225" spans="1:81" x14ac:dyDescent="0.25">
      <c r="A225">
        <f t="shared" si="190"/>
        <v>95500</v>
      </c>
      <c r="B225">
        <f t="shared" si="191"/>
        <v>95.5</v>
      </c>
      <c r="C225">
        <f t="shared" si="159"/>
        <v>1.0032756184645371</v>
      </c>
      <c r="D225">
        <f t="shared" si="160"/>
        <v>8.0829474691845399E-2</v>
      </c>
      <c r="F225">
        <f t="shared" si="161"/>
        <v>2.1674840050581699E-3</v>
      </c>
      <c r="G225">
        <f t="shared" si="162"/>
        <v>1.8228844967918757E-2</v>
      </c>
      <c r="H225">
        <f t="shared" si="163"/>
        <v>-3.1233638050320813</v>
      </c>
      <c r="J225">
        <f t="shared" si="164"/>
        <v>15</v>
      </c>
      <c r="M225">
        <f t="shared" si="165"/>
        <v>2.7954641516131931E-2</v>
      </c>
      <c r="N225">
        <f t="shared" si="166"/>
        <v>-1.5707963250000001</v>
      </c>
      <c r="O225">
        <f t="shared" si="167"/>
        <v>25.761312280987905</v>
      </c>
      <c r="P225">
        <f t="shared" si="168"/>
        <v>1.5319686732290569</v>
      </c>
      <c r="Q225">
        <f t="shared" si="169"/>
        <v>24.402694016552736</v>
      </c>
      <c r="R225">
        <f t="shared" si="170"/>
        <v>1.5298057668225511</v>
      </c>
      <c r="S225">
        <f t="shared" si="171"/>
        <v>0.84973303665697275</v>
      </c>
      <c r="T225">
        <f t="shared" si="172"/>
        <v>-0.55531760675040254</v>
      </c>
      <c r="U225">
        <f t="shared" si="173"/>
        <v>0.99567873665006024</v>
      </c>
      <c r="V225">
        <f t="shared" si="174"/>
        <v>-9.2998700644085233E-2</v>
      </c>
      <c r="X225">
        <f t="shared" si="192"/>
        <v>-6.28542323024603</v>
      </c>
      <c r="Y225">
        <f t="shared" si="175"/>
        <v>-126.04341116056557</v>
      </c>
      <c r="Z225">
        <f t="shared" si="193"/>
        <v>53.956588839434431</v>
      </c>
      <c r="AC225">
        <v>1</v>
      </c>
      <c r="AD225">
        <f t="shared" si="176"/>
        <v>25.741896014835</v>
      </c>
      <c r="AE225">
        <f t="shared" si="177"/>
        <v>-1.8535530361918275E-4</v>
      </c>
      <c r="AF225">
        <f t="shared" si="178"/>
        <v>1.9873463776487999E-3</v>
      </c>
      <c r="AG225">
        <f t="shared" si="194"/>
        <v>12794.668585156704</v>
      </c>
      <c r="AH225">
        <f t="shared" si="195"/>
        <v>-1696.5133598388534</v>
      </c>
      <c r="AJ225">
        <f t="shared" si="179"/>
        <v>18000</v>
      </c>
      <c r="AK225">
        <f t="shared" si="180"/>
        <v>11168.022578743799</v>
      </c>
      <c r="AL225">
        <v>1</v>
      </c>
      <c r="AM225">
        <f t="shared" si="181"/>
        <v>24.382195866359101</v>
      </c>
      <c r="AN225">
        <f t="shared" si="196"/>
        <v>487.49801804538345</v>
      </c>
      <c r="AO225">
        <f t="shared" si="197"/>
        <v>-718.24958170060393</v>
      </c>
      <c r="AQ225">
        <f t="shared" si="182"/>
        <v>0.2741077791787731</v>
      </c>
      <c r="AR225">
        <f t="shared" si="183"/>
        <v>-52.354585823145662</v>
      </c>
      <c r="AT225">
        <f t="shared" si="209"/>
        <v>-85313.136106590726</v>
      </c>
      <c r="AU225">
        <f t="shared" si="210"/>
        <v>-670324.60202970484</v>
      </c>
      <c r="AV225">
        <f t="shared" si="198"/>
        <v>-1.6973871267484137</v>
      </c>
      <c r="AW225">
        <f t="shared" si="199"/>
        <v>-22689.179728303094</v>
      </c>
      <c r="AX225">
        <f t="shared" si="200"/>
        <v>-31125.529002334901</v>
      </c>
      <c r="AY225">
        <f t="shared" si="208"/>
        <v>-2.2006934933061095</v>
      </c>
      <c r="BA225">
        <f t="shared" si="184"/>
        <v>17.543502020409353</v>
      </c>
      <c r="BB225">
        <f t="shared" si="201"/>
        <v>24.882325824303891</v>
      </c>
      <c r="BC225">
        <f t="shared" si="202"/>
        <v>0.50330636655769578</v>
      </c>
      <c r="BD225">
        <f t="shared" si="185"/>
        <v>-151.16266936122821</v>
      </c>
      <c r="BF225">
        <f t="shared" si="186"/>
        <v>-4.8483258052811493</v>
      </c>
      <c r="BG225">
        <f t="shared" si="187"/>
        <v>-145.4870457125806</v>
      </c>
      <c r="BH225">
        <f t="shared" si="203"/>
        <v>34.512954287419404</v>
      </c>
      <c r="BI225">
        <f t="shared" si="204"/>
        <v>34.512954287419404</v>
      </c>
      <c r="BJ225">
        <f t="shared" si="188"/>
        <v>0</v>
      </c>
      <c r="BK225">
        <f t="shared" si="205"/>
        <v>0</v>
      </c>
      <c r="BM225">
        <f t="shared" si="206"/>
        <v>-29.730651629585047</v>
      </c>
      <c r="BN225">
        <f t="shared" si="189"/>
        <v>-174.32437635135236</v>
      </c>
      <c r="BQ225" s="56">
        <f t="shared" si="207"/>
        <v>41.784286624589029</v>
      </c>
      <c r="BR225" s="59"/>
      <c r="BS225" s="59"/>
      <c r="BT225" s="59">
        <v>14125.375</v>
      </c>
      <c r="BU225" s="59">
        <v>-4.0179099999999996</v>
      </c>
      <c r="BV225" s="59">
        <v>-192.58199999999999</v>
      </c>
      <c r="BW225" s="61"/>
      <c r="BY225" s="59"/>
      <c r="BZ225" s="59"/>
      <c r="CA225" s="59"/>
      <c r="CC225" s="59"/>
    </row>
    <row r="226" spans="1:81" x14ac:dyDescent="0.25">
      <c r="A226">
        <f t="shared" si="190"/>
        <v>96000</v>
      </c>
      <c r="B226">
        <f t="shared" si="191"/>
        <v>96</v>
      </c>
      <c r="C226">
        <f t="shared" si="159"/>
        <v>1.0033099511971075</v>
      </c>
      <c r="D226">
        <f t="shared" si="160"/>
        <v>8.1250810408252827E-2</v>
      </c>
      <c r="F226">
        <f t="shared" si="161"/>
        <v>2.1449191153262242E-3</v>
      </c>
      <c r="G226">
        <f t="shared" si="162"/>
        <v>1.8133505996066682E-2</v>
      </c>
      <c r="H226">
        <f t="shared" si="163"/>
        <v>-3.1234591440039337</v>
      </c>
      <c r="J226">
        <f t="shared" si="164"/>
        <v>15</v>
      </c>
      <c r="M226">
        <f t="shared" si="165"/>
        <v>2.7809044424902084E-2</v>
      </c>
      <c r="N226">
        <f t="shared" si="166"/>
        <v>-1.5707963250000001</v>
      </c>
      <c r="O226">
        <f t="shared" si="167"/>
        <v>25.895985554911675</v>
      </c>
      <c r="P226">
        <f t="shared" si="168"/>
        <v>1.5321706989852319</v>
      </c>
      <c r="Q226">
        <f t="shared" si="169"/>
        <v>24.530242820074204</v>
      </c>
      <c r="R226">
        <f t="shared" si="170"/>
        <v>1.5300190221209475</v>
      </c>
      <c r="S226">
        <f t="shared" si="171"/>
        <v>0.84849592789243145</v>
      </c>
      <c r="T226">
        <f t="shared" si="172"/>
        <v>-0.55765969402195681</v>
      </c>
      <c r="U226">
        <f t="shared" si="173"/>
        <v>0.99563366606956794</v>
      </c>
      <c r="V226">
        <f t="shared" si="174"/>
        <v>-9.3482780382415059E-2</v>
      </c>
      <c r="X226">
        <f t="shared" si="192"/>
        <v>-6.3438601724971209</v>
      </c>
      <c r="Y226">
        <f t="shared" si="175"/>
        <v>-126.16286651323085</v>
      </c>
      <c r="Z226">
        <f t="shared" si="193"/>
        <v>53.837133486769147</v>
      </c>
      <c r="AC226">
        <v>1</v>
      </c>
      <c r="AD226">
        <f t="shared" si="176"/>
        <v>25.876670339520004</v>
      </c>
      <c r="AE226">
        <f t="shared" si="177"/>
        <v>-1.8730127772313129E-4</v>
      </c>
      <c r="AF226">
        <f t="shared" si="178"/>
        <v>1.9977513325056002E-3</v>
      </c>
      <c r="AG226">
        <f t="shared" si="194"/>
        <v>12793.51027963617</v>
      </c>
      <c r="AH226">
        <f t="shared" si="195"/>
        <v>-1700.0318141098519</v>
      </c>
      <c r="AJ226">
        <f t="shared" si="179"/>
        <v>18000</v>
      </c>
      <c r="AK226">
        <f t="shared" si="180"/>
        <v>11226.493901145601</v>
      </c>
      <c r="AL226">
        <v>1</v>
      </c>
      <c r="AM226">
        <f t="shared" si="181"/>
        <v>24.5098513420992</v>
      </c>
      <c r="AN226">
        <f t="shared" si="196"/>
        <v>487.19247208769156</v>
      </c>
      <c r="AO226">
        <f t="shared" si="197"/>
        <v>-714.52116471353463</v>
      </c>
      <c r="AQ226">
        <f t="shared" si="182"/>
        <v>0.27126000271260003</v>
      </c>
      <c r="AR226">
        <f t="shared" si="183"/>
        <v>-52.081920520819203</v>
      </c>
      <c r="AT226">
        <f t="shared" si="209"/>
        <v>-85070.554192175608</v>
      </c>
      <c r="AU226">
        <f t="shared" si="210"/>
        <v>-666771.73620080145</v>
      </c>
      <c r="AV226">
        <f t="shared" si="198"/>
        <v>-1.6976964487479043</v>
      </c>
      <c r="AW226">
        <f t="shared" si="199"/>
        <v>-22302.287684406365</v>
      </c>
      <c r="AX226">
        <f t="shared" si="200"/>
        <v>-30959.290076658373</v>
      </c>
      <c r="AY226">
        <f t="shared" si="208"/>
        <v>-2.19506607446649</v>
      </c>
      <c r="BA226">
        <f t="shared" si="184"/>
        <v>17.616605087773593</v>
      </c>
      <c r="BB226">
        <f t="shared" si="201"/>
        <v>24.918444376976836</v>
      </c>
      <c r="BC226">
        <f t="shared" si="202"/>
        <v>0.49736962571858578</v>
      </c>
      <c r="BD226">
        <f t="shared" si="185"/>
        <v>-151.50281955576085</v>
      </c>
      <c r="BF226">
        <f t="shared" si="186"/>
        <v>-4.9028096540985571</v>
      </c>
      <c r="BG226">
        <f t="shared" si="187"/>
        <v>-145.80851766949385</v>
      </c>
      <c r="BH226">
        <f t="shared" si="203"/>
        <v>34.191482330506147</v>
      </c>
      <c r="BI226">
        <f t="shared" si="204"/>
        <v>34.191482330506147</v>
      </c>
      <c r="BJ226">
        <f t="shared" si="188"/>
        <v>0</v>
      </c>
      <c r="BK226">
        <f t="shared" si="205"/>
        <v>0</v>
      </c>
      <c r="BM226">
        <f t="shared" si="206"/>
        <v>-29.821254031075398</v>
      </c>
      <c r="BN226">
        <f t="shared" si="189"/>
        <v>-174.305698113733</v>
      </c>
      <c r="BQ226" s="56">
        <f t="shared" si="207"/>
        <v>41.820405177261975</v>
      </c>
      <c r="BR226" s="59"/>
      <c r="BS226" s="59"/>
      <c r="BT226" s="59">
        <v>14454.397999999999</v>
      </c>
      <c r="BU226" s="59">
        <v>-3.9652699999999999</v>
      </c>
      <c r="BV226" s="59">
        <v>-192.25399999999999</v>
      </c>
      <c r="BW226" s="61"/>
      <c r="BY226" s="59"/>
      <c r="BZ226" s="59"/>
      <c r="CA226" s="59"/>
      <c r="CC226" s="59"/>
    </row>
    <row r="227" spans="1:81" x14ac:dyDescent="0.25">
      <c r="A227">
        <f t="shared" si="190"/>
        <v>96500</v>
      </c>
      <c r="B227">
        <f t="shared" si="191"/>
        <v>96.5</v>
      </c>
      <c r="C227">
        <f t="shared" si="159"/>
        <v>1.0033444620288512</v>
      </c>
      <c r="D227">
        <f t="shared" si="160"/>
        <v>8.1672117215092974E-2</v>
      </c>
      <c r="F227">
        <f t="shared" si="161"/>
        <v>2.1227050053828338E-3</v>
      </c>
      <c r="G227">
        <f t="shared" si="162"/>
        <v>1.8039161133021089E-2</v>
      </c>
      <c r="H227">
        <f t="shared" si="163"/>
        <v>-3.1235534888669791</v>
      </c>
      <c r="J227">
        <f t="shared" si="164"/>
        <v>15</v>
      </c>
      <c r="M227">
        <f t="shared" si="165"/>
        <v>2.766495611181969E-2</v>
      </c>
      <c r="N227">
        <f t="shared" si="166"/>
        <v>-1.5707963250000001</v>
      </c>
      <c r="O227">
        <f t="shared" si="167"/>
        <v>26.030659874828352</v>
      </c>
      <c r="P227">
        <f t="shared" si="168"/>
        <v>1.5323706343160273</v>
      </c>
      <c r="Q227">
        <f t="shared" si="169"/>
        <v>24.657792727636387</v>
      </c>
      <c r="R227">
        <f t="shared" si="170"/>
        <v>1.5302300711735064</v>
      </c>
      <c r="S227">
        <f t="shared" si="171"/>
        <v>0.84725778879284486</v>
      </c>
      <c r="T227">
        <f t="shared" si="172"/>
        <v>-0.55999495884831907</v>
      </c>
      <c r="U227">
        <f t="shared" si="173"/>
        <v>0.99558836630154801</v>
      </c>
      <c r="V227">
        <f t="shared" si="174"/>
        <v>-9.3966816184426413E-2</v>
      </c>
      <c r="X227">
        <f t="shared" si="192"/>
        <v>-6.4020859037498621</v>
      </c>
      <c r="Y227">
        <f t="shared" si="175"/>
        <v>-126.28211933049867</v>
      </c>
      <c r="Z227">
        <f t="shared" si="193"/>
        <v>53.717880669501326</v>
      </c>
      <c r="AC227">
        <v>1</v>
      </c>
      <c r="AD227">
        <f t="shared" si="176"/>
        <v>26.011444664205001</v>
      </c>
      <c r="AE227">
        <f t="shared" si="177"/>
        <v>-1.8925741357174791E-4</v>
      </c>
      <c r="AF227">
        <f t="shared" si="178"/>
        <v>2.0081562873624E-3</v>
      </c>
      <c r="AG227">
        <f t="shared" si="194"/>
        <v>12792.346136872766</v>
      </c>
      <c r="AH227">
        <f t="shared" si="195"/>
        <v>-1703.5757450295027</v>
      </c>
      <c r="AJ227">
        <f t="shared" si="179"/>
        <v>18000</v>
      </c>
      <c r="AK227">
        <f t="shared" si="180"/>
        <v>11284.9652235474</v>
      </c>
      <c r="AL227">
        <v>1</v>
      </c>
      <c r="AM227">
        <f t="shared" si="181"/>
        <v>24.637506817839302</v>
      </c>
      <c r="AN227">
        <f t="shared" si="196"/>
        <v>486.8916528187101</v>
      </c>
      <c r="AO227">
        <f t="shared" si="197"/>
        <v>-710.83119232261595</v>
      </c>
      <c r="AQ227">
        <f t="shared" si="182"/>
        <v>0.26845637583892618</v>
      </c>
      <c r="AR227">
        <f t="shared" si="183"/>
        <v>-51.812080536912752</v>
      </c>
      <c r="AT227">
        <f t="shared" si="209"/>
        <v>-84831.616819817791</v>
      </c>
      <c r="AU227">
        <f t="shared" si="210"/>
        <v>-663255.40407019423</v>
      </c>
      <c r="AV227">
        <f t="shared" si="198"/>
        <v>-1.6980075346739536</v>
      </c>
      <c r="AW227">
        <f t="shared" si="199"/>
        <v>-21921.405287881018</v>
      </c>
      <c r="AX227">
        <f t="shared" si="200"/>
        <v>-30795.118805925958</v>
      </c>
      <c r="AY227">
        <f t="shared" si="208"/>
        <v>-2.1894289602537444</v>
      </c>
      <c r="BA227">
        <f t="shared" si="184"/>
        <v>17.689084103700797</v>
      </c>
      <c r="BB227">
        <f t="shared" si="201"/>
        <v>24.954106936310581</v>
      </c>
      <c r="BC227">
        <f t="shared" si="202"/>
        <v>0.49142142557979085</v>
      </c>
      <c r="BD227">
        <f t="shared" si="185"/>
        <v>-151.84362631980235</v>
      </c>
      <c r="BF227">
        <f t="shared" si="186"/>
        <v>-4.9572738444611977</v>
      </c>
      <c r="BG227">
        <f t="shared" si="187"/>
        <v>-146.13059089407315</v>
      </c>
      <c r="BH227">
        <f t="shared" si="203"/>
        <v>33.869409105926849</v>
      </c>
      <c r="BI227">
        <f t="shared" si="204"/>
        <v>33.869409105926849</v>
      </c>
      <c r="BJ227">
        <f t="shared" si="188"/>
        <v>0</v>
      </c>
      <c r="BK227">
        <f t="shared" si="205"/>
        <v>0</v>
      </c>
      <c r="BM227">
        <f t="shared" si="206"/>
        <v>-29.911380780771779</v>
      </c>
      <c r="BN227">
        <f t="shared" si="189"/>
        <v>-174.28696457427077</v>
      </c>
      <c r="BQ227" s="56">
        <f t="shared" si="207"/>
        <v>41.856067736595719</v>
      </c>
      <c r="BR227" s="59"/>
      <c r="BS227" s="59"/>
      <c r="BT227" s="59">
        <v>14791.084000000001</v>
      </c>
      <c r="BU227" s="59">
        <v>-3.9583900000000001</v>
      </c>
      <c r="BV227" s="59">
        <v>-191.02600000000001</v>
      </c>
      <c r="BW227" s="61"/>
      <c r="BY227" s="59"/>
      <c r="BZ227" s="59"/>
      <c r="CA227" s="59"/>
      <c r="CC227" s="59"/>
    </row>
    <row r="228" spans="1:81" x14ac:dyDescent="0.25">
      <c r="A228">
        <f t="shared" si="190"/>
        <v>97000</v>
      </c>
      <c r="B228">
        <f t="shared" si="191"/>
        <v>97</v>
      </c>
      <c r="C228">
        <f t="shared" si="159"/>
        <v>1.0033791509413912</v>
      </c>
      <c r="D228">
        <f t="shared" si="160"/>
        <v>8.2093394965793182E-2</v>
      </c>
      <c r="F228">
        <f t="shared" si="161"/>
        <v>2.1008344373059209E-3</v>
      </c>
      <c r="G228">
        <f t="shared" si="162"/>
        <v>1.7945794879934477E-2</v>
      </c>
      <c r="H228">
        <f t="shared" si="163"/>
        <v>-3.1236468551200658</v>
      </c>
      <c r="J228">
        <f t="shared" si="164"/>
        <v>15</v>
      </c>
      <c r="M228">
        <f t="shared" si="165"/>
        <v>2.7522353245263916E-2</v>
      </c>
      <c r="N228">
        <f t="shared" si="166"/>
        <v>-1.5707963250000001</v>
      </c>
      <c r="O228">
        <f t="shared" si="167"/>
        <v>26.165335224586595</v>
      </c>
      <c r="P228">
        <f t="shared" si="168"/>
        <v>1.5325685114841603</v>
      </c>
      <c r="Q228">
        <f t="shared" si="169"/>
        <v>24.785343722194511</v>
      </c>
      <c r="R228">
        <f t="shared" si="170"/>
        <v>1.5304389480228031</v>
      </c>
      <c r="S228">
        <f t="shared" si="171"/>
        <v>0.84601866428607053</v>
      </c>
      <c r="T228">
        <f t="shared" si="172"/>
        <v>-0.56232340563720395</v>
      </c>
      <c r="U228">
        <f t="shared" si="173"/>
        <v>0.9955428374409574</v>
      </c>
      <c r="V228">
        <f t="shared" si="174"/>
        <v>-9.4450807829321512E-2</v>
      </c>
      <c r="X228">
        <f t="shared" si="192"/>
        <v>-6.4601026031534694</v>
      </c>
      <c r="Y228">
        <f t="shared" si="175"/>
        <v>-126.40116694966488</v>
      </c>
      <c r="Z228">
        <f t="shared" si="193"/>
        <v>53.598833050335116</v>
      </c>
      <c r="AC228">
        <v>1</v>
      </c>
      <c r="AD228">
        <f t="shared" si="176"/>
        <v>26.146218988890002</v>
      </c>
      <c r="AE228">
        <f t="shared" si="177"/>
        <v>-1.9122371116503273E-4</v>
      </c>
      <c r="AF228">
        <f t="shared" si="178"/>
        <v>2.0185612422191999E-3</v>
      </c>
      <c r="AG228">
        <f t="shared" si="194"/>
        <v>12791.176160110535</v>
      </c>
      <c r="AH228">
        <f t="shared" si="195"/>
        <v>-1707.1447243847474</v>
      </c>
      <c r="AJ228">
        <f t="shared" si="179"/>
        <v>18000</v>
      </c>
      <c r="AK228">
        <f t="shared" si="180"/>
        <v>11343.4365459492</v>
      </c>
      <c r="AL228">
        <v>1</v>
      </c>
      <c r="AM228">
        <f t="shared" si="181"/>
        <v>24.765162293579401</v>
      </c>
      <c r="AN228">
        <f t="shared" si="196"/>
        <v>486.59546329771553</v>
      </c>
      <c r="AO228">
        <f t="shared" si="197"/>
        <v>-707.17907393818291</v>
      </c>
      <c r="AQ228">
        <f t="shared" si="182"/>
        <v>0.26569599064750116</v>
      </c>
      <c r="AR228">
        <f t="shared" si="183"/>
        <v>-51.545022185615217</v>
      </c>
      <c r="AT228">
        <f t="shared" si="209"/>
        <v>-84596.248471060506</v>
      </c>
      <c r="AU228">
        <f t="shared" si="210"/>
        <v>-659775.04046173405</v>
      </c>
      <c r="AV228">
        <f t="shared" si="198"/>
        <v>-1.6983203564124141</v>
      </c>
      <c r="AW228">
        <f t="shared" si="199"/>
        <v>-21546.40946568413</v>
      </c>
      <c r="AX228">
        <f t="shared" si="200"/>
        <v>-30632.977550644908</v>
      </c>
      <c r="AY228">
        <f t="shared" si="208"/>
        <v>-2.1837824673881885</v>
      </c>
      <c r="BA228">
        <f t="shared" si="184"/>
        <v>17.760930576207279</v>
      </c>
      <c r="BB228">
        <f t="shared" si="201"/>
        <v>24.989314334171631</v>
      </c>
      <c r="BC228">
        <f t="shared" si="202"/>
        <v>0.48546211097577441</v>
      </c>
      <c r="BD228">
        <f t="shared" si="185"/>
        <v>-152.18506989579333</v>
      </c>
      <c r="BF228">
        <f t="shared" si="186"/>
        <v>-5.0117224748018554</v>
      </c>
      <c r="BG228">
        <f t="shared" si="187"/>
        <v>-146.45324652517556</v>
      </c>
      <c r="BH228">
        <f t="shared" si="203"/>
        <v>33.546753474824442</v>
      </c>
      <c r="BI228">
        <f t="shared" si="204"/>
        <v>33.546753474824442</v>
      </c>
      <c r="BJ228">
        <f t="shared" si="188"/>
        <v>0</v>
      </c>
      <c r="BK228">
        <f t="shared" si="205"/>
        <v>0</v>
      </c>
      <c r="BM228">
        <f t="shared" si="206"/>
        <v>-30.001036808973488</v>
      </c>
      <c r="BN228">
        <f t="shared" si="189"/>
        <v>-174.26817662938222</v>
      </c>
      <c r="BQ228" s="56">
        <f t="shared" si="207"/>
        <v>41.89127513445677</v>
      </c>
      <c r="BR228" s="59"/>
      <c r="BS228" s="59"/>
      <c r="BT228" s="59">
        <v>15135.611999999999</v>
      </c>
      <c r="BU228" s="59">
        <v>-3.8792200000000001</v>
      </c>
      <c r="BV228" s="59">
        <v>-189.453</v>
      </c>
      <c r="BW228" s="61"/>
      <c r="BY228" s="59"/>
      <c r="BZ228" s="59"/>
      <c r="CA228" s="59"/>
      <c r="CC228" s="59"/>
    </row>
    <row r="229" spans="1:81" x14ac:dyDescent="0.25">
      <c r="A229">
        <f t="shared" si="190"/>
        <v>97500</v>
      </c>
      <c r="B229">
        <f t="shared" si="191"/>
        <v>97.5</v>
      </c>
      <c r="C229">
        <f t="shared" si="159"/>
        <v>1.0034140179162581</v>
      </c>
      <c r="D229">
        <f t="shared" si="160"/>
        <v>8.2514643513842231E-2</v>
      </c>
      <c r="F229">
        <f t="shared" si="161"/>
        <v>2.0793003590174873E-3</v>
      </c>
      <c r="G229">
        <f t="shared" si="162"/>
        <v>1.7853392059103485E-2</v>
      </c>
      <c r="H229">
        <f t="shared" si="163"/>
        <v>-3.1237392579408967</v>
      </c>
      <c r="J229">
        <f t="shared" si="164"/>
        <v>15</v>
      </c>
      <c r="M229">
        <f t="shared" si="165"/>
        <v>2.7381212972211279E-2</v>
      </c>
      <c r="N229">
        <f t="shared" si="166"/>
        <v>-1.5707963250000001</v>
      </c>
      <c r="O229">
        <f t="shared" si="167"/>
        <v>26.300011588365773</v>
      </c>
      <c r="P229">
        <f t="shared" si="168"/>
        <v>1.5327643620921596</v>
      </c>
      <c r="Q229">
        <f t="shared" si="169"/>
        <v>24.912895787052708</v>
      </c>
      <c r="R229">
        <f t="shared" si="170"/>
        <v>1.5306456860149991</v>
      </c>
      <c r="S229">
        <f t="shared" si="171"/>
        <v>0.84477859890938056</v>
      </c>
      <c r="T229">
        <f t="shared" si="172"/>
        <v>-0.56464503906634622</v>
      </c>
      <c r="U229">
        <f t="shared" si="173"/>
        <v>0.99549707958321054</v>
      </c>
      <c r="V229">
        <f t="shared" si="174"/>
        <v>-9.4934755096425655E-2</v>
      </c>
      <c r="X229">
        <f t="shared" si="192"/>
        <v>-6.5179124114626834</v>
      </c>
      <c r="Y229">
        <f t="shared" si="175"/>
        <v>-126.52000678282724</v>
      </c>
      <c r="Z229">
        <f t="shared" si="193"/>
        <v>53.479993217172762</v>
      </c>
      <c r="AC229">
        <v>1</v>
      </c>
      <c r="AD229">
        <f t="shared" si="176"/>
        <v>26.280993313574999</v>
      </c>
      <c r="AE229">
        <f t="shared" si="177"/>
        <v>-1.9320017050298571E-4</v>
      </c>
      <c r="AF229">
        <f t="shared" si="178"/>
        <v>2.0289661970760002E-3</v>
      </c>
      <c r="AG229">
        <f t="shared" si="194"/>
        <v>12790.000352608893</v>
      </c>
      <c r="AH229">
        <f t="shared" si="195"/>
        <v>-1710.738332585079</v>
      </c>
      <c r="AJ229">
        <f t="shared" si="179"/>
        <v>18000</v>
      </c>
      <c r="AK229">
        <f t="shared" si="180"/>
        <v>11401.907868351002</v>
      </c>
      <c r="AL229">
        <v>1</v>
      </c>
      <c r="AM229">
        <f t="shared" si="181"/>
        <v>24.8928177693195</v>
      </c>
      <c r="AN229">
        <f t="shared" si="196"/>
        <v>486.30380905519667</v>
      </c>
      <c r="AO229">
        <f t="shared" si="197"/>
        <v>-703.56423098595542</v>
      </c>
      <c r="AQ229">
        <f t="shared" si="182"/>
        <v>0.26297796244674698</v>
      </c>
      <c r="AR229">
        <f t="shared" si="183"/>
        <v>-51.280702677115656</v>
      </c>
      <c r="AT229">
        <f t="shared" si="209"/>
        <v>-84364.375559217777</v>
      </c>
      <c r="AU229">
        <f t="shared" si="210"/>
        <v>-656330.09180332383</v>
      </c>
      <c r="AV229">
        <f t="shared" si="198"/>
        <v>-1.6986348864198246</v>
      </c>
      <c r="AW229">
        <f t="shared" si="199"/>
        <v>-21177.180280514043</v>
      </c>
      <c r="AX229">
        <f t="shared" si="200"/>
        <v>-30472.829585939831</v>
      </c>
      <c r="AY229">
        <f t="shared" si="208"/>
        <v>-2.1781269155900622</v>
      </c>
      <c r="BA229">
        <f t="shared" si="184"/>
        <v>17.832136103815628</v>
      </c>
      <c r="BB229">
        <f t="shared" si="201"/>
        <v>25.024067404767223</v>
      </c>
      <c r="BC229">
        <f t="shared" si="202"/>
        <v>0.47949202917023759</v>
      </c>
      <c r="BD229">
        <f t="shared" si="185"/>
        <v>-152.52713038698931</v>
      </c>
      <c r="BF229">
        <f t="shared" si="186"/>
        <v>-5.0661595645693573</v>
      </c>
      <c r="BG229">
        <f t="shared" si="187"/>
        <v>-146.77646554406948</v>
      </c>
      <c r="BH229">
        <f t="shared" si="203"/>
        <v>33.223534455930519</v>
      </c>
      <c r="BI229">
        <f t="shared" si="204"/>
        <v>33.223534455930519</v>
      </c>
      <c r="BJ229">
        <f t="shared" si="188"/>
        <v>0</v>
      </c>
      <c r="BK229">
        <f t="shared" si="205"/>
        <v>0</v>
      </c>
      <c r="BM229">
        <f t="shared" si="206"/>
        <v>-30.090226969336577</v>
      </c>
      <c r="BN229">
        <f t="shared" si="189"/>
        <v>-174.2493351570802</v>
      </c>
      <c r="BQ229" s="56">
        <f t="shared" si="207"/>
        <v>41.926028205052361</v>
      </c>
      <c r="BR229" s="59"/>
      <c r="BS229" s="59"/>
      <c r="BT229" s="59">
        <v>15488.165999999999</v>
      </c>
      <c r="BU229" s="59">
        <v>-3.9822899999999999</v>
      </c>
      <c r="BV229" s="59">
        <v>-188.48099999999999</v>
      </c>
      <c r="BW229" s="61"/>
      <c r="BY229" s="59"/>
      <c r="BZ229" s="59"/>
      <c r="CA229" s="59"/>
      <c r="CC229" s="59"/>
    </row>
    <row r="230" spans="1:81" x14ac:dyDescent="0.25">
      <c r="A230">
        <f t="shared" si="190"/>
        <v>98000</v>
      </c>
      <c r="B230">
        <f t="shared" si="191"/>
        <v>98</v>
      </c>
      <c r="C230">
        <f t="shared" si="159"/>
        <v>1.0034490629348907</v>
      </c>
      <c r="D230">
        <f t="shared" si="160"/>
        <v>8.2935862712790687E-2</v>
      </c>
      <c r="F230">
        <f t="shared" si="161"/>
        <v>2.0580958985830762E-3</v>
      </c>
      <c r="G230">
        <f t="shared" si="162"/>
        <v>1.7761937805678259E-2</v>
      </c>
      <c r="H230">
        <f t="shared" si="163"/>
        <v>-3.1238307121943221</v>
      </c>
      <c r="J230">
        <f t="shared" si="164"/>
        <v>15</v>
      </c>
      <c r="M230">
        <f t="shared" si="165"/>
        <v>2.7241512906026527E-2</v>
      </c>
      <c r="N230">
        <f t="shared" si="166"/>
        <v>-1.5707963250000001</v>
      </c>
      <c r="O230">
        <f t="shared" si="167"/>
        <v>26.434688950667539</v>
      </c>
      <c r="P230">
        <f t="shared" si="168"/>
        <v>1.53295821709916</v>
      </c>
      <c r="Q230">
        <f t="shared" si="169"/>
        <v>25.040448905855168</v>
      </c>
      <c r="R230">
        <f t="shared" si="170"/>
        <v>1.5308503178175492</v>
      </c>
      <c r="S230">
        <f t="shared" si="171"/>
        <v>0.84353763680921834</v>
      </c>
      <c r="T230">
        <f t="shared" si="172"/>
        <v>-0.56695986407993504</v>
      </c>
      <c r="U230">
        <f t="shared" si="173"/>
        <v>0.99545109282417721</v>
      </c>
      <c r="V230">
        <f t="shared" si="174"/>
        <v>-9.5418657765187695E-2</v>
      </c>
      <c r="X230">
        <f t="shared" si="192"/>
        <v>-6.5755174318991152</v>
      </c>
      <c r="Y230">
        <f t="shared" si="175"/>
        <v>-126.63863631517923</v>
      </c>
      <c r="Z230">
        <f t="shared" si="193"/>
        <v>53.361363684820773</v>
      </c>
      <c r="AC230">
        <v>1</v>
      </c>
      <c r="AD230">
        <f t="shared" si="176"/>
        <v>26.415767638260004</v>
      </c>
      <c r="AE230">
        <f t="shared" si="177"/>
        <v>-1.9518679158560679E-4</v>
      </c>
      <c r="AF230">
        <f t="shared" si="178"/>
        <v>2.0393711519328E-3</v>
      </c>
      <c r="AG230">
        <f t="shared" si="194"/>
        <v>12788.818717642591</v>
      </c>
      <c r="AH230">
        <f t="shared" si="195"/>
        <v>-1714.3561584428144</v>
      </c>
      <c r="AJ230">
        <f t="shared" si="179"/>
        <v>18000</v>
      </c>
      <c r="AK230">
        <f t="shared" si="180"/>
        <v>11460.379190752801</v>
      </c>
      <c r="AL230">
        <v>1</v>
      </c>
      <c r="AM230">
        <f t="shared" si="181"/>
        <v>25.020473245059598</v>
      </c>
      <c r="AN230">
        <f t="shared" si="196"/>
        <v>486.01659801768324</v>
      </c>
      <c r="AO230">
        <f t="shared" si="197"/>
        <v>-699.98609660352963</v>
      </c>
      <c r="AQ230">
        <f t="shared" si="182"/>
        <v>0.26030142905484549</v>
      </c>
      <c r="AR230">
        <f t="shared" si="183"/>
        <v>-51.019080094749718</v>
      </c>
      <c r="AT230">
        <f t="shared" si="209"/>
        <v>-84135.926370395668</v>
      </c>
      <c r="AU230">
        <f t="shared" si="210"/>
        <v>-652920.01583059342</v>
      </c>
      <c r="AV230">
        <f t="shared" si="198"/>
        <v>-1.6989510977089057</v>
      </c>
      <c r="AW230">
        <f t="shared" si="199"/>
        <v>-20813.600835478133</v>
      </c>
      <c r="AX230">
        <f t="shared" si="200"/>
        <v>-30314.639073902326</v>
      </c>
      <c r="AY230">
        <f t="shared" si="208"/>
        <v>-2.1724626275126955</v>
      </c>
      <c r="BA230">
        <f t="shared" si="184"/>
        <v>17.902692380632512</v>
      </c>
      <c r="BB230">
        <f t="shared" si="201"/>
        <v>25.058366986215944</v>
      </c>
      <c r="BC230">
        <f t="shared" si="202"/>
        <v>0.47351152980378974</v>
      </c>
      <c r="BD230">
        <f t="shared" si="185"/>
        <v>-152.86978776045896</v>
      </c>
      <c r="BF230">
        <f t="shared" si="186"/>
        <v>-5.1205890542414503</v>
      </c>
      <c r="BG230">
        <f t="shared" si="187"/>
        <v>-147.10022877790774</v>
      </c>
      <c r="BH230">
        <f t="shared" si="203"/>
        <v>32.899771222092255</v>
      </c>
      <c r="BI230">
        <f t="shared" si="204"/>
        <v>32.899771222092255</v>
      </c>
      <c r="BJ230">
        <f t="shared" si="188"/>
        <v>0</v>
      </c>
      <c r="BK230">
        <f t="shared" si="205"/>
        <v>0</v>
      </c>
      <c r="BM230">
        <f t="shared" si="206"/>
        <v>-30.178956040457393</v>
      </c>
      <c r="BN230">
        <f t="shared" si="189"/>
        <v>-174.23044101744878</v>
      </c>
      <c r="BQ230" s="56">
        <f t="shared" si="207"/>
        <v>41.960327786501075</v>
      </c>
      <c r="BR230" s="59"/>
      <c r="BS230" s="59"/>
      <c r="BT230" s="59">
        <v>15848.932000000001</v>
      </c>
      <c r="BU230" s="59">
        <v>-3.9450400000000001</v>
      </c>
      <c r="BV230" s="59">
        <v>-186.14400000000001</v>
      </c>
      <c r="BW230" s="61"/>
      <c r="BY230" s="59"/>
      <c r="BZ230" s="59"/>
      <c r="CA230" s="59"/>
      <c r="CC230" s="59"/>
    </row>
    <row r="231" spans="1:81" x14ac:dyDescent="0.25">
      <c r="A231">
        <f t="shared" si="190"/>
        <v>98500</v>
      </c>
      <c r="B231">
        <f t="shared" si="191"/>
        <v>98.5</v>
      </c>
      <c r="C231">
        <f t="shared" si="159"/>
        <v>1.003484285978635</v>
      </c>
      <c r="D231">
        <f t="shared" si="160"/>
        <v>8.3357052416251173E-2</v>
      </c>
      <c r="F231">
        <f t="shared" si="161"/>
        <v>2.0372143587143146E-3</v>
      </c>
      <c r="G231">
        <f t="shared" si="162"/>
        <v>1.7671417559627728E-2</v>
      </c>
      <c r="H231">
        <f t="shared" si="163"/>
        <v>-3.1239212324403725</v>
      </c>
      <c r="J231">
        <f t="shared" si="164"/>
        <v>15</v>
      </c>
      <c r="M231">
        <f t="shared" si="165"/>
        <v>2.7103231114625377E-2</v>
      </c>
      <c r="N231">
        <f t="shared" si="166"/>
        <v>-1.5707963250000001</v>
      </c>
      <c r="O231">
        <f t="shared" si="167"/>
        <v>26.569367296307668</v>
      </c>
      <c r="P231">
        <f t="shared" si="168"/>
        <v>1.5331501068371829</v>
      </c>
      <c r="Q231">
        <f t="shared" si="169"/>
        <v>25.168003062577508</v>
      </c>
      <c r="R231">
        <f t="shared" si="170"/>
        <v>1.5310528754363739</v>
      </c>
      <c r="S231">
        <f t="shared" si="171"/>
        <v>0.84229582174103201</v>
      </c>
      <c r="T231">
        <f t="shared" si="172"/>
        <v>-0.56926788588506194</v>
      </c>
      <c r="U231">
        <f t="shared" si="173"/>
        <v>0.99540487726018401</v>
      </c>
      <c r="V231">
        <f t="shared" si="174"/>
        <v>-9.5902515615180733E-2</v>
      </c>
      <c r="X231">
        <f t="shared" si="192"/>
        <v>-6.6329197309897427</v>
      </c>
      <c r="Y231">
        <f t="shared" si="175"/>
        <v>-126.75705310335043</v>
      </c>
      <c r="Z231">
        <f t="shared" si="193"/>
        <v>53.24294689664957</v>
      </c>
      <c r="AC231">
        <v>1</v>
      </c>
      <c r="AD231">
        <f t="shared" si="176"/>
        <v>26.550541962945001</v>
      </c>
      <c r="AE231">
        <f t="shared" si="177"/>
        <v>-1.9718357441289605E-4</v>
      </c>
      <c r="AF231">
        <f t="shared" si="178"/>
        <v>2.0497761067895998E-3</v>
      </c>
      <c r="AG231">
        <f t="shared" si="194"/>
        <v>12787.631258501682</v>
      </c>
      <c r="AH231">
        <f t="shared" si="195"/>
        <v>-1717.9977989600543</v>
      </c>
      <c r="AJ231">
        <f t="shared" si="179"/>
        <v>18000</v>
      </c>
      <c r="AK231">
        <f t="shared" si="180"/>
        <v>11518.850513154601</v>
      </c>
      <c r="AL231">
        <v>1</v>
      </c>
      <c r="AM231">
        <f t="shared" si="181"/>
        <v>25.148128720799697</v>
      </c>
      <c r="AN231">
        <f t="shared" si="196"/>
        <v>485.73374043522733</v>
      </c>
      <c r="AO231">
        <f t="shared" si="197"/>
        <v>-696.44411534600374</v>
      </c>
      <c r="AQ231">
        <f t="shared" si="182"/>
        <v>0.25766555011594949</v>
      </c>
      <c r="AR231">
        <f t="shared" si="183"/>
        <v>-50.760113372842049</v>
      </c>
      <c r="AT231">
        <f t="shared" si="209"/>
        <v>-83910.831006603708</v>
      </c>
      <c r="AU231">
        <f t="shared" si="210"/>
        <v>-649544.28129961132</v>
      </c>
      <c r="AV231">
        <f t="shared" si="198"/>
        <v>-1.6992689638344924</v>
      </c>
      <c r="AW231">
        <f t="shared" si="199"/>
        <v>-20455.557182122477</v>
      </c>
      <c r="AX231">
        <f t="shared" si="200"/>
        <v>-30158.371036934434</v>
      </c>
      <c r="AY231">
        <f t="shared" si="208"/>
        <v>-2.1667899286720647</v>
      </c>
      <c r="BA231">
        <f t="shared" si="184"/>
        <v>17.972591201402498</v>
      </c>
      <c r="BB231">
        <f t="shared" si="201"/>
        <v>25.09221392208303</v>
      </c>
      <c r="BC231">
        <f t="shared" si="202"/>
        <v>0.46752096483757222</v>
      </c>
      <c r="BD231">
        <f t="shared" si="185"/>
        <v>-153.21302185031436</v>
      </c>
      <c r="BF231">
        <f t="shared" si="186"/>
        <v>-5.1750148053323528</v>
      </c>
      <c r="BG231">
        <f t="shared" si="187"/>
        <v>-147.42451690341798</v>
      </c>
      <c r="BH231">
        <f t="shared" si="203"/>
        <v>32.575483096582019</v>
      </c>
      <c r="BI231">
        <f t="shared" si="204"/>
        <v>32.575483096582019</v>
      </c>
      <c r="BJ231">
        <f t="shared" si="188"/>
        <v>0</v>
      </c>
      <c r="BK231">
        <f t="shared" si="205"/>
        <v>0</v>
      </c>
      <c r="BM231">
        <f t="shared" si="206"/>
        <v>-30.267228727415379</v>
      </c>
      <c r="BN231">
        <f t="shared" si="189"/>
        <v>-174.21149505310365</v>
      </c>
      <c r="BQ231" s="56">
        <f t="shared" si="207"/>
        <v>41.994174722368165</v>
      </c>
      <c r="BR231" s="59"/>
      <c r="BS231" s="59"/>
      <c r="BT231" s="59">
        <v>16218.101000000001</v>
      </c>
      <c r="BU231" s="59">
        <v>-3.9639700000000002</v>
      </c>
      <c r="BV231" s="59">
        <v>-185.626</v>
      </c>
      <c r="BW231" s="61"/>
      <c r="BY231" s="59"/>
      <c r="BZ231" s="59"/>
      <c r="CA231" s="59"/>
      <c r="CC231" s="59"/>
    </row>
    <row r="232" spans="1:81" x14ac:dyDescent="0.25">
      <c r="A232">
        <f t="shared" si="190"/>
        <v>99000</v>
      </c>
      <c r="B232">
        <f t="shared" si="191"/>
        <v>99</v>
      </c>
      <c r="C232">
        <f t="shared" si="159"/>
        <v>1.0035196870287455</v>
      </c>
      <c r="D232">
        <f t="shared" si="160"/>
        <v>8.3778212477898656E-2</v>
      </c>
      <c r="F232">
        <f t="shared" si="161"/>
        <v>2.0166492114663185E-3</v>
      </c>
      <c r="G232">
        <f t="shared" si="162"/>
        <v>1.7581817057951723E-2</v>
      </c>
      <c r="H232">
        <f t="shared" si="163"/>
        <v>-3.1240108329420484</v>
      </c>
      <c r="J232">
        <f t="shared" si="164"/>
        <v>15</v>
      </c>
      <c r="M232">
        <f t="shared" si="165"/>
        <v>2.6966346108995957E-2</v>
      </c>
      <c r="N232">
        <f t="shared" si="166"/>
        <v>-1.5707963250000001</v>
      </c>
      <c r="O232">
        <f t="shared" si="167"/>
        <v>26.704046610408152</v>
      </c>
      <c r="P232">
        <f t="shared" si="168"/>
        <v>1.5333400610269297</v>
      </c>
      <c r="Q232">
        <f t="shared" si="169"/>
        <v>25.295558241518432</v>
      </c>
      <c r="R232">
        <f t="shared" si="170"/>
        <v>1.5312533902325114</v>
      </c>
      <c r="S232">
        <f t="shared" si="171"/>
        <v>0.84105319706918447</v>
      </c>
      <c r="T232">
        <f t="shared" si="172"/>
        <v>-0.57156910994817922</v>
      </c>
      <c r="U232">
        <f t="shared" si="173"/>
        <v>0.9953584329880123</v>
      </c>
      <c r="V232">
        <f t="shared" si="174"/>
        <v>-9.6386328426102605E-2</v>
      </c>
      <c r="X232">
        <f t="shared" si="192"/>
        <v>-6.6901213393831851</v>
      </c>
      <c r="Y232">
        <f t="shared" si="175"/>
        <v>-126.87525477379067</v>
      </c>
      <c r="Z232">
        <f t="shared" si="193"/>
        <v>53.124745226209328</v>
      </c>
      <c r="AC232">
        <v>1</v>
      </c>
      <c r="AD232">
        <f t="shared" si="176"/>
        <v>26.685316287629998</v>
      </c>
      <c r="AE232">
        <f t="shared" si="177"/>
        <v>-1.9919051898485343E-4</v>
      </c>
      <c r="AF232">
        <f t="shared" si="178"/>
        <v>2.0601810616464001E-3</v>
      </c>
      <c r="AG232">
        <f t="shared" si="194"/>
        <v>12786.437978491524</v>
      </c>
      <c r="AH232">
        <f t="shared" si="195"/>
        <v>-1721.6628591221111</v>
      </c>
      <c r="AJ232">
        <f t="shared" si="179"/>
        <v>18000</v>
      </c>
      <c r="AK232">
        <f t="shared" si="180"/>
        <v>11577.3218355564</v>
      </c>
      <c r="AL232">
        <v>1</v>
      </c>
      <c r="AM232">
        <f t="shared" si="181"/>
        <v>25.275784196539799</v>
      </c>
      <c r="AN232">
        <f t="shared" si="196"/>
        <v>485.45514881143032</v>
      </c>
      <c r="AO232">
        <f t="shared" si="197"/>
        <v>-692.93774290042688</v>
      </c>
      <c r="AQ232">
        <f t="shared" si="182"/>
        <v>0.25506950644050502</v>
      </c>
      <c r="AR232">
        <f t="shared" si="183"/>
        <v>-50.503762275219998</v>
      </c>
      <c r="AT232">
        <f t="shared" si="209"/>
        <v>-83689.021330872711</v>
      </c>
      <c r="AU232">
        <f t="shared" si="210"/>
        <v>-646202.36770831374</v>
      </c>
      <c r="AV232">
        <f t="shared" si="198"/>
        <v>-1.6995884588798935</v>
      </c>
      <c r="AW232">
        <f t="shared" si="199"/>
        <v>-20102.938231689237</v>
      </c>
      <c r="AX232">
        <f t="shared" si="200"/>
        <v>-30003.991332044599</v>
      </c>
      <c r="AY232">
        <f t="shared" si="208"/>
        <v>-2.1611091473728195</v>
      </c>
      <c r="BA232">
        <f t="shared" si="184"/>
        <v>18.041824466532013</v>
      </c>
      <c r="BB232">
        <f t="shared" si="201"/>
        <v>25.125609062879786</v>
      </c>
      <c r="BC232">
        <f t="shared" si="202"/>
        <v>0.46152068849292593</v>
      </c>
      <c r="BD232">
        <f t="shared" si="185"/>
        <v>-153.55681236116763</v>
      </c>
      <c r="BF232">
        <f t="shared" si="186"/>
        <v>-5.2294406003965808</v>
      </c>
      <c r="BG232">
        <f t="shared" si="187"/>
        <v>-147.74931045080598</v>
      </c>
      <c r="BH232">
        <f t="shared" si="203"/>
        <v>32.250689549194021</v>
      </c>
      <c r="BI232">
        <f t="shared" si="204"/>
        <v>32.250689549194021</v>
      </c>
      <c r="BJ232">
        <f t="shared" si="188"/>
        <v>0</v>
      </c>
      <c r="BK232">
        <f t="shared" si="205"/>
        <v>0</v>
      </c>
      <c r="BM232">
        <f t="shared" si="206"/>
        <v>-30.355049663276365</v>
      </c>
      <c r="BN232">
        <f t="shared" si="189"/>
        <v>-174.19249808963835</v>
      </c>
      <c r="BQ232" s="56">
        <f t="shared" si="207"/>
        <v>42.027569863164928</v>
      </c>
      <c r="BR232" s="59"/>
      <c r="BS232" s="59"/>
      <c r="BT232" s="59">
        <v>16595.868999999999</v>
      </c>
      <c r="BU232" s="59">
        <v>-3.91065</v>
      </c>
      <c r="BV232" s="59">
        <v>-184.43100000000001</v>
      </c>
      <c r="BW232" s="61"/>
      <c r="BY232" s="59"/>
      <c r="BZ232" s="59"/>
      <c r="CA232" s="59"/>
      <c r="CC232" s="59"/>
    </row>
    <row r="233" spans="1:81" x14ac:dyDescent="0.25">
      <c r="A233">
        <f t="shared" si="190"/>
        <v>99500</v>
      </c>
      <c r="B233">
        <f t="shared" si="191"/>
        <v>99.5</v>
      </c>
      <c r="C233">
        <f t="shared" si="159"/>
        <v>1.0035552660663845</v>
      </c>
      <c r="D233">
        <f t="shared" si="160"/>
        <v>8.4199342751470757E-2</v>
      </c>
      <c r="F233">
        <f t="shared" si="161"/>
        <v>1.996394093122095E-3</v>
      </c>
      <c r="G233">
        <f t="shared" si="162"/>
        <v>1.7493122327131069E-2</v>
      </c>
      <c r="H233">
        <f t="shared" si="163"/>
        <v>-3.1240995276728691</v>
      </c>
      <c r="J233">
        <f t="shared" si="164"/>
        <v>15</v>
      </c>
      <c r="M233">
        <f t="shared" si="165"/>
        <v>2.6830836832066326E-2</v>
      </c>
      <c r="N233">
        <f t="shared" si="166"/>
        <v>-1.5707963250000001</v>
      </c>
      <c r="O233">
        <f t="shared" si="167"/>
        <v>26.838726878389505</v>
      </c>
      <c r="P233">
        <f t="shared" si="168"/>
        <v>1.5335281087930965</v>
      </c>
      <c r="Q233">
        <f t="shared" si="169"/>
        <v>25.42311442729164</v>
      </c>
      <c r="R233">
        <f t="shared" si="170"/>
        <v>1.5314518929382688</v>
      </c>
      <c r="S233">
        <f t="shared" si="171"/>
        <v>0.83980980576693576</v>
      </c>
      <c r="T233">
        <f t="shared" si="172"/>
        <v>-0.57386354199157252</v>
      </c>
      <c r="U233">
        <f t="shared" si="173"/>
        <v>0.9953117601048983</v>
      </c>
      <c r="V233">
        <f t="shared" si="174"/>
        <v>-9.6870095977776516E-2</v>
      </c>
      <c r="X233">
        <f t="shared" si="192"/>
        <v>-6.7471242526445092</v>
      </c>
      <c r="Y233">
        <f t="shared" si="175"/>
        <v>-126.99323902119797</v>
      </c>
      <c r="Z233">
        <f t="shared" si="193"/>
        <v>53.006760978802035</v>
      </c>
      <c r="AC233">
        <v>1</v>
      </c>
      <c r="AD233">
        <f t="shared" si="176"/>
        <v>26.820090612315003</v>
      </c>
      <c r="AE233">
        <f t="shared" si="177"/>
        <v>-2.0120762530147896E-4</v>
      </c>
      <c r="AF233">
        <f t="shared" si="178"/>
        <v>2.0705860165032E-3</v>
      </c>
      <c r="AG233">
        <f t="shared" si="194"/>
        <v>12785.238880932749</v>
      </c>
      <c r="AH233">
        <f t="shared" si="195"/>
        <v>-1725.3509516971546</v>
      </c>
      <c r="AJ233">
        <f t="shared" si="179"/>
        <v>18000</v>
      </c>
      <c r="AK233">
        <f t="shared" si="180"/>
        <v>11635.7931579582</v>
      </c>
      <c r="AL233">
        <v>1</v>
      </c>
      <c r="AM233">
        <f t="shared" si="181"/>
        <v>25.403439672279898</v>
      </c>
      <c r="AN233">
        <f t="shared" si="196"/>
        <v>485.18073783591672</v>
      </c>
      <c r="AO233">
        <f t="shared" si="197"/>
        <v>-689.46644580876045</v>
      </c>
      <c r="AQ233">
        <f t="shared" si="182"/>
        <v>0.25251249936871878</v>
      </c>
      <c r="AR233">
        <f t="shared" si="183"/>
        <v>-50.249987374375031</v>
      </c>
      <c r="AT233">
        <f t="shared" si="209"/>
        <v>-83470.430914297511</v>
      </c>
      <c r="AU233">
        <f t="shared" si="210"/>
        <v>-642893.76502634061</v>
      </c>
      <c r="AV233">
        <f t="shared" si="198"/>
        <v>-1.6999095574436607</v>
      </c>
      <c r="AW233">
        <f t="shared" si="199"/>
        <v>-19755.635669472627</v>
      </c>
      <c r="AX233">
        <f t="shared" si="200"/>
        <v>-29851.466626057099</v>
      </c>
      <c r="AY233">
        <f t="shared" si="208"/>
        <v>-2.1554206146308452</v>
      </c>
      <c r="BA233">
        <f t="shared" si="184"/>
        <v>18.110384187077329</v>
      </c>
      <c r="BB233">
        <f t="shared" si="201"/>
        <v>25.15855326752682</v>
      </c>
      <c r="BC233">
        <f t="shared" si="202"/>
        <v>0.45551105718718454</v>
      </c>
      <c r="BD233">
        <f t="shared" si="185"/>
        <v>-153.90113887180974</v>
      </c>
      <c r="BF233">
        <f t="shared" si="186"/>
        <v>-5.2838701430307333</v>
      </c>
      <c r="BG233">
        <f t="shared" si="187"/>
        <v>-148.07458980786654</v>
      </c>
      <c r="BH233">
        <f t="shared" si="203"/>
        <v>31.925410192133455</v>
      </c>
      <c r="BI233">
        <f t="shared" si="204"/>
        <v>31.925410192133455</v>
      </c>
      <c r="BJ233">
        <f t="shared" si="188"/>
        <v>0</v>
      </c>
      <c r="BK233">
        <f t="shared" si="205"/>
        <v>0</v>
      </c>
      <c r="BM233">
        <f t="shared" si="206"/>
        <v>-30.442423410557559</v>
      </c>
      <c r="BN233">
        <f t="shared" si="189"/>
        <v>-174.17345093605681</v>
      </c>
      <c r="BQ233" s="56">
        <f t="shared" si="207"/>
        <v>42.060514067811958</v>
      </c>
      <c r="BR233" s="59"/>
      <c r="BS233" s="59"/>
      <c r="BT233" s="59">
        <v>16982.437000000002</v>
      </c>
      <c r="BU233" s="59">
        <v>-3.9488799999999999</v>
      </c>
      <c r="BV233" s="59">
        <v>-182.72200000000001</v>
      </c>
      <c r="BW233" s="61"/>
      <c r="BY233" s="59"/>
      <c r="BZ233" s="59"/>
      <c r="CA233" s="59"/>
      <c r="CC233" s="59"/>
    </row>
    <row r="234" spans="1:81" x14ac:dyDescent="0.25">
      <c r="A234">
        <f t="shared" si="190"/>
        <v>100000</v>
      </c>
      <c r="B234">
        <f t="shared" si="191"/>
        <v>100</v>
      </c>
      <c r="C234">
        <f t="shared" si="159"/>
        <v>1.0035910230726215</v>
      </c>
      <c r="D234">
        <f t="shared" si="160"/>
        <v>8.4620443090768091E-2</v>
      </c>
      <c r="F234">
        <f t="shared" si="161"/>
        <v>1.9764427992564398E-3</v>
      </c>
      <c r="G234">
        <f t="shared" si="162"/>
        <v>1.7405319675807211E-2</v>
      </c>
      <c r="H234">
        <f t="shared" si="163"/>
        <v>-3.1241873303241929</v>
      </c>
      <c r="J234">
        <f t="shared" si="164"/>
        <v>15</v>
      </c>
      <c r="M234">
        <f t="shared" si="165"/>
        <v>2.6696682647905999E-2</v>
      </c>
      <c r="N234">
        <f t="shared" si="166"/>
        <v>-1.5707963250000001</v>
      </c>
      <c r="O234">
        <f t="shared" si="167"/>
        <v>26.973408085963335</v>
      </c>
      <c r="P234">
        <f t="shared" si="168"/>
        <v>1.5337142786792346</v>
      </c>
      <c r="Q234">
        <f t="shared" si="169"/>
        <v>25.550671604817953</v>
      </c>
      <c r="R234">
        <f t="shared" si="170"/>
        <v>1.5316484136728936</v>
      </c>
      <c r="S234">
        <f t="shared" si="171"/>
        <v>0.83856569041650153</v>
      </c>
      <c r="T234">
        <f t="shared" si="172"/>
        <v>-0.57615118798984633</v>
      </c>
      <c r="U234">
        <f t="shared" si="173"/>
        <v>0.9952648587085321</v>
      </c>
      <c r="V234">
        <f t="shared" si="174"/>
        <v>-9.7353818050151614E-2</v>
      </c>
      <c r="X234">
        <f t="shared" si="192"/>
        <v>-6.803930432029194</v>
      </c>
      <c r="Y234">
        <f t="shared" si="175"/>
        <v>-127.11100360698674</v>
      </c>
      <c r="Z234">
        <f t="shared" si="193"/>
        <v>52.888996393013258</v>
      </c>
      <c r="AC234">
        <v>1</v>
      </c>
      <c r="AD234">
        <f t="shared" si="176"/>
        <v>26.954864937000004</v>
      </c>
      <c r="AE234">
        <f t="shared" si="177"/>
        <v>-2.0323489336277262E-4</v>
      </c>
      <c r="AF234">
        <f t="shared" si="178"/>
        <v>2.0809909713599998E-3</v>
      </c>
      <c r="AG234">
        <f t="shared" si="194"/>
        <v>12784.033969161219</v>
      </c>
      <c r="AH234">
        <f t="shared" si="195"/>
        <v>-1729.061697041876</v>
      </c>
      <c r="AJ234">
        <f t="shared" si="179"/>
        <v>18000</v>
      </c>
      <c r="AK234">
        <f t="shared" si="180"/>
        <v>11694.264480360001</v>
      </c>
      <c r="AL234">
        <v>1</v>
      </c>
      <c r="AM234">
        <f t="shared" si="181"/>
        <v>25.53109514802</v>
      </c>
      <c r="AN234">
        <f t="shared" si="196"/>
        <v>484.91042431915349</v>
      </c>
      <c r="AO234">
        <f t="shared" si="197"/>
        <v>-686.02970119905672</v>
      </c>
      <c r="AQ234">
        <f t="shared" si="182"/>
        <v>0.24999375015624609</v>
      </c>
      <c r="AR234">
        <f t="shared" si="183"/>
        <v>-49.998750031249216</v>
      </c>
      <c r="AT234">
        <f t="shared" si="209"/>
        <v>-83254.994984928868</v>
      </c>
      <c r="AU234">
        <f t="shared" si="210"/>
        <v>-639617.97343298548</v>
      </c>
      <c r="AV234">
        <f t="shared" si="198"/>
        <v>-1.7002322346267518</v>
      </c>
      <c r="AW234">
        <f t="shared" si="199"/>
        <v>-19413.543872150654</v>
      </c>
      <c r="AX234">
        <f t="shared" si="200"/>
        <v>-29700.764371697183</v>
      </c>
      <c r="AY234">
        <f t="shared" si="208"/>
        <v>-2.1497246640924477</v>
      </c>
      <c r="BA234">
        <f t="shared" si="184"/>
        <v>18.178262489690738</v>
      </c>
      <c r="BB234">
        <f t="shared" si="201"/>
        <v>25.191047404780594</v>
      </c>
      <c r="BC234">
        <f t="shared" si="202"/>
        <v>0.4494924294656959</v>
      </c>
      <c r="BD234">
        <f t="shared" si="185"/>
        <v>-154.24598083910553</v>
      </c>
      <c r="BF234">
        <f t="shared" si="186"/>
        <v>-5.3383070578748137</v>
      </c>
      <c r="BG234">
        <f t="shared" si="187"/>
        <v>-148.40033522429815</v>
      </c>
      <c r="BH234">
        <f t="shared" si="203"/>
        <v>31.599664775701854</v>
      </c>
      <c r="BI234">
        <f t="shared" si="204"/>
        <v>31.599664775701854</v>
      </c>
      <c r="BJ234">
        <f t="shared" si="188"/>
        <v>0</v>
      </c>
      <c r="BK234">
        <f t="shared" si="205"/>
        <v>0</v>
      </c>
      <c r="BM234">
        <f t="shared" si="206"/>
        <v>-30.529354462655405</v>
      </c>
      <c r="BN234">
        <f t="shared" si="189"/>
        <v>-174.15435438519262</v>
      </c>
      <c r="BQ234" s="56">
        <f t="shared" si="207"/>
        <v>42.093008205065729</v>
      </c>
      <c r="BR234" s="59"/>
      <c r="BS234" s="59"/>
      <c r="BT234" s="59">
        <v>17378.008000000002</v>
      </c>
      <c r="BU234" s="59">
        <v>-3.8028900000000001</v>
      </c>
      <c r="BV234" s="59">
        <v>-181.726</v>
      </c>
      <c r="BW234" s="61"/>
      <c r="BY234" s="59"/>
      <c r="BZ234" s="59"/>
      <c r="CA234" s="59"/>
      <c r="CC234" s="59"/>
    </row>
    <row r="235" spans="1:81" x14ac:dyDescent="0.25">
      <c r="A235">
        <f>A234+5000</f>
        <v>105000</v>
      </c>
      <c r="B235">
        <f t="shared" si="191"/>
        <v>105</v>
      </c>
      <c r="C235">
        <f t="shared" si="159"/>
        <v>1.003958377177623</v>
      </c>
      <c r="D235">
        <f t="shared" si="160"/>
        <v>8.8829767980359742E-2</v>
      </c>
      <c r="F235">
        <f t="shared" si="161"/>
        <v>1.7923800652731837E-3</v>
      </c>
      <c r="G235">
        <f t="shared" si="162"/>
        <v>1.6573533585457375E-2</v>
      </c>
      <c r="H235">
        <f t="shared" si="163"/>
        <v>-3.1250191164145429</v>
      </c>
      <c r="J235">
        <f t="shared" si="164"/>
        <v>15</v>
      </c>
      <c r="M235">
        <f t="shared" si="165"/>
        <v>2.5425412045624759E-2</v>
      </c>
      <c r="N235">
        <f t="shared" si="166"/>
        <v>-1.5707963250000001</v>
      </c>
      <c r="O235">
        <f t="shared" si="167"/>
        <v>28.320268890117074</v>
      </c>
      <c r="P235">
        <f t="shared" si="168"/>
        <v>1.5354785858296234</v>
      </c>
      <c r="Q235">
        <f t="shared" si="169"/>
        <v>26.826294814074089</v>
      </c>
      <c r="R235">
        <f t="shared" si="170"/>
        <v>1.5335108296399322</v>
      </c>
      <c r="S235">
        <f t="shared" si="171"/>
        <v>0.82609380321357462</v>
      </c>
      <c r="T235">
        <f t="shared" si="172"/>
        <v>-0.59865590335125962</v>
      </c>
      <c r="U235">
        <f t="shared" si="173"/>
        <v>0.99478329833146861</v>
      </c>
      <c r="V235">
        <f t="shared" si="174"/>
        <v>-0.10218848909246576</v>
      </c>
      <c r="X235">
        <f t="shared" si="192"/>
        <v>-7.3615802598019453</v>
      </c>
      <c r="Y235">
        <f t="shared" si="175"/>
        <v>-128.27612041729964</v>
      </c>
      <c r="Z235">
        <f t="shared" si="193"/>
        <v>51.723879582700363</v>
      </c>
      <c r="AC235">
        <v>1</v>
      </c>
      <c r="AD235">
        <f t="shared" si="176"/>
        <v>28.302608183850001</v>
      </c>
      <c r="AE235">
        <f t="shared" si="177"/>
        <v>-2.2406646993245686E-4</v>
      </c>
      <c r="AF235">
        <f t="shared" si="178"/>
        <v>2.185040519928E-3</v>
      </c>
      <c r="AG235">
        <f t="shared" si="194"/>
        <v>12771.665814491425</v>
      </c>
      <c r="AH235">
        <f t="shared" si="195"/>
        <v>-1767.3365958162544</v>
      </c>
      <c r="AJ235">
        <f t="shared" si="179"/>
        <v>18000</v>
      </c>
      <c r="AK235">
        <f t="shared" si="180"/>
        <v>12278.977704378001</v>
      </c>
      <c r="AL235">
        <v>1</v>
      </c>
      <c r="AM235">
        <f t="shared" si="181"/>
        <v>26.807649905421002</v>
      </c>
      <c r="AN235">
        <f t="shared" si="196"/>
        <v>482.41574433808569</v>
      </c>
      <c r="AO235">
        <f t="shared" si="197"/>
        <v>-653.45467870048299</v>
      </c>
      <c r="AQ235">
        <f t="shared" si="182"/>
        <v>0.22675222784063853</v>
      </c>
      <c r="AR235">
        <f t="shared" si="183"/>
        <v>-47.617967846534093</v>
      </c>
      <c r="AT235">
        <f t="shared" si="209"/>
        <v>-81260.973516909362</v>
      </c>
      <c r="AU235">
        <f t="shared" si="210"/>
        <v>-608561.51961157704</v>
      </c>
      <c r="AV235">
        <f t="shared" si="198"/>
        <v>-1.7035406880834743</v>
      </c>
      <c r="AW235">
        <f t="shared" si="199"/>
        <v>-16257.753288233716</v>
      </c>
      <c r="AX235">
        <f t="shared" si="200"/>
        <v>-28287.334304644806</v>
      </c>
      <c r="AY235">
        <f t="shared" si="208"/>
        <v>-2.0924322851197195</v>
      </c>
      <c r="BA235">
        <f t="shared" si="184"/>
        <v>18.817927668534498</v>
      </c>
      <c r="BB235">
        <f t="shared" si="201"/>
        <v>25.491435897579425</v>
      </c>
      <c r="BC235">
        <f t="shared" si="202"/>
        <v>0.38889159703624521</v>
      </c>
      <c r="BD235">
        <f t="shared" si="185"/>
        <v>-157.71815277626013</v>
      </c>
      <c r="BF235">
        <f t="shared" si="186"/>
        <v>-5.8838226619743894</v>
      </c>
      <c r="BG235">
        <f t="shared" si="187"/>
        <v>-151.67898844289337</v>
      </c>
      <c r="BH235">
        <f t="shared" si="203"/>
        <v>28.32101155710663</v>
      </c>
      <c r="BI235">
        <f t="shared" si="204"/>
        <v>28.32101155710663</v>
      </c>
      <c r="BJ235">
        <f t="shared" si="188"/>
        <v>0</v>
      </c>
      <c r="BK235">
        <f t="shared" si="205"/>
        <v>0</v>
      </c>
      <c r="BM235">
        <f t="shared" si="206"/>
        <v>-31.375258559553814</v>
      </c>
      <c r="BN235">
        <f t="shared" si="189"/>
        <v>-173.96083566663327</v>
      </c>
      <c r="BQ235" s="56">
        <f t="shared" si="207"/>
        <v>42.39339669786456</v>
      </c>
      <c r="BR235" s="59"/>
      <c r="BS235" s="59"/>
      <c r="BT235" s="59">
        <v>17782.794000000002</v>
      </c>
      <c r="BU235" s="59">
        <v>-3.8474200000000001</v>
      </c>
      <c r="BV235" s="59">
        <v>-180.351</v>
      </c>
      <c r="BW235" s="61"/>
      <c r="BY235" s="59"/>
      <c r="BZ235" s="59"/>
      <c r="CA235" s="59"/>
      <c r="CC235" s="59"/>
    </row>
    <row r="236" spans="1:81" x14ac:dyDescent="0.25">
      <c r="A236">
        <f t="shared" ref="A236:A299" si="211">A235+5000</f>
        <v>110000</v>
      </c>
      <c r="B236">
        <f t="shared" si="191"/>
        <v>110</v>
      </c>
      <c r="C236">
        <f t="shared" si="159"/>
        <v>1.0043435066381727</v>
      </c>
      <c r="D236">
        <f t="shared" si="160"/>
        <v>9.3035939101875964E-2</v>
      </c>
      <c r="F236">
        <f t="shared" si="161"/>
        <v>1.6328935023831516E-3</v>
      </c>
      <c r="G236">
        <f t="shared" si="162"/>
        <v>1.5817741818352909E-2</v>
      </c>
      <c r="H236">
        <f t="shared" si="163"/>
        <v>-3.1257749081816475</v>
      </c>
      <c r="J236">
        <f t="shared" si="164"/>
        <v>15</v>
      </c>
      <c r="M236">
        <f t="shared" si="165"/>
        <v>2.4269711498096359E-2</v>
      </c>
      <c r="N236">
        <f t="shared" si="166"/>
        <v>-1.5707963250000001</v>
      </c>
      <c r="O236">
        <f t="shared" si="167"/>
        <v>29.667209844608131</v>
      </c>
      <c r="P236">
        <f t="shared" si="168"/>
        <v>1.5370826926103298</v>
      </c>
      <c r="Q236">
        <f t="shared" si="169"/>
        <v>28.102002625138176</v>
      </c>
      <c r="R236">
        <f t="shared" si="170"/>
        <v>1.5352041599919295</v>
      </c>
      <c r="S236">
        <f t="shared" si="171"/>
        <v>0.81359346158676216</v>
      </c>
      <c r="T236">
        <f t="shared" si="172"/>
        <v>-0.62049032704036367</v>
      </c>
      <c r="U236">
        <f t="shared" si="173"/>
        <v>0.99427899743874293</v>
      </c>
      <c r="V236">
        <f t="shared" si="174"/>
        <v>-0.10701837110603818</v>
      </c>
      <c r="X236">
        <f t="shared" si="192"/>
        <v>-7.901486024294254</v>
      </c>
      <c r="Y236">
        <f t="shared" si="175"/>
        <v>-129.41725119337306</v>
      </c>
      <c r="Z236">
        <f t="shared" si="193"/>
        <v>50.582748806626938</v>
      </c>
      <c r="AC236">
        <v>1</v>
      </c>
      <c r="AD236">
        <f t="shared" si="176"/>
        <v>29.650351430700002</v>
      </c>
      <c r="AE236">
        <f t="shared" si="177"/>
        <v>-2.4591422096895485E-4</v>
      </c>
      <c r="AF236">
        <f t="shared" si="178"/>
        <v>2.2890900684959998E-3</v>
      </c>
      <c r="AG236">
        <f t="shared" si="194"/>
        <v>12758.720020317069</v>
      </c>
      <c r="AH236">
        <f t="shared" si="195"/>
        <v>-1807.5089098943904</v>
      </c>
      <c r="AJ236">
        <f t="shared" si="179"/>
        <v>18000</v>
      </c>
      <c r="AK236">
        <f t="shared" si="180"/>
        <v>12863.690928396001</v>
      </c>
      <c r="AL236">
        <v>1</v>
      </c>
      <c r="AM236">
        <f t="shared" si="181"/>
        <v>28.084204662822</v>
      </c>
      <c r="AN236">
        <f t="shared" si="196"/>
        <v>480.25287869923272</v>
      </c>
      <c r="AO236">
        <f t="shared" si="197"/>
        <v>-623.82920690267895</v>
      </c>
      <c r="AQ236">
        <f t="shared" si="182"/>
        <v>0.20660730150203507</v>
      </c>
      <c r="AR236">
        <f t="shared" si="183"/>
        <v>-45.45360633044772</v>
      </c>
      <c r="AT236">
        <f t="shared" si="209"/>
        <v>-79521.753715098617</v>
      </c>
      <c r="AU236">
        <f t="shared" si="210"/>
        <v>-580303.28162220807</v>
      </c>
      <c r="AV236">
        <f t="shared" si="198"/>
        <v>-1.7069829088444421</v>
      </c>
      <c r="AW236">
        <f t="shared" si="199"/>
        <v>-13524.084202614962</v>
      </c>
      <c r="AX236">
        <f t="shared" si="200"/>
        <v>-27025.387966282979</v>
      </c>
      <c r="AY236">
        <f t="shared" si="208"/>
        <v>-2.0347810498946206</v>
      </c>
      <c r="BA236">
        <f t="shared" si="184"/>
        <v>19.381828340761952</v>
      </c>
      <c r="BB236">
        <f t="shared" si="201"/>
        <v>25.747894856617819</v>
      </c>
      <c r="BC236">
        <f t="shared" si="202"/>
        <v>0.32779814105017846</v>
      </c>
      <c r="BD236">
        <f t="shared" si="185"/>
        <v>-161.21854996412978</v>
      </c>
      <c r="BF236">
        <f t="shared" si="186"/>
        <v>-6.4334772228225203</v>
      </c>
      <c r="BG236">
        <f t="shared" si="187"/>
        <v>-154.98169345581027</v>
      </c>
      <c r="BH236">
        <f t="shared" si="203"/>
        <v>25.018306544189727</v>
      </c>
      <c r="BI236">
        <f t="shared" si="204"/>
        <v>25.018306544189727</v>
      </c>
      <c r="BJ236">
        <f t="shared" si="188"/>
        <v>0</v>
      </c>
      <c r="BK236">
        <f t="shared" si="205"/>
        <v>0</v>
      </c>
      <c r="BM236">
        <f t="shared" si="206"/>
        <v>-32.181372079440337</v>
      </c>
      <c r="BN236">
        <f t="shared" si="189"/>
        <v>-173.76314349168052</v>
      </c>
      <c r="BQ236" s="56">
        <f t="shared" si="207"/>
        <v>42.649855656902957</v>
      </c>
      <c r="BR236" s="59"/>
      <c r="BS236" s="59"/>
      <c r="BT236" s="59">
        <v>18197.008999999998</v>
      </c>
      <c r="BU236" s="59">
        <v>-3.8303199999999999</v>
      </c>
      <c r="BV236" s="59">
        <v>-179.43</v>
      </c>
      <c r="BY236" s="59"/>
      <c r="BZ236" s="59"/>
      <c r="CA236" s="59"/>
      <c r="CC236" s="59"/>
    </row>
    <row r="237" spans="1:81" x14ac:dyDescent="0.25">
      <c r="A237">
        <f t="shared" si="211"/>
        <v>115000</v>
      </c>
      <c r="B237">
        <f t="shared" si="191"/>
        <v>115</v>
      </c>
      <c r="C237">
        <f t="shared" si="159"/>
        <v>1.0047463910138497</v>
      </c>
      <c r="D237">
        <f t="shared" si="160"/>
        <v>9.7238811340614628E-2</v>
      </c>
      <c r="F237">
        <f t="shared" si="161"/>
        <v>1.4937930617759598E-3</v>
      </c>
      <c r="G237">
        <f t="shared" si="162"/>
        <v>1.5127970528389569E-2</v>
      </c>
      <c r="H237">
        <f t="shared" si="163"/>
        <v>-3.1264646794716104</v>
      </c>
      <c r="J237">
        <f t="shared" si="164"/>
        <v>15</v>
      </c>
      <c r="M237">
        <f t="shared" si="165"/>
        <v>2.3214506650353042E-2</v>
      </c>
      <c r="N237">
        <f t="shared" si="166"/>
        <v>-1.5707963250000001</v>
      </c>
      <c r="O237">
        <f t="shared" si="167"/>
        <v>31.014220506702308</v>
      </c>
      <c r="P237">
        <f t="shared" si="168"/>
        <v>1.5385474636533636</v>
      </c>
      <c r="Q237">
        <f t="shared" si="169"/>
        <v>29.377784016705778</v>
      </c>
      <c r="R237">
        <f t="shared" si="170"/>
        <v>1.5367504228280702</v>
      </c>
      <c r="S237">
        <f t="shared" si="171"/>
        <v>0.80110087620626202</v>
      </c>
      <c r="T237">
        <f t="shared" si="172"/>
        <v>-0.64166406426181777</v>
      </c>
      <c r="U237">
        <f t="shared" si="173"/>
        <v>0.99375206112405012</v>
      </c>
      <c r="V237">
        <f t="shared" si="174"/>
        <v>-0.11184324620733303</v>
      </c>
      <c r="X237">
        <f t="shared" si="192"/>
        <v>-8.4251447282762868</v>
      </c>
      <c r="Y237">
        <f t="shared" si="175"/>
        <v>-130.5330565633225</v>
      </c>
      <c r="Z237">
        <f t="shared" si="193"/>
        <v>49.466943436677496</v>
      </c>
      <c r="AC237">
        <v>1</v>
      </c>
      <c r="AD237">
        <f t="shared" si="176"/>
        <v>30.99809467755</v>
      </c>
      <c r="AE237">
        <f t="shared" si="177"/>
        <v>-2.6877814647226683E-4</v>
      </c>
      <c r="AF237">
        <f t="shared" si="178"/>
        <v>2.393139617064E-3</v>
      </c>
      <c r="AG237">
        <f t="shared" si="194"/>
        <v>12745.200170399738</v>
      </c>
      <c r="AH237">
        <f t="shared" si="195"/>
        <v>-1849.2992413236648</v>
      </c>
      <c r="AJ237">
        <f t="shared" si="179"/>
        <v>18000</v>
      </c>
      <c r="AK237">
        <f t="shared" si="180"/>
        <v>13448.404152414001</v>
      </c>
      <c r="AL237">
        <v>1</v>
      </c>
      <c r="AM237">
        <f t="shared" si="181"/>
        <v>29.360759420223001</v>
      </c>
      <c r="AN237">
        <f t="shared" si="196"/>
        <v>478.36550926146737</v>
      </c>
      <c r="AO237">
        <f t="shared" si="197"/>
        <v>-596.77047994439965</v>
      </c>
      <c r="AQ237">
        <f t="shared" si="182"/>
        <v>0.18903234343396155</v>
      </c>
      <c r="AR237">
        <f t="shared" si="183"/>
        <v>-43.477438989811155</v>
      </c>
      <c r="AT237">
        <f t="shared" si="209"/>
        <v>-77993.539882808109</v>
      </c>
      <c r="AU237">
        <f t="shared" si="210"/>
        <v>-554478.2401907834</v>
      </c>
      <c r="AV237">
        <f t="shared" si="198"/>
        <v>-1.710540637453005</v>
      </c>
      <c r="AW237">
        <f t="shared" si="199"/>
        <v>-11141.017886634991</v>
      </c>
      <c r="AX237">
        <f t="shared" si="200"/>
        <v>-25892.373445866153</v>
      </c>
      <c r="AY237">
        <f t="shared" si="208"/>
        <v>-1.9771322139469232</v>
      </c>
      <c r="BA237">
        <f t="shared" si="184"/>
        <v>19.86469015172602</v>
      </c>
      <c r="BB237">
        <f t="shared" si="201"/>
        <v>25.961635906886194</v>
      </c>
      <c r="BC237">
        <f t="shared" si="202"/>
        <v>0.26659157649391818</v>
      </c>
      <c r="BD237">
        <f t="shared" si="185"/>
        <v>-164.72542779570571</v>
      </c>
      <c r="BF237">
        <f t="shared" si="186"/>
        <v>-6.9896010550581922</v>
      </c>
      <c r="BG237">
        <f t="shared" si="187"/>
        <v>-158.28728542978794</v>
      </c>
      <c r="BH237">
        <f t="shared" si="203"/>
        <v>21.712714570212057</v>
      </c>
      <c r="BI237">
        <f t="shared" si="204"/>
        <v>21.712714570212057</v>
      </c>
      <c r="BJ237">
        <f t="shared" si="188"/>
        <v>0</v>
      </c>
      <c r="BK237">
        <f t="shared" si="205"/>
        <v>0</v>
      </c>
      <c r="BM237">
        <f t="shared" si="206"/>
        <v>-32.951236961944389</v>
      </c>
      <c r="BN237">
        <f t="shared" si="189"/>
        <v>-173.56185763408226</v>
      </c>
      <c r="BQ237" s="56">
        <f t="shared" si="207"/>
        <v>42.863596707171332</v>
      </c>
      <c r="BR237" s="59"/>
      <c r="BS237" s="59"/>
      <c r="BT237" s="59">
        <v>18620.870999999999</v>
      </c>
      <c r="BU237" s="59">
        <v>-3.77474</v>
      </c>
      <c r="BV237" s="59">
        <v>-178.09100000000001</v>
      </c>
      <c r="BY237" s="59"/>
      <c r="BZ237" s="59"/>
      <c r="CA237" s="59"/>
      <c r="CC237" s="59"/>
    </row>
    <row r="238" spans="1:81" x14ac:dyDescent="0.25">
      <c r="A238">
        <f t="shared" si="211"/>
        <v>120000</v>
      </c>
      <c r="B238">
        <f t="shared" si="191"/>
        <v>120</v>
      </c>
      <c r="C238">
        <f t="shared" si="159"/>
        <v>1.0051670089554323</v>
      </c>
      <c r="D238">
        <f t="shared" si="160"/>
        <v>0.10143824027555305</v>
      </c>
      <c r="F238">
        <f t="shared" si="161"/>
        <v>1.3717453869179393E-3</v>
      </c>
      <c r="G238">
        <f t="shared" si="162"/>
        <v>1.4495920234963959E-2</v>
      </c>
      <c r="H238">
        <f t="shared" si="163"/>
        <v>-3.1270967297650363</v>
      </c>
      <c r="J238">
        <f t="shared" si="164"/>
        <v>15</v>
      </c>
      <c r="M238">
        <f t="shared" si="165"/>
        <v>2.2247235539921664E-2</v>
      </c>
      <c r="N238">
        <f t="shared" si="166"/>
        <v>-1.5707963250000001</v>
      </c>
      <c r="O238">
        <f t="shared" si="167"/>
        <v>32.361292171845569</v>
      </c>
      <c r="P238">
        <f t="shared" si="168"/>
        <v>1.5398902922152644</v>
      </c>
      <c r="Q238">
        <f t="shared" si="169"/>
        <v>30.653629801679941</v>
      </c>
      <c r="R238">
        <f t="shared" si="170"/>
        <v>1.5381679736955782</v>
      </c>
      <c r="S238">
        <f t="shared" si="171"/>
        <v>0.7886485235145787</v>
      </c>
      <c r="T238">
        <f t="shared" si="172"/>
        <v>-0.6621885178540593</v>
      </c>
      <c r="U238">
        <f t="shared" si="173"/>
        <v>0.99320259889344997</v>
      </c>
      <c r="V238">
        <f t="shared" si="174"/>
        <v>-0.11666289789669919</v>
      </c>
      <c r="X238">
        <f t="shared" si="192"/>
        <v>-8.9338369835310179</v>
      </c>
      <c r="Y238">
        <f t="shared" si="175"/>
        <v>-131.62261300149524</v>
      </c>
      <c r="Z238">
        <f t="shared" si="193"/>
        <v>48.377386998504761</v>
      </c>
      <c r="AC238">
        <v>1</v>
      </c>
      <c r="AD238">
        <f t="shared" si="176"/>
        <v>32.345837924400001</v>
      </c>
      <c r="AE238">
        <f t="shared" si="177"/>
        <v>-2.9265824644239254E-4</v>
      </c>
      <c r="AF238">
        <f t="shared" si="178"/>
        <v>2.4971891656320002E-3</v>
      </c>
      <c r="AG238">
        <f t="shared" si="194"/>
        <v>12731.109995699191</v>
      </c>
      <c r="AH238">
        <f t="shared" si="195"/>
        <v>-1892.4735024671218</v>
      </c>
      <c r="AJ238">
        <f t="shared" si="179"/>
        <v>18000</v>
      </c>
      <c r="AK238">
        <f t="shared" si="180"/>
        <v>14033.117376432001</v>
      </c>
      <c r="AL238">
        <v>1</v>
      </c>
      <c r="AM238">
        <f t="shared" si="181"/>
        <v>30.637314177624003</v>
      </c>
      <c r="AN238">
        <f t="shared" si="196"/>
        <v>476.70877449489495</v>
      </c>
      <c r="AO238">
        <f t="shared" si="197"/>
        <v>-571.95911899820715</v>
      </c>
      <c r="AQ238">
        <f t="shared" si="182"/>
        <v>0.1736080970816479</v>
      </c>
      <c r="AR238">
        <f t="shared" si="183"/>
        <v>-41.66594329959549</v>
      </c>
      <c r="AT238">
        <f t="shared" si="209"/>
        <v>-76641.4698696915</v>
      </c>
      <c r="AU238">
        <f t="shared" si="210"/>
        <v>-530782.25594525656</v>
      </c>
      <c r="AV238">
        <f t="shared" si="198"/>
        <v>-1.7141986167169645</v>
      </c>
      <c r="AW238">
        <f t="shared" si="199"/>
        <v>-9051.5784917135807</v>
      </c>
      <c r="AX238">
        <f t="shared" si="200"/>
        <v>-24870.033643613617</v>
      </c>
      <c r="AY238">
        <f t="shared" si="208"/>
        <v>-1.9198489165554968</v>
      </c>
      <c r="BA238">
        <f t="shared" si="184"/>
        <v>20.263235315203968</v>
      </c>
      <c r="BB238">
        <f t="shared" si="201"/>
        <v>26.134175757665702</v>
      </c>
      <c r="BC238">
        <f t="shared" si="202"/>
        <v>0.20565029983853234</v>
      </c>
      <c r="BD238">
        <f t="shared" si="185"/>
        <v>-168.21710575018827</v>
      </c>
      <c r="BF238">
        <f t="shared" si="186"/>
        <v>-7.5537643742914407</v>
      </c>
      <c r="BG238">
        <f t="shared" si="187"/>
        <v>-161.57456764395315</v>
      </c>
      <c r="BH238">
        <f t="shared" si="203"/>
        <v>18.425432356046855</v>
      </c>
      <c r="BI238">
        <f t="shared" si="204"/>
        <v>18.425432356046855</v>
      </c>
      <c r="BJ238">
        <f t="shared" si="188"/>
        <v>0</v>
      </c>
      <c r="BK238">
        <f t="shared" si="205"/>
        <v>0</v>
      </c>
      <c r="BM238">
        <f t="shared" si="206"/>
        <v>-33.687940131957141</v>
      </c>
      <c r="BN238">
        <f t="shared" si="189"/>
        <v>-173.35746189376491</v>
      </c>
      <c r="BQ238" s="56">
        <f t="shared" si="207"/>
        <v>43.036136557950833</v>
      </c>
      <c r="BR238" s="59"/>
      <c r="BS238" s="59"/>
      <c r="BT238" s="59">
        <v>19054.607</v>
      </c>
      <c r="BU238" s="59">
        <v>-3.7312500000000002</v>
      </c>
      <c r="BV238" s="59">
        <v>-176.916</v>
      </c>
      <c r="BY238" s="59"/>
      <c r="BZ238" s="59"/>
      <c r="CA238" s="59"/>
      <c r="CC238" s="59"/>
    </row>
    <row r="239" spans="1:81" x14ac:dyDescent="0.25">
      <c r="A239">
        <f t="shared" si="211"/>
        <v>125000</v>
      </c>
      <c r="B239">
        <f t="shared" si="191"/>
        <v>125</v>
      </c>
      <c r="C239">
        <f t="shared" si="159"/>
        <v>1.005605338210485</v>
      </c>
      <c r="D239">
        <f t="shared" si="160"/>
        <v>0.10563408220796576</v>
      </c>
      <c r="F239">
        <f t="shared" si="161"/>
        <v>1.2640718305142891E-3</v>
      </c>
      <c r="G239">
        <f t="shared" si="162"/>
        <v>1.3914628220933086E-2</v>
      </c>
      <c r="H239">
        <f t="shared" si="163"/>
        <v>-3.127678021779067</v>
      </c>
      <c r="J239">
        <f t="shared" si="164"/>
        <v>15</v>
      </c>
      <c r="M239">
        <f t="shared" si="165"/>
        <v>2.1357346118324801E-2</v>
      </c>
      <c r="N239">
        <f t="shared" si="166"/>
        <v>-1.5707963250000001</v>
      </c>
      <c r="O239">
        <f t="shared" si="167"/>
        <v>33.708417526540948</v>
      </c>
      <c r="P239">
        <f t="shared" si="168"/>
        <v>1.5411257930858675</v>
      </c>
      <c r="Q239">
        <f t="shared" si="169"/>
        <v>31.929532260932884</v>
      </c>
      <c r="R239">
        <f t="shared" si="170"/>
        <v>1.5394722364933493</v>
      </c>
      <c r="S239">
        <f t="shared" si="171"/>
        <v>0.77626529725627869</v>
      </c>
      <c r="T239">
        <f t="shared" si="172"/>
        <v>-0.68207659094112538</v>
      </c>
      <c r="U239">
        <f t="shared" si="173"/>
        <v>0.99263072460319079</v>
      </c>
      <c r="V239">
        <f t="shared" si="174"/>
        <v>-0.12147711111358826</v>
      </c>
      <c r="X239">
        <f t="shared" si="192"/>
        <v>-9.4286665036584143</v>
      </c>
      <c r="Y239">
        <f t="shared" si="175"/>
        <v>-132.68533355792889</v>
      </c>
      <c r="Z239">
        <f t="shared" si="193"/>
        <v>47.314666442071115</v>
      </c>
      <c r="AC239">
        <v>1</v>
      </c>
      <c r="AD239">
        <f t="shared" si="176"/>
        <v>33.693581171250003</v>
      </c>
      <c r="AE239">
        <f t="shared" si="177"/>
        <v>-3.1755452087933229E-4</v>
      </c>
      <c r="AF239">
        <f t="shared" si="178"/>
        <v>2.6012387142E-3</v>
      </c>
      <c r="AG239">
        <f t="shared" si="194"/>
        <v>12716.453371842021</v>
      </c>
      <c r="AH239">
        <f t="shared" si="195"/>
        <v>-1936.8338746754082</v>
      </c>
      <c r="AJ239">
        <f t="shared" si="179"/>
        <v>18000</v>
      </c>
      <c r="AK239">
        <f t="shared" si="180"/>
        <v>14617.830600450001</v>
      </c>
      <c r="AL239">
        <v>1</v>
      </c>
      <c r="AM239">
        <f t="shared" si="181"/>
        <v>31.913868935025004</v>
      </c>
      <c r="AN239">
        <f t="shared" si="196"/>
        <v>475.24658330716136</v>
      </c>
      <c r="AO239">
        <f t="shared" si="197"/>
        <v>-549.12657103318747</v>
      </c>
      <c r="AQ239">
        <f t="shared" si="182"/>
        <v>0.15999744004095934</v>
      </c>
      <c r="AR239">
        <f t="shared" si="183"/>
        <v>-39.999360010239833</v>
      </c>
      <c r="AT239">
        <f t="shared" si="209"/>
        <v>-75437.515447274447</v>
      </c>
      <c r="AU239">
        <f t="shared" si="210"/>
        <v>-508959.88493546989</v>
      </c>
      <c r="AV239">
        <f t="shared" si="198"/>
        <v>-1.7179439929506426</v>
      </c>
      <c r="AW239">
        <f t="shared" si="199"/>
        <v>-7209.9244979873047</v>
      </c>
      <c r="AX239">
        <f t="shared" si="200"/>
        <v>-23943.4263389894</v>
      </c>
      <c r="AY239">
        <f t="shared" si="208"/>
        <v>-1.8632833890605083</v>
      </c>
      <c r="BA239">
        <f t="shared" si="184"/>
        <v>20.576350800832735</v>
      </c>
      <c r="BB239">
        <f t="shared" si="201"/>
        <v>26.267367109609623</v>
      </c>
      <c r="BC239">
        <f t="shared" si="202"/>
        <v>0.14533939610986568</v>
      </c>
      <c r="BD239">
        <f t="shared" si="185"/>
        <v>-171.67266599640922</v>
      </c>
      <c r="BF239">
        <f t="shared" si="186"/>
        <v>-8.126821240838769</v>
      </c>
      <c r="BG239">
        <f t="shared" si="187"/>
        <v>-164.82302943477487</v>
      </c>
      <c r="BH239">
        <f t="shared" si="203"/>
        <v>15.176970565225133</v>
      </c>
      <c r="BI239">
        <f t="shared" si="204"/>
        <v>15.176970565225133</v>
      </c>
      <c r="BJ239">
        <f t="shared" si="188"/>
        <v>0</v>
      </c>
      <c r="BK239">
        <f t="shared" si="205"/>
        <v>0</v>
      </c>
      <c r="BM239">
        <f t="shared" si="206"/>
        <v>-34.394188350448388</v>
      </c>
      <c r="BN239">
        <f t="shared" si="189"/>
        <v>-173.15036343836564</v>
      </c>
      <c r="BQ239" s="56">
        <f t="shared" si="207"/>
        <v>43.169327909894761</v>
      </c>
      <c r="BR239" s="59"/>
      <c r="BS239" s="59"/>
      <c r="BT239" s="59">
        <v>19498.446</v>
      </c>
      <c r="BU239" s="59">
        <v>-3.7243200000000001</v>
      </c>
      <c r="BV239" s="59">
        <v>-175.511</v>
      </c>
      <c r="BY239" s="59"/>
      <c r="BZ239" s="59"/>
      <c r="CA239" s="59"/>
      <c r="CC239" s="59"/>
    </row>
    <row r="240" spans="1:81" x14ac:dyDescent="0.25">
      <c r="A240">
        <f t="shared" si="211"/>
        <v>130000</v>
      </c>
      <c r="B240">
        <f t="shared" si="191"/>
        <v>130</v>
      </c>
      <c r="C240">
        <f t="shared" si="159"/>
        <v>1.0060613556291673</v>
      </c>
      <c r="D240">
        <f t="shared" si="160"/>
        <v>0.10982619418966838</v>
      </c>
      <c r="F240">
        <f t="shared" si="161"/>
        <v>1.1685999418001945E-3</v>
      </c>
      <c r="G240">
        <f t="shared" si="162"/>
        <v>1.3378209533313586E-2</v>
      </c>
      <c r="H240">
        <f t="shared" si="163"/>
        <v>-3.1282144404666865</v>
      </c>
      <c r="J240">
        <f t="shared" si="164"/>
        <v>15</v>
      </c>
      <c r="M240">
        <f t="shared" si="165"/>
        <v>2.0535909729158461E-2</v>
      </c>
      <c r="N240">
        <f t="shared" si="166"/>
        <v>-1.5707963250000001</v>
      </c>
      <c r="O240">
        <f t="shared" si="167"/>
        <v>35.055590381200709</v>
      </c>
      <c r="P240">
        <f t="shared" si="168"/>
        <v>1.5422663359411974</v>
      </c>
      <c r="Q240">
        <f t="shared" si="169"/>
        <v>33.205484861431451</v>
      </c>
      <c r="R240">
        <f t="shared" si="170"/>
        <v>1.5406762661125086</v>
      </c>
      <c r="S240">
        <f t="shared" si="171"/>
        <v>0.76397669181552741</v>
      </c>
      <c r="T240">
        <f t="shared" si="172"/>
        <v>-0.70134241358896932</v>
      </c>
      <c r="U240">
        <f t="shared" si="173"/>
        <v>0.99203655639535082</v>
      </c>
      <c r="V240">
        <f t="shared" si="174"/>
        <v>-0.12628567229079876</v>
      </c>
      <c r="X240">
        <f t="shared" si="192"/>
        <v>-9.9105913973039232</v>
      </c>
      <c r="Y240">
        <f t="shared" si="175"/>
        <v>-133.72090424216978</v>
      </c>
      <c r="Z240">
        <f t="shared" si="193"/>
        <v>46.27909575783022</v>
      </c>
      <c r="AC240">
        <v>1</v>
      </c>
      <c r="AD240">
        <f t="shared" si="176"/>
        <v>35.041324418100004</v>
      </c>
      <c r="AE240">
        <f t="shared" si="177"/>
        <v>-3.4346696978308571E-4</v>
      </c>
      <c r="AF240">
        <f t="shared" si="178"/>
        <v>2.7052882627680002E-3</v>
      </c>
      <c r="AG240">
        <f t="shared" si="194"/>
        <v>12701.234316504915</v>
      </c>
      <c r="AH240">
        <f t="shared" si="195"/>
        <v>-1982.2118540920746</v>
      </c>
      <c r="AJ240">
        <f t="shared" si="179"/>
        <v>18000</v>
      </c>
      <c r="AK240">
        <f t="shared" si="180"/>
        <v>15202.543824468001</v>
      </c>
      <c r="AL240">
        <v>1</v>
      </c>
      <c r="AM240">
        <f t="shared" si="181"/>
        <v>33.190423692426002</v>
      </c>
      <c r="AN240">
        <f t="shared" si="196"/>
        <v>473.94963572929936</v>
      </c>
      <c r="AO240">
        <f t="shared" si="197"/>
        <v>-528.04539425840824</v>
      </c>
      <c r="AQ240">
        <f t="shared" si="182"/>
        <v>0.14792680581648202</v>
      </c>
      <c r="AR240">
        <f t="shared" si="183"/>
        <v>-38.460969512285324</v>
      </c>
      <c r="AT240">
        <f t="shared" si="209"/>
        <v>-74358.936664758585</v>
      </c>
      <c r="AU240">
        <f t="shared" si="210"/>
        <v>-488795.0080835151</v>
      </c>
      <c r="AV240">
        <f t="shared" si="198"/>
        <v>-1.7217658550583279</v>
      </c>
      <c r="AW240">
        <f t="shared" si="199"/>
        <v>-5578.8367508920337</v>
      </c>
      <c r="AX240">
        <f t="shared" si="200"/>
        <v>-23100.201010754616</v>
      </c>
      <c r="AY240">
        <f t="shared" si="208"/>
        <v>-1.8077647827557635</v>
      </c>
      <c r="BA240">
        <f t="shared" si="184"/>
        <v>20.805087083063057</v>
      </c>
      <c r="BB240">
        <f t="shared" si="201"/>
        <v>26.363390758853875</v>
      </c>
      <c r="BC240">
        <f t="shared" si="202"/>
        <v>8.5998927697435557E-2</v>
      </c>
      <c r="BD240">
        <f t="shared" si="185"/>
        <v>-175.07262439465589</v>
      </c>
      <c r="BF240">
        <f t="shared" si="186"/>
        <v>-8.7089775051615845</v>
      </c>
      <c r="BG240">
        <f t="shared" si="187"/>
        <v>-168.01353203583693</v>
      </c>
      <c r="BH240">
        <f t="shared" si="203"/>
        <v>11.986467964163069</v>
      </c>
      <c r="BI240">
        <f t="shared" si="204"/>
        <v>11.986467964163069</v>
      </c>
      <c r="BJ240">
        <f t="shared" si="188"/>
        <v>0</v>
      </c>
      <c r="BK240">
        <f t="shared" si="205"/>
        <v>0</v>
      </c>
      <c r="BM240">
        <f t="shared" si="206"/>
        <v>-35.072368264015459</v>
      </c>
      <c r="BN240">
        <f t="shared" si="189"/>
        <v>-172.94090764118107</v>
      </c>
      <c r="BQ240" s="56">
        <f t="shared" si="207"/>
        <v>43.265351559139013</v>
      </c>
      <c r="BR240" s="59"/>
      <c r="BS240" s="59"/>
      <c r="BT240" s="59">
        <v>19952.623</v>
      </c>
      <c r="BU240" s="59">
        <v>-3.67421</v>
      </c>
      <c r="BV240" s="59">
        <v>-174.244</v>
      </c>
      <c r="BY240" s="59"/>
      <c r="BZ240" s="59"/>
      <c r="CA240" s="59"/>
      <c r="CC240" s="59"/>
    </row>
    <row r="241" spans="1:81" x14ac:dyDescent="0.25">
      <c r="A241">
        <f t="shared" si="211"/>
        <v>135000</v>
      </c>
      <c r="B241">
        <f t="shared" si="191"/>
        <v>135</v>
      </c>
      <c r="C241">
        <f t="shared" si="159"/>
        <v>1.0065350371702573</v>
      </c>
      <c r="D241">
        <f t="shared" si="160"/>
        <v>0.11401443405087446</v>
      </c>
      <c r="F241">
        <f t="shared" si="161"/>
        <v>1.0835528331656985E-3</v>
      </c>
      <c r="G241">
        <f t="shared" si="162"/>
        <v>1.2881656013225735E-2</v>
      </c>
      <c r="H241">
        <f t="shared" si="163"/>
        <v>-3.1287109939867745</v>
      </c>
      <c r="J241">
        <f t="shared" si="164"/>
        <v>15</v>
      </c>
      <c r="M241">
        <f t="shared" si="165"/>
        <v>1.9775320479930369E-2</v>
      </c>
      <c r="N241">
        <f t="shared" si="166"/>
        <v>-1.5707963250000001</v>
      </c>
      <c r="O241">
        <f t="shared" si="167"/>
        <v>36.402805462275978</v>
      </c>
      <c r="P241">
        <f t="shared" si="168"/>
        <v>1.5433224604101203</v>
      </c>
      <c r="Q241">
        <f t="shared" si="169"/>
        <v>34.481482036896828</v>
      </c>
      <c r="R241">
        <f t="shared" si="170"/>
        <v>1.5417911863239693</v>
      </c>
      <c r="S241">
        <f t="shared" si="171"/>
        <v>0.75180500755265012</v>
      </c>
      <c r="T241">
        <f t="shared" si="172"/>
        <v>-0.72000109433510562</v>
      </c>
      <c r="U241">
        <f t="shared" si="173"/>
        <v>0.99142021663136515</v>
      </c>
      <c r="V241">
        <f t="shared" si="174"/>
        <v>-0.13108836940771423</v>
      </c>
      <c r="X241">
        <f t="shared" si="192"/>
        <v>-10.380449160545645</v>
      </c>
      <c r="Y241">
        <f t="shared" si="175"/>
        <v>-134.729232432484</v>
      </c>
      <c r="Z241">
        <f t="shared" si="193"/>
        <v>45.270767567516003</v>
      </c>
      <c r="AC241">
        <v>1</v>
      </c>
      <c r="AD241">
        <f t="shared" si="176"/>
        <v>36.389067664950005</v>
      </c>
      <c r="AE241">
        <f t="shared" si="177"/>
        <v>-3.7039559315365313E-4</v>
      </c>
      <c r="AF241">
        <f t="shared" si="178"/>
        <v>2.809337811336E-3</v>
      </c>
      <c r="AG241">
        <f t="shared" si="194"/>
        <v>12685.456986715693</v>
      </c>
      <c r="AH241">
        <f t="shared" si="195"/>
        <v>-2028.4628434590732</v>
      </c>
      <c r="AJ241">
        <f t="shared" si="179"/>
        <v>18000</v>
      </c>
      <c r="AK241">
        <f t="shared" si="180"/>
        <v>15787.257048486001</v>
      </c>
      <c r="AL241">
        <v>1</v>
      </c>
      <c r="AM241">
        <f t="shared" si="181"/>
        <v>34.466978449826996</v>
      </c>
      <c r="AN241">
        <f t="shared" si="196"/>
        <v>472.79394566012945</v>
      </c>
      <c r="AO241">
        <f t="shared" si="197"/>
        <v>-508.52168779035645</v>
      </c>
      <c r="AQ241">
        <f t="shared" si="182"/>
        <v>0.13717232959767356</v>
      </c>
      <c r="AR241">
        <f t="shared" si="183"/>
        <v>-37.03652899137186</v>
      </c>
      <c r="AT241">
        <f t="shared" si="209"/>
        <v>-73387.129222813688</v>
      </c>
      <c r="AU241">
        <f t="shared" si="210"/>
        <v>-470103.54443103611</v>
      </c>
      <c r="AV241">
        <f t="shared" si="198"/>
        <v>-1.7256548758186319</v>
      </c>
      <c r="AW241">
        <f t="shared" si="199"/>
        <v>-4127.843426625247</v>
      </c>
      <c r="AX241">
        <f t="shared" si="200"/>
        <v>-22330.057302814985</v>
      </c>
      <c r="AY241">
        <f t="shared" si="208"/>
        <v>-1.7535887834685575</v>
      </c>
      <c r="BA241">
        <f t="shared" si="184"/>
        <v>20.95249535926207</v>
      </c>
      <c r="BB241">
        <f t="shared" si="201"/>
        <v>26.424715062725895</v>
      </c>
      <c r="BC241">
        <f t="shared" si="202"/>
        <v>2.7933907649925649E-2</v>
      </c>
      <c r="BD241">
        <f t="shared" si="185"/>
        <v>-178.39950498452222</v>
      </c>
      <c r="BF241">
        <f t="shared" si="186"/>
        <v>-9.2998799728557877</v>
      </c>
      <c r="BG241">
        <f t="shared" si="187"/>
        <v>-171.1288945788294</v>
      </c>
      <c r="BH241">
        <f t="shared" si="203"/>
        <v>8.8711054211705971</v>
      </c>
      <c r="BI241">
        <f t="shared" si="204"/>
        <v>8.8711054211705971</v>
      </c>
      <c r="BJ241">
        <f t="shared" si="188"/>
        <v>0</v>
      </c>
      <c r="BK241">
        <f t="shared" si="205"/>
        <v>0</v>
      </c>
      <c r="BM241">
        <f t="shared" si="206"/>
        <v>-35.724595035581686</v>
      </c>
      <c r="BN241">
        <f t="shared" si="189"/>
        <v>-172.72938959430721</v>
      </c>
      <c r="BQ241" s="56">
        <f t="shared" si="207"/>
        <v>43.326675863011033</v>
      </c>
      <c r="BR241" s="59"/>
      <c r="BS241" s="59"/>
      <c r="BT241" s="59">
        <v>20417.379000000001</v>
      </c>
      <c r="BU241" s="59">
        <v>-3.6440899999999998</v>
      </c>
      <c r="BV241" s="59">
        <v>-173.369</v>
      </c>
      <c r="BY241" s="59"/>
      <c r="BZ241" s="59"/>
      <c r="CA241" s="59"/>
      <c r="CC241" s="59"/>
    </row>
    <row r="242" spans="1:81" x14ac:dyDescent="0.25">
      <c r="A242">
        <f t="shared" si="211"/>
        <v>140000</v>
      </c>
      <c r="B242">
        <f t="shared" si="191"/>
        <v>140</v>
      </c>
      <c r="C242">
        <f t="shared" si="159"/>
        <v>1.0070263579073908</v>
      </c>
      <c r="D242">
        <f t="shared" si="160"/>
        <v>0.11819866042765251</v>
      </c>
      <c r="F242">
        <f t="shared" si="161"/>
        <v>1.0074657705530855E-3</v>
      </c>
      <c r="G242">
        <f t="shared" si="162"/>
        <v>1.242067871924893E-2</v>
      </c>
      <c r="H242">
        <f t="shared" si="163"/>
        <v>-3.1291719712807513</v>
      </c>
      <c r="J242">
        <f t="shared" si="164"/>
        <v>15</v>
      </c>
      <c r="M242">
        <f t="shared" si="165"/>
        <v>1.9069059034218572E-2</v>
      </c>
      <c r="N242">
        <f t="shared" si="166"/>
        <v>-1.5707963250000001</v>
      </c>
      <c r="O242">
        <f t="shared" si="167"/>
        <v>37.750058248868278</v>
      </c>
      <c r="P242">
        <f t="shared" si="168"/>
        <v>1.5443032023624268</v>
      </c>
      <c r="Q242">
        <f t="shared" si="169"/>
        <v>35.757519015393264</v>
      </c>
      <c r="R242">
        <f t="shared" si="170"/>
        <v>1.5428265340261316</v>
      </c>
      <c r="S242">
        <f t="shared" si="171"/>
        <v>0.73976956975854891</v>
      </c>
      <c r="T242">
        <f t="shared" si="172"/>
        <v>-0.73806849667614782</v>
      </c>
      <c r="U242">
        <f t="shared" si="173"/>
        <v>0.99078183182351243</v>
      </c>
      <c r="V242">
        <f t="shared" si="174"/>
        <v>-0.13588499204250545</v>
      </c>
      <c r="X242">
        <f t="shared" si="192"/>
        <v>-10.838976777430796</v>
      </c>
      <c r="Y242">
        <f t="shared" si="175"/>
        <v>-135.7104046805606</v>
      </c>
      <c r="Z242">
        <f t="shared" si="193"/>
        <v>44.2895953194394</v>
      </c>
      <c r="AC242">
        <v>1</v>
      </c>
      <c r="AD242">
        <f t="shared" si="176"/>
        <v>37.736810911800006</v>
      </c>
      <c r="AE242">
        <f t="shared" si="177"/>
        <v>-3.9834039099103427E-4</v>
      </c>
      <c r="AF242">
        <f t="shared" si="178"/>
        <v>2.9133873599039998E-3</v>
      </c>
      <c r="AG242">
        <f t="shared" si="194"/>
        <v>12669.12567607544</v>
      </c>
      <c r="AH242">
        <f t="shared" si="195"/>
        <v>-2075.4619033981412</v>
      </c>
      <c r="AJ242">
        <f t="shared" si="179"/>
        <v>18000</v>
      </c>
      <c r="AK242">
        <f t="shared" si="180"/>
        <v>16371.970272504001</v>
      </c>
      <c r="AL242">
        <v>1</v>
      </c>
      <c r="AM242">
        <f t="shared" si="181"/>
        <v>35.743533207227998</v>
      </c>
      <c r="AN242">
        <f t="shared" si="196"/>
        <v>471.75972526718539</v>
      </c>
      <c r="AO242">
        <f t="shared" si="197"/>
        <v>-490.38913341639892</v>
      </c>
      <c r="AQ242">
        <f t="shared" si="182"/>
        <v>0.12754939350263389</v>
      </c>
      <c r="AR242">
        <f t="shared" si="183"/>
        <v>-35.713830180737489</v>
      </c>
      <c r="AT242">
        <f t="shared" si="209"/>
        <v>-72506.754668359339</v>
      </c>
      <c r="AU242">
        <f t="shared" si="210"/>
        <v>-452727.7268407956</v>
      </c>
      <c r="AV242">
        <f t="shared" si="198"/>
        <v>-1.7296030298829723</v>
      </c>
      <c r="AW242">
        <f t="shared" si="199"/>
        <v>-2831.8038789161351</v>
      </c>
      <c r="AX242">
        <f t="shared" si="200"/>
        <v>-21624.33407827474</v>
      </c>
      <c r="AY242">
        <f t="shared" si="208"/>
        <v>-1.7010098540744243</v>
      </c>
      <c r="BA242">
        <f t="shared" si="184"/>
        <v>21.023333503121172</v>
      </c>
      <c r="BB242">
        <f t="shared" si="201"/>
        <v>26.454031595621792</v>
      </c>
      <c r="BC242">
        <f t="shared" si="202"/>
        <v>-2.8593175808548033E-2</v>
      </c>
      <c r="BD242">
        <f t="shared" si="185"/>
        <v>-181.63826829857737</v>
      </c>
      <c r="BF242">
        <f t="shared" si="186"/>
        <v>-9.8987204734446301</v>
      </c>
      <c r="BG242">
        <f t="shared" si="187"/>
        <v>-174.15433143412031</v>
      </c>
      <c r="BH242">
        <f t="shared" si="203"/>
        <v>5.8456685658796914</v>
      </c>
      <c r="BI242">
        <f t="shared" si="204"/>
        <v>5.8456685658796914</v>
      </c>
      <c r="BJ242">
        <f t="shared" si="188"/>
        <v>0</v>
      </c>
      <c r="BK242">
        <f t="shared" si="205"/>
        <v>0</v>
      </c>
      <c r="BM242">
        <f t="shared" si="206"/>
        <v>-36.352752069066426</v>
      </c>
      <c r="BN242">
        <f t="shared" si="189"/>
        <v>-172.51606313554296</v>
      </c>
      <c r="BQ242" s="56">
        <f t="shared" si="207"/>
        <v>43.355992395906931</v>
      </c>
      <c r="BR242" s="59"/>
      <c r="BS242" s="59"/>
      <c r="BT242" s="59">
        <v>20892.960999999999</v>
      </c>
      <c r="BU242" s="59">
        <v>-3.5620099999999999</v>
      </c>
      <c r="BV242" s="59">
        <v>-172.084</v>
      </c>
      <c r="BY242" s="59"/>
      <c r="BZ242" s="59"/>
      <c r="CA242" s="59"/>
      <c r="CC242" s="59"/>
    </row>
    <row r="243" spans="1:81" x14ac:dyDescent="0.25">
      <c r="A243">
        <f t="shared" si="211"/>
        <v>145000</v>
      </c>
      <c r="B243">
        <f t="shared" si="191"/>
        <v>145</v>
      </c>
      <c r="C243">
        <f t="shared" si="159"/>
        <v>1.0075352920355085</v>
      </c>
      <c r="D243">
        <f t="shared" si="160"/>
        <v>0.12237873278897066</v>
      </c>
      <c r="F243">
        <f t="shared" si="161"/>
        <v>9.3912259023856584E-4</v>
      </c>
      <c r="G243">
        <f t="shared" si="162"/>
        <v>1.1991583183766464E-2</v>
      </c>
      <c r="H243">
        <f t="shared" si="163"/>
        <v>-3.129601066816234</v>
      </c>
      <c r="J243">
        <f t="shared" si="164"/>
        <v>15</v>
      </c>
      <c r="M243">
        <f t="shared" si="165"/>
        <v>1.8411505274417928E-2</v>
      </c>
      <c r="N243">
        <f t="shared" si="166"/>
        <v>-1.5707963250000001</v>
      </c>
      <c r="O243">
        <f t="shared" si="167"/>
        <v>39.097344843102135</v>
      </c>
      <c r="P243">
        <f t="shared" si="168"/>
        <v>1.5452163528047413</v>
      </c>
      <c r="Q243">
        <f t="shared" si="169"/>
        <v>37.033591682536937</v>
      </c>
      <c r="R243">
        <f t="shared" si="170"/>
        <v>1.5437905324049901</v>
      </c>
      <c r="S243">
        <f t="shared" si="171"/>
        <v>0.7278869542406764</v>
      </c>
      <c r="T243">
        <f t="shared" si="172"/>
        <v>-0.75556103998542112</v>
      </c>
      <c r="U243">
        <f t="shared" si="173"/>
        <v>0.99012153256443114</v>
      </c>
      <c r="V243">
        <f t="shared" si="174"/>
        <v>-0.14067533142326705</v>
      </c>
      <c r="X243">
        <f t="shared" si="192"/>
        <v>-11.286826987982398</v>
      </c>
      <c r="Y243">
        <f t="shared" si="175"/>
        <v>-136.66465196903218</v>
      </c>
      <c r="Z243">
        <f t="shared" si="193"/>
        <v>43.335348030967822</v>
      </c>
      <c r="AC243">
        <v>1</v>
      </c>
      <c r="AD243">
        <f t="shared" si="176"/>
        <v>39.08455415865</v>
      </c>
      <c r="AE243">
        <f t="shared" si="177"/>
        <v>-4.2730136329522945E-4</v>
      </c>
      <c r="AF243">
        <f t="shared" si="178"/>
        <v>3.017436908472E-3</v>
      </c>
      <c r="AG243">
        <f t="shared" si="194"/>
        <v>12652.244811905093</v>
      </c>
      <c r="AH243">
        <f t="shared" si="195"/>
        <v>-2123.1003832706938</v>
      </c>
      <c r="AJ243">
        <f t="shared" si="179"/>
        <v>18000</v>
      </c>
      <c r="AK243">
        <f t="shared" si="180"/>
        <v>16956.683496522004</v>
      </c>
      <c r="AL243">
        <v>1</v>
      </c>
      <c r="AM243">
        <f t="shared" si="181"/>
        <v>37.020087964628999</v>
      </c>
      <c r="AN243">
        <f t="shared" si="196"/>
        <v>470.8305333078485</v>
      </c>
      <c r="AO243">
        <f t="shared" si="197"/>
        <v>-473.50426296772906</v>
      </c>
      <c r="AQ243">
        <f t="shared" si="182"/>
        <v>0.11890465036087561</v>
      </c>
      <c r="AR243">
        <f t="shared" si="183"/>
        <v>-34.482348604653929</v>
      </c>
      <c r="AT243">
        <f t="shared" si="209"/>
        <v>-71705.076792974651</v>
      </c>
      <c r="AU243">
        <f t="shared" si="210"/>
        <v>-436531.56274428935</v>
      </c>
      <c r="AV243">
        <f t="shared" si="198"/>
        <v>-1.7336033700135163</v>
      </c>
      <c r="AW243">
        <f t="shared" si="199"/>
        <v>-1669.8274021477082</v>
      </c>
      <c r="AX243">
        <f t="shared" si="200"/>
        <v>-20975.69374547125</v>
      </c>
      <c r="AY243">
        <f t="shared" si="208"/>
        <v>-1.6502365267305659</v>
      </c>
      <c r="BA243">
        <f t="shared" si="184"/>
        <v>21.02368563225291</v>
      </c>
      <c r="BB243">
        <f t="shared" si="201"/>
        <v>26.454177078219114</v>
      </c>
      <c r="BC243">
        <f t="shared" si="202"/>
        <v>-8.3366843282950409E-2</v>
      </c>
      <c r="BD243">
        <f t="shared" si="185"/>
        <v>-184.77656827689964</v>
      </c>
      <c r="BF243">
        <f t="shared" si="186"/>
        <v>-10.504346639720453</v>
      </c>
      <c r="BG243">
        <f t="shared" si="187"/>
        <v>-177.07771627102528</v>
      </c>
      <c r="BH243">
        <f t="shared" si="203"/>
        <v>2.922283728974719</v>
      </c>
      <c r="BI243">
        <f t="shared" si="204"/>
        <v>2.922283728974719</v>
      </c>
      <c r="BJ243">
        <f t="shared" si="188"/>
        <v>0</v>
      </c>
      <c r="BK243">
        <f t="shared" si="205"/>
        <v>0</v>
      </c>
      <c r="BM243">
        <f t="shared" si="206"/>
        <v>-36.95852371793957</v>
      </c>
      <c r="BN243">
        <f t="shared" si="189"/>
        <v>-172.30114799412564</v>
      </c>
      <c r="BQ243" s="56">
        <f t="shared" si="207"/>
        <v>43.356137878504256</v>
      </c>
      <c r="BR243" s="59"/>
      <c r="BS243" s="59"/>
      <c r="BT243" s="59">
        <v>21379.620999999999</v>
      </c>
      <c r="BU243" s="59">
        <v>-3.5589</v>
      </c>
      <c r="BV243" s="59">
        <v>-170.62899999999999</v>
      </c>
      <c r="BY243" s="59"/>
      <c r="BZ243" s="59"/>
      <c r="CA243" s="59"/>
      <c r="CC243" s="59"/>
    </row>
    <row r="244" spans="1:81" x14ac:dyDescent="0.25">
      <c r="A244">
        <f t="shared" si="211"/>
        <v>150000</v>
      </c>
      <c r="B244">
        <f t="shared" si="191"/>
        <v>150</v>
      </c>
      <c r="C244">
        <f t="shared" si="159"/>
        <v>1.0080618128775092</v>
      </c>
      <c r="D244">
        <f t="shared" si="160"/>
        <v>0.12655451146331706</v>
      </c>
      <c r="F244">
        <f t="shared" si="161"/>
        <v>8.7750673201872993E-4</v>
      </c>
      <c r="G244">
        <f t="shared" si="162"/>
        <v>1.1591169782613495E-2</v>
      </c>
      <c r="H244">
        <f t="shared" si="163"/>
        <v>-3.1300014802173868</v>
      </c>
      <c r="J244">
        <f t="shared" si="164"/>
        <v>15</v>
      </c>
      <c r="M244">
        <f t="shared" si="165"/>
        <v>1.7797788431937332E-2</v>
      </c>
      <c r="N244">
        <f t="shared" si="166"/>
        <v>-1.5707963250000001</v>
      </c>
      <c r="O244">
        <f t="shared" si="167"/>
        <v>40.444661866392238</v>
      </c>
      <c r="P244">
        <f t="shared" si="168"/>
        <v>1.5460686650798232</v>
      </c>
      <c r="Q244">
        <f t="shared" si="169"/>
        <v>38.30969647202668</v>
      </c>
      <c r="R244">
        <f t="shared" si="170"/>
        <v>1.544690309559329</v>
      </c>
      <c r="S244">
        <f t="shared" si="171"/>
        <v>0.71617121386326743</v>
      </c>
      <c r="T244">
        <f t="shared" si="172"/>
        <v>-0.77249552387407527</v>
      </c>
      <c r="U244">
        <f t="shared" si="173"/>
        <v>0.98943945345474449</v>
      </c>
      <c r="V244">
        <f t="shared" si="174"/>
        <v>-0.14545918047806075</v>
      </c>
      <c r="X244">
        <f t="shared" si="192"/>
        <v>-11.724581529473399</v>
      </c>
      <c r="Y244">
        <f t="shared" si="175"/>
        <v>-137.5923209599022</v>
      </c>
      <c r="Z244">
        <f t="shared" si="193"/>
        <v>42.407679040097804</v>
      </c>
      <c r="AC244">
        <v>1</v>
      </c>
      <c r="AD244">
        <f t="shared" si="176"/>
        <v>40.432297405500002</v>
      </c>
      <c r="AE244">
        <f t="shared" si="177"/>
        <v>-4.5727851006623841E-4</v>
      </c>
      <c r="AF244">
        <f t="shared" si="178"/>
        <v>3.1214864570399997E-3</v>
      </c>
      <c r="AG244">
        <f t="shared" si="194"/>
        <v>12634.818952320047</v>
      </c>
      <c r="AH244">
        <f t="shared" si="195"/>
        <v>-2171.2832263576702</v>
      </c>
      <c r="AJ244">
        <f t="shared" si="179"/>
        <v>18000</v>
      </c>
      <c r="AK244">
        <f t="shared" si="180"/>
        <v>17541.396720540004</v>
      </c>
      <c r="AL244">
        <v>1</v>
      </c>
      <c r="AM244">
        <f t="shared" si="181"/>
        <v>38.296642722030001</v>
      </c>
      <c r="AN244">
        <f t="shared" si="196"/>
        <v>469.99261836897495</v>
      </c>
      <c r="AO244">
        <f t="shared" si="197"/>
        <v>-457.74266712802364</v>
      </c>
      <c r="AQ244">
        <f t="shared" si="182"/>
        <v>0.11110987655692714</v>
      </c>
      <c r="AR244">
        <f t="shared" si="183"/>
        <v>-33.332962967078146</v>
      </c>
      <c r="AT244">
        <f t="shared" si="209"/>
        <v>-70971.450201106782</v>
      </c>
      <c r="AU244">
        <f t="shared" si="210"/>
        <v>-421397.20324467192</v>
      </c>
      <c r="AV244">
        <f t="shared" si="198"/>
        <v>-1.737649848000294</v>
      </c>
      <c r="AW244">
        <f t="shared" si="199"/>
        <v>-624.43937741112688</v>
      </c>
      <c r="AX244">
        <f t="shared" si="200"/>
        <v>-20377.877035894093</v>
      </c>
      <c r="AY244">
        <f t="shared" si="208"/>
        <v>-1.6014297454838884</v>
      </c>
      <c r="BA244">
        <f t="shared" si="184"/>
        <v>20.960544899039242</v>
      </c>
      <c r="BB244">
        <f t="shared" si="201"/>
        <v>26.428051371166919</v>
      </c>
      <c r="BC244">
        <f t="shared" si="202"/>
        <v>-0.13622010251640559</v>
      </c>
      <c r="BD244">
        <f t="shared" si="185"/>
        <v>-187.80483696794778</v>
      </c>
      <c r="BF244">
        <f t="shared" si="186"/>
        <v>-11.115371044086896</v>
      </c>
      <c r="BG244">
        <f t="shared" si="187"/>
        <v>-179.88967246555197</v>
      </c>
      <c r="BH244">
        <f t="shared" si="203"/>
        <v>0.11032753444803234</v>
      </c>
      <c r="BI244">
        <f t="shared" si="204"/>
        <v>0.11032753444803234</v>
      </c>
      <c r="BJ244">
        <f t="shared" si="188"/>
        <v>0</v>
      </c>
      <c r="BK244">
        <f t="shared" si="205"/>
        <v>0</v>
      </c>
      <c r="BM244">
        <f t="shared" si="206"/>
        <v>-37.543422415253815</v>
      </c>
      <c r="BN244">
        <f t="shared" si="189"/>
        <v>-172.08483549760419</v>
      </c>
      <c r="BQ244" s="56">
        <f t="shared" si="207"/>
        <v>43.330012171452054</v>
      </c>
      <c r="BR244" s="59"/>
      <c r="BS244" s="59"/>
      <c r="BT244" s="59">
        <v>21877.616000000002</v>
      </c>
      <c r="BU244" s="59">
        <v>-3.49654</v>
      </c>
      <c r="BV244" s="59">
        <v>-169.465</v>
      </c>
      <c r="BY244" s="59"/>
      <c r="BZ244" s="59"/>
      <c r="CA244" s="59"/>
      <c r="CC244" s="59"/>
    </row>
    <row r="245" spans="1:81" x14ac:dyDescent="0.25">
      <c r="A245">
        <f t="shared" si="211"/>
        <v>155000</v>
      </c>
      <c r="B245">
        <f t="shared" si="191"/>
        <v>155</v>
      </c>
      <c r="C245">
        <f t="shared" si="159"/>
        <v>1.008605892891105</v>
      </c>
      <c r="D245">
        <f t="shared" si="160"/>
        <v>0.13072585766488434</v>
      </c>
      <c r="F245">
        <f t="shared" si="161"/>
        <v>8.2176317029497071E-4</v>
      </c>
      <c r="G245">
        <f t="shared" si="162"/>
        <v>1.1216653506767505E-2</v>
      </c>
      <c r="H245">
        <f t="shared" si="163"/>
        <v>-3.1303759964932327</v>
      </c>
      <c r="J245">
        <f t="shared" si="164"/>
        <v>15</v>
      </c>
      <c r="M245">
        <f t="shared" si="165"/>
        <v>1.7223666224455484E-2</v>
      </c>
      <c r="N245">
        <f t="shared" si="166"/>
        <v>-1.5707963250000001</v>
      </c>
      <c r="O245">
        <f t="shared" si="167"/>
        <v>41.792006375765439</v>
      </c>
      <c r="P245">
        <f t="shared" si="168"/>
        <v>1.5468660220224351</v>
      </c>
      <c r="Q245">
        <f t="shared" si="169"/>
        <v>39.585830277335909</v>
      </c>
      <c r="R245">
        <f t="shared" si="170"/>
        <v>1.5455320748815295</v>
      </c>
      <c r="S245">
        <f t="shared" si="171"/>
        <v>0.70463410155403661</v>
      </c>
      <c r="T245">
        <f t="shared" si="172"/>
        <v>-0.78888897468331531</v>
      </c>
      <c r="U245">
        <f t="shared" si="173"/>
        <v>0.98873573302886608</v>
      </c>
      <c r="V245">
        <f t="shared" si="174"/>
        <v>-0.15023633388383886</v>
      </c>
      <c r="X245">
        <f t="shared" si="192"/>
        <v>-12.152761970350227</v>
      </c>
      <c r="Y245">
        <f t="shared" si="175"/>
        <v>-138.49385011404226</v>
      </c>
      <c r="Z245">
        <f t="shared" si="193"/>
        <v>41.50614988595774</v>
      </c>
      <c r="AC245">
        <v>1</v>
      </c>
      <c r="AD245">
        <f t="shared" si="176"/>
        <v>41.780040652350003</v>
      </c>
      <c r="AE245">
        <f t="shared" si="177"/>
        <v>-4.8827183130406126E-4</v>
      </c>
      <c r="AF245">
        <f t="shared" si="178"/>
        <v>3.2255360056079999E-3</v>
      </c>
      <c r="AG245">
        <f t="shared" si="194"/>
        <v>12616.852783236087</v>
      </c>
      <c r="AH245">
        <f t="shared" si="195"/>
        <v>-2219.9267970703404</v>
      </c>
      <c r="AJ245">
        <f t="shared" si="179"/>
        <v>18000</v>
      </c>
      <c r="AK245">
        <f t="shared" si="180"/>
        <v>18126.109944558</v>
      </c>
      <c r="AL245">
        <v>1</v>
      </c>
      <c r="AM245">
        <f t="shared" si="181"/>
        <v>39.573197479431002</v>
      </c>
      <c r="AN245">
        <f t="shared" si="196"/>
        <v>469.2344076708078</v>
      </c>
      <c r="AO245">
        <f t="shared" si="197"/>
        <v>-442.99593434271196</v>
      </c>
      <c r="AQ245">
        <f t="shared" si="182"/>
        <v>0.10405718983153141</v>
      </c>
      <c r="AR245">
        <f t="shared" si="183"/>
        <v>-32.257728847774736</v>
      </c>
      <c r="AT245">
        <f t="shared" si="209"/>
        <v>-70296.922436662411</v>
      </c>
      <c r="AU245">
        <f t="shared" si="210"/>
        <v>-407222.01533805655</v>
      </c>
      <c r="AV245">
        <f t="shared" si="198"/>
        <v>-1.7417371701885758</v>
      </c>
      <c r="AW245">
        <f t="shared" si="199"/>
        <v>319.06781683333622</v>
      </c>
      <c r="AX245">
        <f t="shared" si="200"/>
        <v>-19825.510532717883</v>
      </c>
      <c r="AY245">
        <f t="shared" si="208"/>
        <v>-1.5547039152885058</v>
      </c>
      <c r="BA245">
        <f t="shared" si="184"/>
        <v>20.841404753137649</v>
      </c>
      <c r="BB245">
        <f t="shared" si="201"/>
        <v>26.378539758936931</v>
      </c>
      <c r="BC245">
        <f t="shared" si="202"/>
        <v>-0.18703325490006995</v>
      </c>
      <c r="BD245">
        <f t="shared" si="185"/>
        <v>-190.71621614661359</v>
      </c>
      <c r="BF245">
        <f t="shared" si="186"/>
        <v>-11.730271571221749</v>
      </c>
      <c r="BG245">
        <f t="shared" si="187"/>
        <v>-182.58350931369642</v>
      </c>
      <c r="BH245">
        <f t="shared" si="203"/>
        <v>-2.5835093136964247</v>
      </c>
      <c r="BI245">
        <f t="shared" si="204"/>
        <v>-2.5835093136964247</v>
      </c>
      <c r="BJ245">
        <f t="shared" si="188"/>
        <v>0</v>
      </c>
      <c r="BK245">
        <f t="shared" si="205"/>
        <v>0</v>
      </c>
      <c r="BM245">
        <f t="shared" si="206"/>
        <v>-38.10881133015868</v>
      </c>
      <c r="BN245">
        <f t="shared" si="189"/>
        <v>-171.86729316708283</v>
      </c>
      <c r="BQ245" s="56">
        <f t="shared" si="207"/>
        <v>43.280500559222062</v>
      </c>
      <c r="BR245" s="59"/>
      <c r="BS245" s="59"/>
      <c r="BT245" s="59">
        <v>22387.210999999999</v>
      </c>
      <c r="BU245" s="59">
        <v>-3.4356</v>
      </c>
      <c r="BV245" s="59">
        <v>-168.34299999999999</v>
      </c>
      <c r="BY245" s="59"/>
      <c r="BZ245" s="59"/>
      <c r="CA245" s="59"/>
      <c r="CC245" s="59"/>
    </row>
    <row r="246" spans="1:81" x14ac:dyDescent="0.25">
      <c r="A246">
        <f t="shared" si="211"/>
        <v>160000</v>
      </c>
      <c r="B246">
        <f t="shared" si="191"/>
        <v>160</v>
      </c>
      <c r="C246">
        <f t="shared" si="159"/>
        <v>1.009167503675874</v>
      </c>
      <c r="D246">
        <f t="shared" si="160"/>
        <v>0.13489263351930664</v>
      </c>
      <c r="F246">
        <f t="shared" si="161"/>
        <v>7.7116855616874769E-4</v>
      </c>
      <c r="G246">
        <f t="shared" si="162"/>
        <v>1.0865598863523731E-2</v>
      </c>
      <c r="H246">
        <f t="shared" si="163"/>
        <v>-3.1307270511364766</v>
      </c>
      <c r="J246">
        <f t="shared" si="164"/>
        <v>15</v>
      </c>
      <c r="M246">
        <f t="shared" si="165"/>
        <v>1.6685426654941247E-2</v>
      </c>
      <c r="N246">
        <f t="shared" si="166"/>
        <v>-1.5707963250000001</v>
      </c>
      <c r="O246">
        <f t="shared" si="167"/>
        <v>43.139375795856104</v>
      </c>
      <c r="P246">
        <f t="shared" si="168"/>
        <v>1.5476135718170769</v>
      </c>
      <c r="Q246">
        <f t="shared" si="169"/>
        <v>40.86199037994308</v>
      </c>
      <c r="R246">
        <f t="shared" si="170"/>
        <v>1.5463212624182463</v>
      </c>
      <c r="S246">
        <f t="shared" si="171"/>
        <v>0.69328528634164566</v>
      </c>
      <c r="T246">
        <f t="shared" si="172"/>
        <v>-0.80475851258130993</v>
      </c>
      <c r="U246">
        <f t="shared" si="173"/>
        <v>0.98801051367907056</v>
      </c>
      <c r="V246">
        <f t="shared" si="174"/>
        <v>-0.15500658811422222</v>
      </c>
      <c r="X246">
        <f t="shared" si="192"/>
        <v>-12.57183861734848</v>
      </c>
      <c r="Y246">
        <f t="shared" si="175"/>
        <v>-139.36974980952044</v>
      </c>
      <c r="Z246">
        <f t="shared" si="193"/>
        <v>40.630250190479558</v>
      </c>
      <c r="AC246">
        <v>1</v>
      </c>
      <c r="AD246">
        <f t="shared" si="176"/>
        <v>43.127783899200004</v>
      </c>
      <c r="AE246">
        <f t="shared" si="177"/>
        <v>-5.2028132700869794E-4</v>
      </c>
      <c r="AF246">
        <f t="shared" si="178"/>
        <v>3.3295855541759997E-3</v>
      </c>
      <c r="AG246">
        <f t="shared" si="194"/>
        <v>12598.351115310428</v>
      </c>
      <c r="AH246">
        <f t="shared" si="195"/>
        <v>-2268.9571159750062</v>
      </c>
      <c r="AJ246">
        <f t="shared" si="179"/>
        <v>18000</v>
      </c>
      <c r="AK246">
        <f t="shared" si="180"/>
        <v>18710.823168576</v>
      </c>
      <c r="AL246">
        <v>1</v>
      </c>
      <c r="AM246">
        <f t="shared" si="181"/>
        <v>40.849752236832003</v>
      </c>
      <c r="AN246">
        <f t="shared" si="196"/>
        <v>468.54610570471311</v>
      </c>
      <c r="AO246">
        <f t="shared" si="197"/>
        <v>-429.16916099403232</v>
      </c>
      <c r="AQ246">
        <f t="shared" si="182"/>
        <v>9.7655296334996727E-2</v>
      </c>
      <c r="AR246">
        <f t="shared" si="183"/>
        <v>-31.249694827198955</v>
      </c>
      <c r="AT246">
        <f t="shared" si="209"/>
        <v>-69673.921738722434</v>
      </c>
      <c r="AU246">
        <f t="shared" si="210"/>
        <v>-393916.20335888444</v>
      </c>
      <c r="AV246">
        <f t="shared" si="198"/>
        <v>-1.7458606800594048</v>
      </c>
      <c r="AW246">
        <f t="shared" si="199"/>
        <v>1173.1444685207498</v>
      </c>
      <c r="AX246">
        <f t="shared" si="200"/>
        <v>-19313.954153384828</v>
      </c>
      <c r="AY246">
        <f t="shared" si="208"/>
        <v>-1.5101300905918902</v>
      </c>
      <c r="BA246">
        <f t="shared" si="184"/>
        <v>20.673893345153747</v>
      </c>
      <c r="BB246">
        <f t="shared" si="201"/>
        <v>26.308445429104705</v>
      </c>
      <c r="BC246">
        <f t="shared" si="202"/>
        <v>-0.23573058946751457</v>
      </c>
      <c r="BD246">
        <f t="shared" si="185"/>
        <v>-193.50636789405291</v>
      </c>
      <c r="BF246">
        <f t="shared" si="186"/>
        <v>-12.347477979396697</v>
      </c>
      <c r="BG246">
        <f t="shared" si="187"/>
        <v>-185.15503633968686</v>
      </c>
      <c r="BH246">
        <f t="shared" si="203"/>
        <v>-5.155036339686859</v>
      </c>
      <c r="BI246">
        <f t="shared" si="204"/>
        <v>-5.155036339686859</v>
      </c>
      <c r="BJ246">
        <f t="shared" si="188"/>
        <v>0</v>
      </c>
      <c r="BK246">
        <f t="shared" si="205"/>
        <v>0</v>
      </c>
      <c r="BM246">
        <f t="shared" si="206"/>
        <v>-38.655923408501401</v>
      </c>
      <c r="BN246">
        <f t="shared" si="189"/>
        <v>-171.64866844563394</v>
      </c>
      <c r="BQ246" s="56">
        <f t="shared" si="207"/>
        <v>43.210406229389847</v>
      </c>
      <c r="BR246" s="59"/>
      <c r="BS246" s="59"/>
      <c r="BT246" s="59">
        <v>22908.677</v>
      </c>
      <c r="BU246" s="59">
        <v>-3.37297</v>
      </c>
      <c r="BV246" s="59">
        <v>-167.03899999999999</v>
      </c>
      <c r="BY246" s="59"/>
      <c r="BZ246" s="59"/>
      <c r="CA246" s="59"/>
      <c r="CC246" s="59"/>
    </row>
    <row r="247" spans="1:81" x14ac:dyDescent="0.25">
      <c r="A247">
        <f t="shared" si="211"/>
        <v>165000</v>
      </c>
      <c r="B247">
        <f t="shared" si="191"/>
        <v>165</v>
      </c>
      <c r="C247">
        <f t="shared" si="159"/>
        <v>1.009746615980508</v>
      </c>
      <c r="D247">
        <f t="shared" si="160"/>
        <v>0.13905470208893903</v>
      </c>
      <c r="F247">
        <f t="shared" si="161"/>
        <v>7.25107606744716E-4</v>
      </c>
      <c r="G247">
        <f t="shared" si="162"/>
        <v>1.0535866677770006E-2</v>
      </c>
      <c r="H247">
        <f t="shared" si="163"/>
        <v>-3.1310567833222303</v>
      </c>
      <c r="J247">
        <f t="shared" si="164"/>
        <v>15</v>
      </c>
      <c r="M247">
        <f t="shared" si="165"/>
        <v>1.6179807665397575E-2</v>
      </c>
      <c r="N247">
        <f t="shared" si="166"/>
        <v>-1.5707963250000001</v>
      </c>
      <c r="O247">
        <f t="shared" si="167"/>
        <v>44.486767863253796</v>
      </c>
      <c r="P247">
        <f t="shared" si="168"/>
        <v>1.5483158391865131</v>
      </c>
      <c r="Q247">
        <f t="shared" si="169"/>
        <v>42.138174390596987</v>
      </c>
      <c r="R247">
        <f t="shared" si="170"/>
        <v>1.5470626482033762</v>
      </c>
      <c r="S247">
        <f t="shared" si="171"/>
        <v>0.68213255989692401</v>
      </c>
      <c r="T247">
        <f t="shared" si="172"/>
        <v>-0.82012123761562772</v>
      </c>
      <c r="U247">
        <f t="shared" si="173"/>
        <v>0.98726394157790021</v>
      </c>
      <c r="V247">
        <f t="shared" si="174"/>
        <v>-0.1597697414861092</v>
      </c>
      <c r="X247">
        <f t="shared" si="192"/>
        <v>-12.98223787172674</v>
      </c>
      <c r="Y247">
        <f t="shared" si="175"/>
        <v>-140.22058576885357</v>
      </c>
      <c r="Z247">
        <f t="shared" si="193"/>
        <v>39.779414231146433</v>
      </c>
      <c r="AC247">
        <v>1</v>
      </c>
      <c r="AD247">
        <f t="shared" si="176"/>
        <v>44.475527146050005</v>
      </c>
      <c r="AE247">
        <f t="shared" si="177"/>
        <v>-5.533069971801485E-4</v>
      </c>
      <c r="AF247">
        <f t="shared" si="178"/>
        <v>3.4336351027439995E-3</v>
      </c>
      <c r="AG247">
        <f t="shared" si="194"/>
        <v>12579.318880821327</v>
      </c>
      <c r="AH247">
        <f t="shared" si="195"/>
        <v>-2318.308416103202</v>
      </c>
      <c r="AJ247">
        <f t="shared" si="179"/>
        <v>18000</v>
      </c>
      <c r="AK247">
        <f t="shared" si="180"/>
        <v>19295.536392594</v>
      </c>
      <c r="AL247">
        <v>1</v>
      </c>
      <c r="AM247">
        <f t="shared" si="181"/>
        <v>42.126306994232998</v>
      </c>
      <c r="AN247">
        <f t="shared" si="196"/>
        <v>467.91937654486918</v>
      </c>
      <c r="AO247">
        <f t="shared" si="197"/>
        <v>-416.17891228526713</v>
      </c>
      <c r="AQ247">
        <f t="shared" si="182"/>
        <v>9.1826521335892239E-2</v>
      </c>
      <c r="AR247">
        <f t="shared" si="183"/>
        <v>-30.302752040844435</v>
      </c>
      <c r="AT247">
        <f t="shared" si="209"/>
        <v>-69096.009993777407</v>
      </c>
      <c r="AU247">
        <f t="shared" si="210"/>
        <v>-381400.86308547592</v>
      </c>
      <c r="AV247">
        <f t="shared" si="198"/>
        <v>-1.7500162621345268</v>
      </c>
      <c r="AW247">
        <f t="shared" si="199"/>
        <v>1948.3869687881761</v>
      </c>
      <c r="AX247">
        <f t="shared" si="200"/>
        <v>-18839.179218438043</v>
      </c>
      <c r="AY247">
        <f t="shared" si="208"/>
        <v>-1.467740643740777</v>
      </c>
      <c r="BA247">
        <f t="shared" si="184"/>
        <v>20.46547254941343</v>
      </c>
      <c r="BB247">
        <f t="shared" si="201"/>
        <v>26.220435539834241</v>
      </c>
      <c r="BC247">
        <f t="shared" si="202"/>
        <v>-0.28227561839374982</v>
      </c>
      <c r="BD247">
        <f t="shared" si="185"/>
        <v>-196.17320161188783</v>
      </c>
      <c r="BF247">
        <f t="shared" si="186"/>
        <v>-12.965441929273762</v>
      </c>
      <c r="BG247">
        <f t="shared" si="187"/>
        <v>-187.60229335680017</v>
      </c>
      <c r="BH247">
        <f t="shared" si="203"/>
        <v>-7.6022933568001747</v>
      </c>
      <c r="BI247">
        <f t="shared" si="204"/>
        <v>-7.6022933568001747</v>
      </c>
      <c r="BJ247">
        <f t="shared" si="188"/>
        <v>0</v>
      </c>
      <c r="BK247">
        <f t="shared" si="205"/>
        <v>0</v>
      </c>
      <c r="BM247">
        <f t="shared" si="206"/>
        <v>-39.185877469108007</v>
      </c>
      <c r="BN247">
        <f t="shared" si="189"/>
        <v>-171.42909174491237</v>
      </c>
      <c r="BQ247" s="56">
        <f t="shared" si="207"/>
        <v>43.12239634011938</v>
      </c>
      <c r="BR247" s="59"/>
      <c r="BS247" s="59"/>
      <c r="BT247" s="59">
        <v>23442.288</v>
      </c>
      <c r="BU247" s="59">
        <v>-3.29522</v>
      </c>
      <c r="BV247" s="59">
        <v>-165.876</v>
      </c>
      <c r="BY247" s="59"/>
      <c r="BZ247" s="59"/>
      <c r="CA247" s="59"/>
      <c r="CC247" s="59"/>
    </row>
    <row r="248" spans="1:81" x14ac:dyDescent="0.25">
      <c r="A248">
        <f t="shared" si="211"/>
        <v>170000</v>
      </c>
      <c r="B248">
        <f t="shared" si="191"/>
        <v>170</v>
      </c>
      <c r="C248">
        <f t="shared" si="159"/>
        <v>1.0103431997102466</v>
      </c>
      <c r="D248">
        <f t="shared" si="160"/>
        <v>0.14321192739766778</v>
      </c>
      <c r="F248">
        <f t="shared" si="161"/>
        <v>6.8305429095703917E-4</v>
      </c>
      <c r="G248">
        <f t="shared" si="162"/>
        <v>1.0225570328928256E-2</v>
      </c>
      <c r="H248">
        <f t="shared" si="163"/>
        <v>-3.131367079671072</v>
      </c>
      <c r="J248">
        <f t="shared" si="164"/>
        <v>15</v>
      </c>
      <c r="M248">
        <f t="shared" si="165"/>
        <v>1.5703930969356468E-2</v>
      </c>
      <c r="N248">
        <f t="shared" si="166"/>
        <v>-1.5707963250000001</v>
      </c>
      <c r="O248">
        <f t="shared" si="167"/>
        <v>45.834180580663016</v>
      </c>
      <c r="P248">
        <f t="shared" si="168"/>
        <v>1.5489768169828049</v>
      </c>
      <c r="Q248">
        <f t="shared" si="169"/>
        <v>43.414380200936343</v>
      </c>
      <c r="R248">
        <f t="shared" si="170"/>
        <v>1.5477604469134549</v>
      </c>
      <c r="S248">
        <f t="shared" si="171"/>
        <v>0.67118203181866976</v>
      </c>
      <c r="T248">
        <f t="shared" si="172"/>
        <v>-0.83499413302192826</v>
      </c>
      <c r="U248">
        <f t="shared" si="173"/>
        <v>0.98649616659899497</v>
      </c>
      <c r="V248">
        <f t="shared" si="174"/>
        <v>-0.16452559420509313</v>
      </c>
      <c r="X248">
        <f t="shared" si="192"/>
        <v>-13.384348330877014</v>
      </c>
      <c r="Y248">
        <f t="shared" si="175"/>
        <v>-141.04696524189723</v>
      </c>
      <c r="Z248">
        <f t="shared" si="193"/>
        <v>38.953034758102774</v>
      </c>
      <c r="AC248">
        <v>1</v>
      </c>
      <c r="AD248">
        <f t="shared" si="176"/>
        <v>45.823270392900007</v>
      </c>
      <c r="AE248">
        <f t="shared" si="177"/>
        <v>-5.8734884181841306E-4</v>
      </c>
      <c r="AF248">
        <f t="shared" si="178"/>
        <v>3.5376846513120001E-3</v>
      </c>
      <c r="AG248">
        <f t="shared" si="194"/>
        <v>12559.761130489978</v>
      </c>
      <c r="AH248">
        <f t="shared" si="195"/>
        <v>-2367.9219543784088</v>
      </c>
      <c r="AJ248">
        <f t="shared" si="179"/>
        <v>18000</v>
      </c>
      <c r="AK248">
        <f t="shared" si="180"/>
        <v>19880.249616612</v>
      </c>
      <c r="AL248">
        <v>1</v>
      </c>
      <c r="AM248">
        <f t="shared" si="181"/>
        <v>43.402861751633999</v>
      </c>
      <c r="AN248">
        <f t="shared" si="196"/>
        <v>467.34709047924423</v>
      </c>
      <c r="AO248">
        <f t="shared" si="197"/>
        <v>-403.9515414870242</v>
      </c>
      <c r="AQ248">
        <f t="shared" si="182"/>
        <v>8.6504442003096857E-2</v>
      </c>
      <c r="AR248">
        <f t="shared" si="183"/>
        <v>-29.411510281052934</v>
      </c>
      <c r="AT248">
        <f t="shared" si="209"/>
        <v>-68557.6857776463</v>
      </c>
      <c r="AU248">
        <f t="shared" si="210"/>
        <v>-369606.37938434543</v>
      </c>
      <c r="AV248">
        <f t="shared" si="198"/>
        <v>-1.7542002628223501</v>
      </c>
      <c r="AW248">
        <f t="shared" si="199"/>
        <v>2653.8595867589743</v>
      </c>
      <c r="AX248">
        <f t="shared" si="200"/>
        <v>-18397.670168376088</v>
      </c>
      <c r="AY248">
        <f t="shared" si="208"/>
        <v>-1.4275347699873238</v>
      </c>
      <c r="BA248">
        <f t="shared" si="184"/>
        <v>20.223210423237617</v>
      </c>
      <c r="BB248">
        <f t="shared" si="201"/>
        <v>26.117002014635844</v>
      </c>
      <c r="BC248">
        <f t="shared" si="202"/>
        <v>-0.32666549283502633</v>
      </c>
      <c r="BD248">
        <f t="shared" si="185"/>
        <v>-198.71655407339483</v>
      </c>
      <c r="BF248">
        <f t="shared" si="186"/>
        <v>-13.58268987144446</v>
      </c>
      <c r="BG248">
        <f t="shared" si="187"/>
        <v>-189.92523302456715</v>
      </c>
      <c r="BH248">
        <f t="shared" si="203"/>
        <v>-9.9252330245671487</v>
      </c>
      <c r="BI248">
        <f t="shared" si="204"/>
        <v>-9.9252330245671487</v>
      </c>
      <c r="BJ248">
        <f t="shared" si="188"/>
        <v>0</v>
      </c>
      <c r="BK248">
        <f t="shared" si="205"/>
        <v>0</v>
      </c>
      <c r="BM248">
        <f t="shared" si="206"/>
        <v>-39.699691886080302</v>
      </c>
      <c r="BN248">
        <f t="shared" si="189"/>
        <v>-171.20867895117232</v>
      </c>
      <c r="BQ248" s="56">
        <f t="shared" si="207"/>
        <v>43.018962814920982</v>
      </c>
      <c r="BR248" s="59"/>
      <c r="BS248" s="59"/>
      <c r="BT248" s="59">
        <v>23988.329000000002</v>
      </c>
      <c r="BU248" s="59">
        <v>-3.2437399999999998</v>
      </c>
      <c r="BV248" s="59">
        <v>-164.703</v>
      </c>
      <c r="BY248" s="59"/>
      <c r="BZ248" s="59"/>
      <c r="CA248" s="59"/>
      <c r="CC248" s="59"/>
    </row>
    <row r="249" spans="1:81" x14ac:dyDescent="0.25">
      <c r="A249">
        <f t="shared" si="211"/>
        <v>175000</v>
      </c>
      <c r="B249">
        <f t="shared" si="191"/>
        <v>175</v>
      </c>
      <c r="C249">
        <f t="shared" si="159"/>
        <v>1.0109572239344999</v>
      </c>
      <c r="D249">
        <f t="shared" si="160"/>
        <v>0.1473641744552428</v>
      </c>
      <c r="F249">
        <f t="shared" si="161"/>
        <v>6.4455672956826757E-4</v>
      </c>
      <c r="G249">
        <f t="shared" si="162"/>
        <v>9.9330395259833032E-3</v>
      </c>
      <c r="H249">
        <f t="shared" si="163"/>
        <v>-3.1316596104740171</v>
      </c>
      <c r="J249">
        <f t="shared" si="164"/>
        <v>15</v>
      </c>
      <c r="M249">
        <f t="shared" si="165"/>
        <v>1.5255247227374855E-2</v>
      </c>
      <c r="N249">
        <f t="shared" si="166"/>
        <v>-1.5707963250000001</v>
      </c>
      <c r="O249">
        <f t="shared" si="167"/>
        <v>47.181612178914371</v>
      </c>
      <c r="P249">
        <f t="shared" si="168"/>
        <v>1.5496000420951073</v>
      </c>
      <c r="Q249">
        <f t="shared" si="169"/>
        <v>44.690605943395191</v>
      </c>
      <c r="R249">
        <f t="shared" si="170"/>
        <v>1.5484183919748238</v>
      </c>
      <c r="S249">
        <f t="shared" si="171"/>
        <v>0.66043831254024565</v>
      </c>
      <c r="T249">
        <f t="shared" si="172"/>
        <v>-0.84939398409547373</v>
      </c>
      <c r="U249">
        <f t="shared" si="173"/>
        <v>0.98570734223642209</v>
      </c>
      <c r="V249">
        <f t="shared" si="174"/>
        <v>-0.16927394840966664</v>
      </c>
      <c r="X249">
        <f t="shared" si="192"/>
        <v>-13.77852587032136</v>
      </c>
      <c r="Y249">
        <f t="shared" si="175"/>
        <v>-141.8495254952029</v>
      </c>
      <c r="Z249">
        <f t="shared" si="193"/>
        <v>38.150474504797103</v>
      </c>
      <c r="AC249">
        <v>1</v>
      </c>
      <c r="AD249">
        <f t="shared" si="176"/>
        <v>47.171013639750008</v>
      </c>
      <c r="AE249">
        <f t="shared" si="177"/>
        <v>-6.2240686092349107E-4</v>
      </c>
      <c r="AF249">
        <f t="shared" si="178"/>
        <v>3.6417341998800003E-3</v>
      </c>
      <c r="AG249">
        <f t="shared" si="194"/>
        <v>12539.68303024836</v>
      </c>
      <c r="AH249">
        <f t="shared" si="195"/>
        <v>-2417.7450271144398</v>
      </c>
      <c r="AJ249">
        <f t="shared" si="179"/>
        <v>18000</v>
      </c>
      <c r="AK249">
        <f t="shared" si="180"/>
        <v>20464.96284063</v>
      </c>
      <c r="AL249">
        <v>1</v>
      </c>
      <c r="AM249">
        <f t="shared" si="181"/>
        <v>44.679416509035001</v>
      </c>
      <c r="AN249">
        <f t="shared" si="196"/>
        <v>466.82312049910189</v>
      </c>
      <c r="AO249">
        <f t="shared" si="197"/>
        <v>-392.42179619680945</v>
      </c>
      <c r="AQ249">
        <f t="shared" si="182"/>
        <v>8.1631986677659779E-2</v>
      </c>
      <c r="AR249">
        <f t="shared" si="183"/>
        <v>-28.571195337180921</v>
      </c>
      <c r="AT249">
        <f t="shared" si="209"/>
        <v>-68054.226207117143</v>
      </c>
      <c r="AU249">
        <f t="shared" si="210"/>
        <v>-358471.098653402</v>
      </c>
      <c r="AV249">
        <f t="shared" si="198"/>
        <v>-1.7584094248217101</v>
      </c>
      <c r="AW249">
        <f t="shared" si="199"/>
        <v>3297.3529376447905</v>
      </c>
      <c r="AX249">
        <f t="shared" si="200"/>
        <v>-17986.344733632119</v>
      </c>
      <c r="AY249">
        <f t="shared" si="208"/>
        <v>-1.3894842764502151</v>
      </c>
      <c r="BA249">
        <f t="shared" si="184"/>
        <v>19.953625811887672</v>
      </c>
      <c r="BB249">
        <f t="shared" si="201"/>
        <v>26.000436473656741</v>
      </c>
      <c r="BC249">
        <f t="shared" si="202"/>
        <v>-0.36892514837149504</v>
      </c>
      <c r="BD249">
        <f t="shared" si="185"/>
        <v>-201.13785398207787</v>
      </c>
      <c r="BF249">
        <f t="shared" si="186"/>
        <v>-14.197859805517304</v>
      </c>
      <c r="BG249">
        <f t="shared" si="187"/>
        <v>-192.12538748148918</v>
      </c>
      <c r="BH249">
        <f t="shared" si="203"/>
        <v>-12.125387481489184</v>
      </c>
      <c r="BI249">
        <f t="shared" si="204"/>
        <v>-12.125387481489184</v>
      </c>
      <c r="BJ249">
        <f t="shared" si="188"/>
        <v>0</v>
      </c>
      <c r="BK249">
        <f t="shared" si="205"/>
        <v>0</v>
      </c>
      <c r="BM249">
        <f t="shared" si="206"/>
        <v>-40.198296279174045</v>
      </c>
      <c r="BN249">
        <f t="shared" si="189"/>
        <v>-170.98753349941131</v>
      </c>
      <c r="BQ249" s="56">
        <f t="shared" si="207"/>
        <v>42.90239727394188</v>
      </c>
      <c r="BR249" s="59"/>
      <c r="BS249" s="59"/>
      <c r="BT249" s="59">
        <v>24547.089</v>
      </c>
      <c r="BU249" s="59">
        <v>-3.1709299999999998</v>
      </c>
      <c r="BV249" s="59">
        <v>-163.65100000000001</v>
      </c>
      <c r="BY249" s="59"/>
      <c r="BZ249" s="59"/>
      <c r="CA249" s="59"/>
      <c r="CC249" s="59"/>
    </row>
    <row r="250" spans="1:81" x14ac:dyDescent="0.25">
      <c r="A250">
        <f t="shared" si="211"/>
        <v>180000</v>
      </c>
      <c r="B250">
        <f t="shared" si="191"/>
        <v>180</v>
      </c>
      <c r="C250">
        <f t="shared" si="159"/>
        <v>1.0115886568946502</v>
      </c>
      <c r="D250">
        <f t="shared" si="160"/>
        <v>0.15151130928112175</v>
      </c>
      <c r="F250">
        <f t="shared" si="161"/>
        <v>6.0922499425046885E-4</v>
      </c>
      <c r="G250">
        <f t="shared" si="162"/>
        <v>9.6567901472116024E-3</v>
      </c>
      <c r="H250">
        <f t="shared" si="163"/>
        <v>-3.1319358598527884</v>
      </c>
      <c r="J250">
        <f t="shared" si="164"/>
        <v>15</v>
      </c>
      <c r="M250">
        <f t="shared" si="165"/>
        <v>1.4831490359947777E-2</v>
      </c>
      <c r="N250">
        <f t="shared" si="166"/>
        <v>-1.5707963250000001</v>
      </c>
      <c r="O250">
        <f t="shared" si="167"/>
        <v>48.529061085302232</v>
      </c>
      <c r="P250">
        <f t="shared" si="168"/>
        <v>1.5501886587198919</v>
      </c>
      <c r="Q250">
        <f t="shared" si="169"/>
        <v>45.966849957784703</v>
      </c>
      <c r="R250">
        <f t="shared" si="170"/>
        <v>1.5490398023357537</v>
      </c>
      <c r="S250">
        <f t="shared" si="171"/>
        <v>0.64990468324805628</v>
      </c>
      <c r="T250">
        <f t="shared" si="172"/>
        <v>-0.86333731097946864</v>
      </c>
      <c r="U250">
        <f t="shared" si="173"/>
        <v>0.98489762552259075</v>
      </c>
      <c r="V250">
        <f t="shared" si="174"/>
        <v>-0.17401460821419365</v>
      </c>
      <c r="X250">
        <f t="shared" si="192"/>
        <v>-14.165097893610314</v>
      </c>
      <c r="Y250">
        <f t="shared" si="175"/>
        <v>-142.62892423934815</v>
      </c>
      <c r="Z250">
        <f t="shared" si="193"/>
        <v>37.371075760651848</v>
      </c>
      <c r="AC250">
        <v>1</v>
      </c>
      <c r="AD250">
        <f t="shared" si="176"/>
        <v>48.518756886600002</v>
      </c>
      <c r="AE250">
        <f t="shared" si="177"/>
        <v>-6.5848105449538329E-4</v>
      </c>
      <c r="AF250">
        <f t="shared" si="178"/>
        <v>3.7457837484480001E-3</v>
      </c>
      <c r="AG250">
        <f t="shared" si="194"/>
        <v>12519.089857956726</v>
      </c>
      <c r="AH250">
        <f t="shared" si="195"/>
        <v>-2467.7301498837774</v>
      </c>
      <c r="AJ250">
        <f t="shared" si="179"/>
        <v>18000</v>
      </c>
      <c r="AK250">
        <f t="shared" si="180"/>
        <v>21049.676064648</v>
      </c>
      <c r="AL250">
        <v>1</v>
      </c>
      <c r="AM250">
        <f t="shared" si="181"/>
        <v>45.955971266436002</v>
      </c>
      <c r="AN250">
        <f t="shared" si="196"/>
        <v>466.34217774309843</v>
      </c>
      <c r="AO250">
        <f t="shared" si="197"/>
        <v>-381.53165604102094</v>
      </c>
      <c r="AQ250">
        <f t="shared" si="182"/>
        <v>7.7159898457573636E-2</v>
      </c>
      <c r="AR250">
        <f t="shared" si="183"/>
        <v>-27.777563444726507</v>
      </c>
      <c r="AT250">
        <f t="shared" si="209"/>
        <v>-67581.55910063989</v>
      </c>
      <c r="AU250">
        <f t="shared" si="210"/>
        <v>-347940.2226074108</v>
      </c>
      <c r="AV250">
        <f t="shared" si="198"/>
        <v>-1.7626408324507743</v>
      </c>
      <c r="AW250">
        <f t="shared" si="199"/>
        <v>3885.5929859428716</v>
      </c>
      <c r="AX250">
        <f t="shared" si="200"/>
        <v>-17602.488628459549</v>
      </c>
      <c r="AY250">
        <f t="shared" si="208"/>
        <v>-1.3535392298167228</v>
      </c>
      <c r="BA250">
        <f t="shared" si="184"/>
        <v>19.662597056579553</v>
      </c>
      <c r="BB250">
        <f t="shared" si="201"/>
        <v>25.872817587167638</v>
      </c>
      <c r="BC250">
        <f t="shared" si="202"/>
        <v>-0.40910160263405149</v>
      </c>
      <c r="BD250">
        <f t="shared" si="185"/>
        <v>-203.4397952497531</v>
      </c>
      <c r="BF250">
        <f t="shared" si="186"/>
        <v>-14.809723963446375</v>
      </c>
      <c r="BG250">
        <f t="shared" si="187"/>
        <v>-194.2055433498131</v>
      </c>
      <c r="BH250">
        <f t="shared" si="203"/>
        <v>-14.205543349813098</v>
      </c>
      <c r="BI250">
        <f t="shared" si="204"/>
        <v>-14.205543349813098</v>
      </c>
      <c r="BJ250">
        <f t="shared" si="188"/>
        <v>0</v>
      </c>
      <c r="BK250">
        <f t="shared" si="205"/>
        <v>0</v>
      </c>
      <c r="BM250">
        <f t="shared" si="206"/>
        <v>-40.682541550614019</v>
      </c>
      <c r="BN250">
        <f t="shared" si="189"/>
        <v>-170.76574810005999</v>
      </c>
      <c r="BQ250" s="56">
        <f t="shared" si="207"/>
        <v>42.774778387452777</v>
      </c>
      <c r="BR250" s="59"/>
      <c r="BS250" s="59"/>
      <c r="BT250" s="59">
        <v>25118.864000000001</v>
      </c>
      <c r="BU250" s="59">
        <v>-3.1069800000000001</v>
      </c>
      <c r="BV250" s="59">
        <v>-162.52199999999999</v>
      </c>
      <c r="BY250" s="59"/>
      <c r="BZ250" s="59"/>
      <c r="CA250" s="59"/>
      <c r="CC250" s="59"/>
    </row>
    <row r="251" spans="1:81" x14ac:dyDescent="0.25">
      <c r="A251">
        <f t="shared" si="211"/>
        <v>185000</v>
      </c>
      <c r="B251">
        <f t="shared" si="191"/>
        <v>185</v>
      </c>
      <c r="C251">
        <f t="shared" si="159"/>
        <v>1.0122374660120288</v>
      </c>
      <c r="D251">
        <f t="shared" si="160"/>
        <v>0.15565319892781695</v>
      </c>
      <c r="F251">
        <f t="shared" si="161"/>
        <v>5.7672118654237864E-4</v>
      </c>
      <c r="G251">
        <f t="shared" si="162"/>
        <v>9.395498991580941E-3</v>
      </c>
      <c r="H251">
        <f t="shared" si="163"/>
        <v>-3.1321971510084192</v>
      </c>
      <c r="J251">
        <f t="shared" si="164"/>
        <v>15</v>
      </c>
      <c r="M251">
        <f t="shared" si="165"/>
        <v>1.4430639269138379E-2</v>
      </c>
      <c r="N251">
        <f t="shared" si="166"/>
        <v>-1.5707963250000001</v>
      </c>
      <c r="O251">
        <f t="shared" si="167"/>
        <v>49.876525897052701</v>
      </c>
      <c r="P251">
        <f t="shared" si="168"/>
        <v>1.5507454713816509</v>
      </c>
      <c r="Q251">
        <f t="shared" si="169"/>
        <v>47.243110763289494</v>
      </c>
      <c r="R251">
        <f t="shared" si="170"/>
        <v>1.5496276384230234</v>
      </c>
      <c r="S251">
        <f t="shared" si="171"/>
        <v>0.63958325261104432</v>
      </c>
      <c r="T251">
        <f t="shared" si="172"/>
        <v>-0.87684031380131722</v>
      </c>
      <c r="U251">
        <f t="shared" si="173"/>
        <v>0.98406717694482926</v>
      </c>
      <c r="V251">
        <f t="shared" si="174"/>
        <v>-0.17874737975063046</v>
      </c>
      <c r="X251">
        <f t="shared" si="192"/>
        <v>-14.54436690052567</v>
      </c>
      <c r="Y251">
        <f t="shared" si="175"/>
        <v>-143.38583168922858</v>
      </c>
      <c r="Z251">
        <f t="shared" si="193"/>
        <v>36.614168310771419</v>
      </c>
      <c r="AC251">
        <v>1</v>
      </c>
      <c r="AD251">
        <f t="shared" si="176"/>
        <v>49.866500133450003</v>
      </c>
      <c r="AE251">
        <f t="shared" si="177"/>
        <v>-6.9557142253408929E-4</v>
      </c>
      <c r="AF251">
        <f t="shared" si="178"/>
        <v>3.8498332970159999E-3</v>
      </c>
      <c r="AG251">
        <f t="shared" si="194"/>
        <v>12497.987000074507</v>
      </c>
      <c r="AH251">
        <f t="shared" si="195"/>
        <v>-2517.8343706382293</v>
      </c>
      <c r="AJ251">
        <f t="shared" si="179"/>
        <v>18000</v>
      </c>
      <c r="AK251">
        <f t="shared" si="180"/>
        <v>21634.389288666</v>
      </c>
      <c r="AL251">
        <v>1</v>
      </c>
      <c r="AM251">
        <f t="shared" si="181"/>
        <v>47.232526023836996</v>
      </c>
      <c r="AN251">
        <f t="shared" si="196"/>
        <v>465.89967760286396</v>
      </c>
      <c r="AO251">
        <f t="shared" si="197"/>
        <v>-371.22935820853917</v>
      </c>
      <c r="AQ251">
        <f t="shared" si="182"/>
        <v>7.3045485423773385E-2</v>
      </c>
      <c r="AR251">
        <f t="shared" si="183"/>
        <v>-27.026829606796152</v>
      </c>
      <c r="AT251">
        <f t="shared" si="209"/>
        <v>-67136.1589861338</v>
      </c>
      <c r="AU251">
        <f t="shared" si="210"/>
        <v>-337964.88151278702</v>
      </c>
      <c r="AV251">
        <f t="shared" si="198"/>
        <v>-1.7668918658367636</v>
      </c>
      <c r="AW251">
        <f t="shared" si="199"/>
        <v>4424.4111120752723</v>
      </c>
      <c r="AX251">
        <f t="shared" si="200"/>
        <v>-17243.701768526655</v>
      </c>
      <c r="AY251">
        <f t="shared" si="208"/>
        <v>-1.3196331714688077</v>
      </c>
      <c r="BA251">
        <f t="shared" si="184"/>
        <v>19.355323232780343</v>
      </c>
      <c r="BB251">
        <f t="shared" si="201"/>
        <v>25.736008568166085</v>
      </c>
      <c r="BC251">
        <f t="shared" si="202"/>
        <v>-0.44725869436795596</v>
      </c>
      <c r="BD251">
        <f t="shared" si="185"/>
        <v>-205.62603556709749</v>
      </c>
      <c r="BF251">
        <f t="shared" si="186"/>
        <v>-15.417199973288799</v>
      </c>
      <c r="BG251">
        <f t="shared" si="187"/>
        <v>-196.16944175138059</v>
      </c>
      <c r="BH251">
        <f t="shared" si="203"/>
        <v>-16.169441751380589</v>
      </c>
      <c r="BI251">
        <f t="shared" si="204"/>
        <v>-16.169441751380589</v>
      </c>
      <c r="BJ251">
        <f t="shared" si="188"/>
        <v>0</v>
      </c>
      <c r="BK251">
        <f t="shared" si="205"/>
        <v>0</v>
      </c>
      <c r="BM251">
        <f t="shared" si="206"/>
        <v>-41.153208541454887</v>
      </c>
      <c r="BN251">
        <f t="shared" si="189"/>
        <v>-170.54340618428313</v>
      </c>
      <c r="BQ251" s="56">
        <f t="shared" si="207"/>
        <v>42.637969368451223</v>
      </c>
      <c r="BR251" s="59"/>
      <c r="BS251" s="59"/>
      <c r="BT251" s="59">
        <v>25703.957999999999</v>
      </c>
      <c r="BU251" s="59">
        <v>-3.0172699999999999</v>
      </c>
      <c r="BV251" s="59">
        <v>-161.32599999999999</v>
      </c>
      <c r="BY251" s="59"/>
      <c r="BZ251" s="59"/>
      <c r="CA251" s="59"/>
      <c r="CC251" s="59"/>
    </row>
    <row r="252" spans="1:81" x14ac:dyDescent="0.25">
      <c r="A252">
        <f t="shared" si="211"/>
        <v>190000</v>
      </c>
      <c r="B252">
        <f t="shared" si="191"/>
        <v>190</v>
      </c>
      <c r="C252">
        <f t="shared" si="159"/>
        <v>1.0129036178960682</v>
      </c>
      <c r="D252">
        <f t="shared" si="160"/>
        <v>0.15978971150373678</v>
      </c>
      <c r="F252">
        <f t="shared" si="161"/>
        <v>5.4675132240939622E-4</v>
      </c>
      <c r="G252">
        <f t="shared" si="162"/>
        <v>9.1479825328235082E-3</v>
      </c>
      <c r="H252">
        <f t="shared" si="163"/>
        <v>-3.1324446674671766</v>
      </c>
      <c r="J252">
        <f t="shared" si="164"/>
        <v>15</v>
      </c>
      <c r="M252">
        <f t="shared" si="165"/>
        <v>1.405088560416105E-2</v>
      </c>
      <c r="N252">
        <f t="shared" si="166"/>
        <v>-1.5707963250000001</v>
      </c>
      <c r="O252">
        <f t="shared" si="167"/>
        <v>51.224005358977962</v>
      </c>
      <c r="P252">
        <f t="shared" si="168"/>
        <v>1.5512729895900212</v>
      </c>
      <c r="Q252">
        <f t="shared" si="169"/>
        <v>48.51938703488198</v>
      </c>
      <c r="R252">
        <f t="shared" si="170"/>
        <v>1.5501845492727924</v>
      </c>
      <c r="S252">
        <f t="shared" si="171"/>
        <v>0.62947510043590504</v>
      </c>
      <c r="T252">
        <f t="shared" si="172"/>
        <v>-0.88991882868472882</v>
      </c>
      <c r="U252">
        <f t="shared" si="173"/>
        <v>0.98321616036071557</v>
      </c>
      <c r="V252">
        <f t="shared" si="174"/>
        <v>-0.18347207120897871</v>
      </c>
      <c r="X252">
        <f t="shared" si="192"/>
        <v>-14.916613494788697</v>
      </c>
      <c r="Y252">
        <f t="shared" si="175"/>
        <v>-144.120924002983</v>
      </c>
      <c r="Z252">
        <f t="shared" si="193"/>
        <v>35.879075997016997</v>
      </c>
      <c r="AC252">
        <v>1</v>
      </c>
      <c r="AD252">
        <f t="shared" si="176"/>
        <v>51.214243380300005</v>
      </c>
      <c r="AE252">
        <f t="shared" si="177"/>
        <v>-7.3367796503960928E-4</v>
      </c>
      <c r="AF252">
        <f t="shared" si="178"/>
        <v>3.9538828455840001E-3</v>
      </c>
      <c r="AG252">
        <f t="shared" si="194"/>
        <v>12476.379948288331</v>
      </c>
      <c r="AH252">
        <f t="shared" si="195"/>
        <v>-2568.0186915152376</v>
      </c>
      <c r="AJ252">
        <f t="shared" si="179"/>
        <v>18000</v>
      </c>
      <c r="AK252">
        <f t="shared" si="180"/>
        <v>22219.102512684003</v>
      </c>
      <c r="AL252">
        <v>1</v>
      </c>
      <c r="AM252">
        <f t="shared" si="181"/>
        <v>48.509080781237998</v>
      </c>
      <c r="AN252">
        <f t="shared" si="196"/>
        <v>465.49163013132176</v>
      </c>
      <c r="AO252">
        <f t="shared" si="197"/>
        <v>-361.46857634644266</v>
      </c>
      <c r="AQ252">
        <f t="shared" si="182"/>
        <v>6.92515979806234E-2</v>
      </c>
      <c r="AR252">
        <f t="shared" si="183"/>
        <v>-26.315607232636893</v>
      </c>
      <c r="AT252">
        <f t="shared" si="209"/>
        <v>-66714.962003552748</v>
      </c>
      <c r="AU252">
        <f t="shared" si="210"/>
        <v>-328501.35380233388</v>
      </c>
      <c r="AV252">
        <f t="shared" si="198"/>
        <v>-1.7711601623361006</v>
      </c>
      <c r="AW252">
        <f t="shared" si="199"/>
        <v>4918.8833156626151</v>
      </c>
      <c r="AX252">
        <f t="shared" si="200"/>
        <v>-16907.853700966196</v>
      </c>
      <c r="AY252">
        <f t="shared" si="208"/>
        <v>-1.287687728973838</v>
      </c>
      <c r="BA252">
        <f t="shared" si="184"/>
        <v>19.036325371209351</v>
      </c>
      <c r="BB252">
        <f t="shared" si="201"/>
        <v>25.591662384094775</v>
      </c>
      <c r="BC252">
        <f t="shared" si="202"/>
        <v>-0.48347243336226264</v>
      </c>
      <c r="BD252">
        <f t="shared" si="185"/>
        <v>-207.70092997423052</v>
      </c>
      <c r="BF252">
        <f t="shared" si="186"/>
        <v>-16.019353145256527</v>
      </c>
      <c r="BG252">
        <f t="shared" si="187"/>
        <v>-198.02151309420285</v>
      </c>
      <c r="BH252">
        <f t="shared" si="203"/>
        <v>-18.021513094202845</v>
      </c>
      <c r="BI252">
        <f t="shared" si="204"/>
        <v>-18.021513094202845</v>
      </c>
      <c r="BJ252">
        <f t="shared" si="188"/>
        <v>0</v>
      </c>
      <c r="BK252">
        <f t="shared" si="205"/>
        <v>0</v>
      </c>
      <c r="BM252">
        <f t="shared" si="206"/>
        <v>-41.611015529351299</v>
      </c>
      <c r="BN252">
        <f t="shared" si="189"/>
        <v>-170.32058311997233</v>
      </c>
      <c r="BQ252" s="56">
        <f t="shared" si="207"/>
        <v>42.493623184379913</v>
      </c>
      <c r="BR252" s="59"/>
      <c r="BS252" s="59"/>
      <c r="BT252" s="59">
        <v>26302.68</v>
      </c>
      <c r="BU252" s="59">
        <v>-2.9494799999999999</v>
      </c>
      <c r="BV252" s="59">
        <v>-160.22999999999999</v>
      </c>
      <c r="BY252" s="59"/>
      <c r="BZ252" s="59"/>
      <c r="CA252" s="59"/>
      <c r="CC252" s="59"/>
    </row>
    <row r="253" spans="1:81" x14ac:dyDescent="0.25">
      <c r="A253">
        <f t="shared" si="211"/>
        <v>195000</v>
      </c>
      <c r="B253">
        <f t="shared" si="191"/>
        <v>195</v>
      </c>
      <c r="C253">
        <f t="shared" si="159"/>
        <v>1.0135870783526173</v>
      </c>
      <c r="D253">
        <f t="shared" si="160"/>
        <v>0.1639207161955126</v>
      </c>
      <c r="F253">
        <f t="shared" si="161"/>
        <v>5.1905865632522537E-4</v>
      </c>
      <c r="G253">
        <f t="shared" si="162"/>
        <v>8.9131789545827747E-3</v>
      </c>
      <c r="H253">
        <f t="shared" si="163"/>
        <v>-3.1326794710454173</v>
      </c>
      <c r="J253">
        <f t="shared" si="164"/>
        <v>15</v>
      </c>
      <c r="M253">
        <f t="shared" si="165"/>
        <v>1.3690606486105639E-2</v>
      </c>
      <c r="N253">
        <f t="shared" si="166"/>
        <v>-1.5707963250000001</v>
      </c>
      <c r="O253">
        <f t="shared" si="167"/>
        <v>52.57149834456591</v>
      </c>
      <c r="P253">
        <f t="shared" si="168"/>
        <v>1.5517734656328876</v>
      </c>
      <c r="Q253">
        <f t="shared" si="169"/>
        <v>49.79567758336254</v>
      </c>
      <c r="R253">
        <f t="shared" si="170"/>
        <v>1.5507129124179873</v>
      </c>
      <c r="S253">
        <f t="shared" si="171"/>
        <v>0.61958040859971131</v>
      </c>
      <c r="T253">
        <f t="shared" si="172"/>
        <v>-0.90258829327439549</v>
      </c>
      <c r="U253">
        <f t="shared" si="173"/>
        <v>0.98234474291223584</v>
      </c>
      <c r="V253">
        <f t="shared" si="174"/>
        <v>-0.18818849287645548</v>
      </c>
      <c r="X253">
        <f t="shared" si="192"/>
        <v>-15.282098929356561</v>
      </c>
      <c r="Y253">
        <f t="shared" si="175"/>
        <v>-144.83487788621431</v>
      </c>
      <c r="Z253">
        <f t="shared" si="193"/>
        <v>35.165122113785685</v>
      </c>
      <c r="AC253">
        <v>1</v>
      </c>
      <c r="AD253">
        <f t="shared" si="176"/>
        <v>52.561986627149999</v>
      </c>
      <c r="AE253">
        <f t="shared" si="177"/>
        <v>-7.7280068201194283E-4</v>
      </c>
      <c r="AF253">
        <f t="shared" si="178"/>
        <v>4.0579323941520003E-3</v>
      </c>
      <c r="AG253">
        <f t="shared" si="194"/>
        <v>12454.274296100919</v>
      </c>
      <c r="AH253">
        <f t="shared" si="195"/>
        <v>-2618.2475798024898</v>
      </c>
      <c r="AJ253">
        <f t="shared" si="179"/>
        <v>18000</v>
      </c>
      <c r="AK253">
        <f t="shared" si="180"/>
        <v>22803.815736702003</v>
      </c>
      <c r="AL253">
        <v>1</v>
      </c>
      <c r="AM253">
        <f t="shared" si="181"/>
        <v>49.785635538638999</v>
      </c>
      <c r="AN253">
        <f t="shared" si="196"/>
        <v>465.11454984079563</v>
      </c>
      <c r="AO253">
        <f t="shared" si="197"/>
        <v>-352.20772538999222</v>
      </c>
      <c r="AQ253">
        <f t="shared" si="182"/>
        <v>6.5745787338676268E-2</v>
      </c>
      <c r="AR253">
        <f t="shared" si="183"/>
        <v>-25.640857062083747</v>
      </c>
      <c r="AT253">
        <f t="shared" si="209"/>
        <v>-66315.295877533354</v>
      </c>
      <c r="AU253">
        <f t="shared" si="210"/>
        <v>-319510.40578688902</v>
      </c>
      <c r="AV253">
        <f t="shared" si="198"/>
        <v>-1.7754435838885712</v>
      </c>
      <c r="AW253">
        <f t="shared" si="199"/>
        <v>5373.4447934212039</v>
      </c>
      <c r="AX253">
        <f t="shared" si="200"/>
        <v>-16593.046451476381</v>
      </c>
      <c r="AY253">
        <f t="shared" si="208"/>
        <v>-1.2576165493364098</v>
      </c>
      <c r="BA253">
        <f t="shared" si="184"/>
        <v>18.709475858459921</v>
      </c>
      <c r="BB253">
        <f t="shared" si="201"/>
        <v>25.441232420265205</v>
      </c>
      <c r="BC253">
        <f t="shared" si="202"/>
        <v>-0.51782703455216139</v>
      </c>
      <c r="BD253">
        <f t="shared" si="185"/>
        <v>-209.66930363151602</v>
      </c>
      <c r="BF253">
        <f t="shared" si="186"/>
        <v>-16.615392328798375</v>
      </c>
      <c r="BG253">
        <f t="shared" si="187"/>
        <v>-199.76665087129354</v>
      </c>
      <c r="BH253">
        <f t="shared" si="203"/>
        <v>-19.766650871293535</v>
      </c>
      <c r="BI253">
        <f t="shared" si="204"/>
        <v>-19.766650871293535</v>
      </c>
      <c r="BJ253">
        <f t="shared" si="188"/>
        <v>0</v>
      </c>
      <c r="BK253">
        <f t="shared" si="205"/>
        <v>0</v>
      </c>
      <c r="BM253">
        <f t="shared" si="206"/>
        <v>-42.05662474906358</v>
      </c>
      <c r="BN253">
        <f t="shared" si="189"/>
        <v>-170.09734723977749</v>
      </c>
      <c r="BQ253" s="56">
        <f t="shared" si="207"/>
        <v>42.343193220550347</v>
      </c>
      <c r="BR253" s="59"/>
      <c r="BS253" s="59"/>
      <c r="BT253" s="59">
        <v>26915.348000000002</v>
      </c>
      <c r="BU253" s="59">
        <v>-2.8411300000000002</v>
      </c>
      <c r="BV253" s="59">
        <v>-159.27600000000001</v>
      </c>
      <c r="BY253" s="59"/>
      <c r="BZ253" s="59"/>
      <c r="CA253" s="59"/>
      <c r="CC253" s="59"/>
    </row>
    <row r="254" spans="1:81" x14ac:dyDescent="0.25">
      <c r="A254">
        <f t="shared" si="211"/>
        <v>200000</v>
      </c>
      <c r="B254">
        <f t="shared" si="191"/>
        <v>200</v>
      </c>
      <c r="C254">
        <f t="shared" si="159"/>
        <v>1.0142878123924222</v>
      </c>
      <c r="D254">
        <f t="shared" si="160"/>
        <v>0.16804608328980428</v>
      </c>
      <c r="F254">
        <f t="shared" si="161"/>
        <v>4.9341816023794219E-4</v>
      </c>
      <c r="G254">
        <f t="shared" si="162"/>
        <v>8.6901328900423815E-3</v>
      </c>
      <c r="H254">
        <f t="shared" si="163"/>
        <v>-3.132902517109958</v>
      </c>
      <c r="J254">
        <f t="shared" si="164"/>
        <v>15</v>
      </c>
      <c r="M254">
        <f t="shared" si="165"/>
        <v>1.3348341323953E-2</v>
      </c>
      <c r="N254">
        <f t="shared" si="166"/>
        <v>-1.5707963250000001</v>
      </c>
      <c r="O254">
        <f t="shared" si="167"/>
        <v>53.919003839904619</v>
      </c>
      <c r="P254">
        <f t="shared" si="168"/>
        <v>1.5522489267054556</v>
      </c>
      <c r="Q254">
        <f t="shared" si="169"/>
        <v>51.071981338391424</v>
      </c>
      <c r="R254">
        <f t="shared" si="170"/>
        <v>1.5512148677983859</v>
      </c>
      <c r="S254">
        <f t="shared" si="171"/>
        <v>0.60989857978316642</v>
      </c>
      <c r="T254">
        <f t="shared" si="172"/>
        <v>-0.91486372052455722</v>
      </c>
      <c r="U254">
        <f t="shared" si="173"/>
        <v>0.98145309493886146</v>
      </c>
      <c r="V254">
        <f t="shared" si="174"/>
        <v>-0.19289645717536544</v>
      </c>
      <c r="X254">
        <f t="shared" si="192"/>
        <v>-15.641067268985235</v>
      </c>
      <c r="Y254">
        <f t="shared" si="175"/>
        <v>-145.52836618169522</v>
      </c>
      <c r="Z254">
        <f t="shared" si="193"/>
        <v>34.471633818304781</v>
      </c>
      <c r="AC254">
        <v>1</v>
      </c>
      <c r="AD254">
        <f t="shared" si="176"/>
        <v>53.909729874000007</v>
      </c>
      <c r="AE254">
        <f t="shared" si="177"/>
        <v>-8.1293957345109048E-4</v>
      </c>
      <c r="AF254">
        <f t="shared" si="178"/>
        <v>4.1619819427199996E-3</v>
      </c>
      <c r="AG254">
        <f t="shared" si="194"/>
        <v>12431.675735384626</v>
      </c>
      <c r="AH254">
        <f t="shared" si="195"/>
        <v>-2668.4885524389283</v>
      </c>
      <c r="AJ254">
        <f t="shared" si="179"/>
        <v>18000</v>
      </c>
      <c r="AK254">
        <f t="shared" si="180"/>
        <v>23388.528960720003</v>
      </c>
      <c r="AL254">
        <v>1</v>
      </c>
      <c r="AM254">
        <f t="shared" si="181"/>
        <v>51.062190296040001</v>
      </c>
      <c r="AN254">
        <f t="shared" si="196"/>
        <v>464.76538106755959</v>
      </c>
      <c r="AO254">
        <f t="shared" si="197"/>
        <v>-343.40937036326744</v>
      </c>
      <c r="AQ254">
        <f t="shared" si="182"/>
        <v>6.2499609377441388E-2</v>
      </c>
      <c r="AR254">
        <f t="shared" si="183"/>
        <v>-24.999843750976556</v>
      </c>
      <c r="AT254">
        <f t="shared" si="209"/>
        <v>-65934.821984874259</v>
      </c>
      <c r="AU254">
        <f t="shared" si="210"/>
        <v>-310956.73043957783</v>
      </c>
      <c r="AV254">
        <f t="shared" si="198"/>
        <v>-1.7797401892680169</v>
      </c>
      <c r="AW254">
        <f t="shared" si="199"/>
        <v>5791.984746494104</v>
      </c>
      <c r="AX254">
        <f t="shared" si="200"/>
        <v>-16297.583382825811</v>
      </c>
      <c r="AY254">
        <f t="shared" si="208"/>
        <v>-1.2293285494944781</v>
      </c>
      <c r="BA254">
        <f t="shared" si="184"/>
        <v>18.378045909620237</v>
      </c>
      <c r="BB254">
        <f t="shared" si="201"/>
        <v>25.285986641779985</v>
      </c>
      <c r="BC254">
        <f t="shared" si="202"/>
        <v>-0.5504116397735388</v>
      </c>
      <c r="BD254">
        <f t="shared" si="185"/>
        <v>-211.53626398993421</v>
      </c>
      <c r="BF254">
        <f t="shared" si="186"/>
        <v>-17.204661442961775</v>
      </c>
      <c r="BG254">
        <f t="shared" si="187"/>
        <v>-201.41002470414637</v>
      </c>
      <c r="BH254">
        <f t="shared" si="203"/>
        <v>-21.410024704146366</v>
      </c>
      <c r="BI254">
        <f t="shared" si="204"/>
        <v>-21.410024704146366</v>
      </c>
      <c r="BJ254">
        <f t="shared" si="188"/>
        <v>0</v>
      </c>
      <c r="BK254">
        <f t="shared" si="205"/>
        <v>0</v>
      </c>
      <c r="BM254">
        <f t="shared" si="206"/>
        <v>-42.49064808474175</v>
      </c>
      <c r="BN254">
        <f t="shared" si="189"/>
        <v>-169.87376071421215</v>
      </c>
      <c r="BQ254" s="56">
        <f t="shared" si="207"/>
        <v>42.187947442065123</v>
      </c>
      <c r="BR254" s="59"/>
      <c r="BS254" s="59"/>
      <c r="BT254" s="59">
        <v>27542.287</v>
      </c>
      <c r="BU254" s="59">
        <v>-2.7366600000000001</v>
      </c>
      <c r="BV254" s="59">
        <v>-158.108</v>
      </c>
      <c r="BY254" s="59"/>
      <c r="BZ254" s="59"/>
      <c r="CA254" s="59"/>
      <c r="CC254" s="59"/>
    </row>
    <row r="255" spans="1:81" x14ac:dyDescent="0.25">
      <c r="A255">
        <f t="shared" si="211"/>
        <v>205000</v>
      </c>
      <c r="B255">
        <f t="shared" si="191"/>
        <v>205</v>
      </c>
      <c r="C255">
        <f t="shared" si="159"/>
        <v>1.0150057842397626</v>
      </c>
      <c r="D255">
        <f t="shared" si="160"/>
        <v>0.17216568419457623</v>
      </c>
      <c r="F255">
        <f t="shared" si="161"/>
        <v>4.6963193457853943E-4</v>
      </c>
      <c r="G255">
        <f t="shared" si="162"/>
        <v>8.4779824024601054E-3</v>
      </c>
      <c r="H255">
        <f t="shared" si="163"/>
        <v>-3.1331146675975403</v>
      </c>
      <c r="J255">
        <f t="shared" si="164"/>
        <v>15</v>
      </c>
      <c r="M255">
        <f t="shared" si="165"/>
        <v>1.3022772023368779E-2</v>
      </c>
      <c r="N255">
        <f t="shared" si="166"/>
        <v>-1.5707963250000001</v>
      </c>
      <c r="O255">
        <f t="shared" si="167"/>
        <v>55.266520929957771</v>
      </c>
      <c r="P255">
        <f t="shared" si="168"/>
        <v>1.5527012023413957</v>
      </c>
      <c r="Q255">
        <f t="shared" si="169"/>
        <v>52.348297334002133</v>
      </c>
      <c r="R255">
        <f t="shared" si="170"/>
        <v>1.5516923467128236</v>
      </c>
      <c r="S255">
        <f t="shared" si="171"/>
        <v>0.60042834464556993</v>
      </c>
      <c r="T255">
        <f t="shared" si="172"/>
        <v>-0.92675967961854355</v>
      </c>
      <c r="U255">
        <f t="shared" si="173"/>
        <v>0.98054138988962447</v>
      </c>
      <c r="V255">
        <f t="shared" si="174"/>
        <v>-0.1975957786996633</v>
      </c>
      <c r="X255">
        <f t="shared" si="192"/>
        <v>-15.993747235013965</v>
      </c>
      <c r="Y255">
        <f t="shared" si="175"/>
        <v>-146.2020542924466</v>
      </c>
      <c r="Z255">
        <f t="shared" si="193"/>
        <v>33.797945707553396</v>
      </c>
      <c r="AC255">
        <v>1</v>
      </c>
      <c r="AD255">
        <f t="shared" si="176"/>
        <v>55.257473120850001</v>
      </c>
      <c r="AE255">
        <f t="shared" si="177"/>
        <v>-8.5409463935705201E-4</v>
      </c>
      <c r="AF255">
        <f t="shared" si="178"/>
        <v>4.2660314912879999E-3</v>
      </c>
      <c r="AG255">
        <f t="shared" si="194"/>
        <v>12408.590052903328</v>
      </c>
      <c r="AH255">
        <f t="shared" si="195"/>
        <v>-2718.7118214784373</v>
      </c>
      <c r="AJ255">
        <f t="shared" si="179"/>
        <v>18000</v>
      </c>
      <c r="AK255">
        <f t="shared" si="180"/>
        <v>23973.242184738003</v>
      </c>
      <c r="AL255">
        <v>1</v>
      </c>
      <c r="AM255">
        <f t="shared" si="181"/>
        <v>52.338745053441002</v>
      </c>
      <c r="AN255">
        <f t="shared" si="196"/>
        <v>464.44143590707785</v>
      </c>
      <c r="AO255">
        <f t="shared" si="197"/>
        <v>-335.03972145660094</v>
      </c>
      <c r="AQ255">
        <f t="shared" si="182"/>
        <v>5.9488045877180984E-2</v>
      </c>
      <c r="AR255">
        <f t="shared" si="183"/>
        <v>-24.390098809644201</v>
      </c>
      <c r="AT255">
        <f t="shared" si="209"/>
        <v>-65571.487186468614</v>
      </c>
      <c r="AU255">
        <f t="shared" si="210"/>
        <v>-302808.46833224327</v>
      </c>
      <c r="AV255">
        <f t="shared" si="198"/>
        <v>-1.7840482103942548</v>
      </c>
      <c r="AW255">
        <f t="shared" si="199"/>
        <v>6177.925221369489</v>
      </c>
      <c r="AX255">
        <f t="shared" si="200"/>
        <v>-16019.942956118857</v>
      </c>
      <c r="AY255">
        <f t="shared" si="208"/>
        <v>-1.2027305254433496</v>
      </c>
      <c r="BA255">
        <f t="shared" si="184"/>
        <v>18.044763063259747</v>
      </c>
      <c r="BB255">
        <f t="shared" si="201"/>
        <v>25.127023678595567</v>
      </c>
      <c r="BC255">
        <f t="shared" si="202"/>
        <v>-0.58131768495090519</v>
      </c>
      <c r="BD255">
        <f t="shared" si="185"/>
        <v>-213.30704994206138</v>
      </c>
      <c r="BF255">
        <f t="shared" si="186"/>
        <v>-17.786628378560842</v>
      </c>
      <c r="BG255">
        <f t="shared" si="187"/>
        <v>-202.9569302384561</v>
      </c>
      <c r="BH255">
        <f t="shared" si="203"/>
        <v>-22.956930238456096</v>
      </c>
      <c r="BI255">
        <f t="shared" si="204"/>
        <v>-22.956930238456096</v>
      </c>
      <c r="BJ255">
        <f t="shared" si="188"/>
        <v>0</v>
      </c>
      <c r="BK255">
        <f t="shared" si="205"/>
        <v>0</v>
      </c>
      <c r="BM255">
        <f t="shared" si="206"/>
        <v>-42.913652057156412</v>
      </c>
      <c r="BN255">
        <f t="shared" si="189"/>
        <v>-169.64988029639471</v>
      </c>
      <c r="BQ255" s="56">
        <f t="shared" si="207"/>
        <v>42.028984478880709</v>
      </c>
      <c r="BR255" s="59"/>
      <c r="BS255" s="59"/>
      <c r="BT255" s="59">
        <v>28183.829000000002</v>
      </c>
      <c r="BU255" s="59">
        <v>-2.6523400000000001</v>
      </c>
      <c r="BV255" s="59">
        <v>-157.06299999999999</v>
      </c>
      <c r="BY255" s="59"/>
      <c r="BZ255" s="59"/>
      <c r="CA255" s="59"/>
      <c r="CC255" s="59"/>
    </row>
    <row r="256" spans="1:81" x14ac:dyDescent="0.25">
      <c r="A256">
        <f t="shared" si="211"/>
        <v>210000</v>
      </c>
      <c r="B256">
        <f t="shared" si="191"/>
        <v>210</v>
      </c>
      <c r="C256">
        <f t="shared" si="159"/>
        <v>1.0157409573412433</v>
      </c>
      <c r="D256">
        <f t="shared" si="160"/>
        <v>0.17627939145983762</v>
      </c>
      <c r="F256">
        <f t="shared" si="161"/>
        <v>4.4752537570854392E-4</v>
      </c>
      <c r="G256">
        <f t="shared" si="162"/>
        <v>8.2759478317102324E-3</v>
      </c>
      <c r="H256">
        <f t="shared" si="163"/>
        <v>-3.1333167021682899</v>
      </c>
      <c r="J256">
        <f t="shared" si="164"/>
        <v>15</v>
      </c>
      <c r="M256">
        <f t="shared" si="165"/>
        <v>1.2712706022812379E-2</v>
      </c>
      <c r="N256">
        <f t="shared" si="166"/>
        <v>-1.5707963250000001</v>
      </c>
      <c r="O256">
        <f t="shared" si="167"/>
        <v>56.614048786799664</v>
      </c>
      <c r="P256">
        <f t="shared" si="168"/>
        <v>1.5531319479283352</v>
      </c>
      <c r="Q256">
        <f t="shared" si="169"/>
        <v>53.624624696182941</v>
      </c>
      <c r="R256">
        <f t="shared" si="170"/>
        <v>1.5521470966389943</v>
      </c>
      <c r="S256">
        <f t="shared" si="171"/>
        <v>0.59116785815729722</v>
      </c>
      <c r="T256">
        <f t="shared" si="172"/>
        <v>-0.93829028299989159</v>
      </c>
      <c r="U256">
        <f t="shared" si="173"/>
        <v>0.9796098042342789</v>
      </c>
      <c r="V256">
        <f t="shared" si="174"/>
        <v>-0.20228627425019469</v>
      </c>
      <c r="X256">
        <f t="shared" si="192"/>
        <v>-16.340353785494166</v>
      </c>
      <c r="Y256">
        <f t="shared" si="175"/>
        <v>-146.85659730914429</v>
      </c>
      <c r="Z256">
        <f t="shared" si="193"/>
        <v>33.143402690855709</v>
      </c>
      <c r="AC256">
        <v>1</v>
      </c>
      <c r="AD256">
        <f t="shared" si="176"/>
        <v>56.605216367700002</v>
      </c>
      <c r="AE256">
        <f t="shared" si="177"/>
        <v>-8.9626587972982744E-4</v>
      </c>
      <c r="AF256">
        <f t="shared" si="178"/>
        <v>4.3700810398560001E-3</v>
      </c>
      <c r="AG256">
        <f t="shared" si="194"/>
        <v>12385.023126806453</v>
      </c>
      <c r="AH256">
        <f t="shared" si="195"/>
        <v>-2768.8899903376077</v>
      </c>
      <c r="AJ256">
        <f t="shared" si="179"/>
        <v>18000</v>
      </c>
      <c r="AK256">
        <f t="shared" si="180"/>
        <v>24557.955408756003</v>
      </c>
      <c r="AL256">
        <v>1</v>
      </c>
      <c r="AM256">
        <f t="shared" si="181"/>
        <v>53.615299810842004</v>
      </c>
      <c r="AN256">
        <f t="shared" si="196"/>
        <v>464.14034235744788</v>
      </c>
      <c r="AO256">
        <f t="shared" si="197"/>
        <v>-327.06820104541271</v>
      </c>
      <c r="AQ256">
        <f t="shared" si="182"/>
        <v>5.6689021037295707E-2</v>
      </c>
      <c r="AR256">
        <f t="shared" si="183"/>
        <v>-23.809388835664198</v>
      </c>
      <c r="AT256">
        <f t="shared" si="209"/>
        <v>-65223.483586543662</v>
      </c>
      <c r="AU256">
        <f t="shared" si="210"/>
        <v>-295036.79702774069</v>
      </c>
      <c r="AV256">
        <f t="shared" si="198"/>
        <v>-1.7883660320298391</v>
      </c>
      <c r="AW256">
        <f t="shared" si="199"/>
        <v>6534.2869845495316</v>
      </c>
      <c r="AX256">
        <f t="shared" si="200"/>
        <v>-15758.75651432783</v>
      </c>
      <c r="AY256">
        <f t="shared" si="208"/>
        <v>-1.1777291875695568</v>
      </c>
      <c r="BA256">
        <f t="shared" si="184"/>
        <v>17.711872682296711</v>
      </c>
      <c r="BB256">
        <f t="shared" si="201"/>
        <v>24.965289634407135</v>
      </c>
      <c r="BC256">
        <f t="shared" si="202"/>
        <v>-0.61063684446028232</v>
      </c>
      <c r="BD256">
        <f t="shared" si="185"/>
        <v>-214.98691404273904</v>
      </c>
      <c r="BF256">
        <f t="shared" si="186"/>
        <v>-18.360872573774657</v>
      </c>
      <c r="BG256">
        <f t="shared" si="187"/>
        <v>-204.41267200264559</v>
      </c>
      <c r="BH256">
        <f t="shared" si="203"/>
        <v>-24.412672002645593</v>
      </c>
      <c r="BI256">
        <f t="shared" si="204"/>
        <v>-24.412672002645593</v>
      </c>
      <c r="BJ256">
        <f t="shared" si="188"/>
        <v>0</v>
      </c>
      <c r="BK256">
        <f t="shared" si="205"/>
        <v>0</v>
      </c>
      <c r="BM256">
        <f t="shared" si="206"/>
        <v>-43.326162208181799</v>
      </c>
      <c r="BN256">
        <f t="shared" si="189"/>
        <v>-169.42575795990655</v>
      </c>
      <c r="BQ256" s="56">
        <f t="shared" si="207"/>
        <v>41.867250434692274</v>
      </c>
      <c r="BR256" s="59"/>
      <c r="BS256" s="59"/>
      <c r="BT256" s="59">
        <v>28840.314999999999</v>
      </c>
      <c r="BU256" s="59">
        <v>-2.5506799999999998</v>
      </c>
      <c r="BV256" s="59">
        <v>-156.01</v>
      </c>
      <c r="BY256" s="59"/>
      <c r="BZ256" s="59"/>
      <c r="CA256" s="59"/>
      <c r="CC256" s="59"/>
    </row>
    <row r="257" spans="1:81" x14ac:dyDescent="0.25">
      <c r="A257">
        <f t="shared" si="211"/>
        <v>215000</v>
      </c>
      <c r="B257">
        <f t="shared" si="191"/>
        <v>215</v>
      </c>
      <c r="C257">
        <f t="shared" si="159"/>
        <v>1.0164932943747318</v>
      </c>
      <c r="D257">
        <f t="shared" si="160"/>
        <v>0.18038707879784005</v>
      </c>
      <c r="F257">
        <f t="shared" si="161"/>
        <v>4.2694396057058379E-4</v>
      </c>
      <c r="G257">
        <f t="shared" si="162"/>
        <v>8.0833222019716169E-3</v>
      </c>
      <c r="H257">
        <f t="shared" si="163"/>
        <v>-3.1335093277980284</v>
      </c>
      <c r="J257">
        <f t="shared" si="164"/>
        <v>15</v>
      </c>
      <c r="M257">
        <f t="shared" si="165"/>
        <v>1.2417061696700465E-2</v>
      </c>
      <c r="N257">
        <f t="shared" si="166"/>
        <v>-1.5707963250000001</v>
      </c>
      <c r="O257">
        <f t="shared" si="167"/>
        <v>57.961586659490813</v>
      </c>
      <c r="P257">
        <f t="shared" si="168"/>
        <v>1.5535426649445732</v>
      </c>
      <c r="Q257">
        <f t="shared" si="169"/>
        <v>54.900962632190158</v>
      </c>
      <c r="R257">
        <f t="shared" si="170"/>
        <v>1.5525807025929146</v>
      </c>
      <c r="S257">
        <f t="shared" si="171"/>
        <v>0.58211478584615439</v>
      </c>
      <c r="T257">
        <f t="shared" si="172"/>
        <v>-0.94946917860451441</v>
      </c>
      <c r="U257">
        <f t="shared" si="173"/>
        <v>0.97865851737362697</v>
      </c>
      <c r="V257">
        <f t="shared" si="174"/>
        <v>-0.20696776286860569</v>
      </c>
      <c r="X257">
        <f t="shared" si="192"/>
        <v>-16.681089474240508</v>
      </c>
      <c r="Y257">
        <f t="shared" si="175"/>
        <v>-147.49263773215401</v>
      </c>
      <c r="Z257">
        <f t="shared" si="193"/>
        <v>32.507362267845991</v>
      </c>
      <c r="AC257">
        <v>1</v>
      </c>
      <c r="AD257">
        <f t="shared" si="176"/>
        <v>57.952959614550004</v>
      </c>
      <c r="AE257">
        <f t="shared" si="177"/>
        <v>-9.3945329456941631E-4</v>
      </c>
      <c r="AF257">
        <f t="shared" si="178"/>
        <v>4.4741305884239994E-3</v>
      </c>
      <c r="AG257">
        <f t="shared" si="194"/>
        <v>12360.980923098805</v>
      </c>
      <c r="AH257">
        <f t="shared" si="195"/>
        <v>-2818.9977925426665</v>
      </c>
      <c r="AJ257">
        <f t="shared" si="179"/>
        <v>18000</v>
      </c>
      <c r="AK257">
        <f t="shared" si="180"/>
        <v>25142.668632774003</v>
      </c>
      <c r="AL257">
        <v>1</v>
      </c>
      <c r="AM257">
        <f t="shared" si="181"/>
        <v>54.891854568242998</v>
      </c>
      <c r="AN257">
        <f t="shared" si="196"/>
        <v>463.86000079651171</v>
      </c>
      <c r="AO257">
        <f t="shared" si="197"/>
        <v>-319.46707097320052</v>
      </c>
      <c r="AQ257">
        <f t="shared" si="182"/>
        <v>5.4082995765301428E-2</v>
      </c>
      <c r="AR257">
        <f t="shared" si="183"/>
        <v>-23.255688179079616</v>
      </c>
      <c r="AT257">
        <f t="shared" si="209"/>
        <v>-64889.214761967101</v>
      </c>
      <c r="AU257">
        <f t="shared" si="210"/>
        <v>-287615.57778081403</v>
      </c>
      <c r="AV257">
        <f t="shared" si="198"/>
        <v>-1.7926921743109661</v>
      </c>
      <c r="AW257">
        <f t="shared" si="199"/>
        <v>6863.7448115795396</v>
      </c>
      <c r="AX257">
        <f t="shared" si="200"/>
        <v>-15512.789384190319</v>
      </c>
      <c r="AY257">
        <f t="shared" si="208"/>
        <v>-1.1542327013425038</v>
      </c>
      <c r="BA257">
        <f t="shared" si="184"/>
        <v>17.381199237564026</v>
      </c>
      <c r="BB257">
        <f t="shared" si="201"/>
        <v>24.801594756739426</v>
      </c>
      <c r="BC257">
        <f t="shared" si="202"/>
        <v>-0.63845947296846228</v>
      </c>
      <c r="BD257">
        <f t="shared" si="185"/>
        <v>-216.58103323303968</v>
      </c>
      <c r="BF257">
        <f t="shared" si="186"/>
        <v>-18.927072211179844</v>
      </c>
      <c r="BG257">
        <f t="shared" si="187"/>
        <v>-205.78247468027308</v>
      </c>
      <c r="BH257">
        <f t="shared" si="203"/>
        <v>-25.782474680273083</v>
      </c>
      <c r="BI257">
        <f t="shared" si="204"/>
        <v>-25.782474680273083</v>
      </c>
      <c r="BJ257">
        <f t="shared" si="188"/>
        <v>0</v>
      </c>
      <c r="BK257">
        <f t="shared" si="205"/>
        <v>0</v>
      </c>
      <c r="BM257">
        <f t="shared" si="206"/>
        <v>-43.728666967919267</v>
      </c>
      <c r="BN257">
        <f t="shared" si="189"/>
        <v>-169.20144144723344</v>
      </c>
      <c r="BQ257" s="56">
        <f t="shared" si="207"/>
        <v>41.703555557024565</v>
      </c>
      <c r="BR257" s="59"/>
      <c r="BS257" s="59"/>
      <c r="BT257" s="59">
        <v>29512.092000000001</v>
      </c>
      <c r="BU257" s="59">
        <v>-2.44991</v>
      </c>
      <c r="BV257" s="59">
        <v>-155.03200000000001</v>
      </c>
      <c r="BY257" s="59"/>
      <c r="BZ257" s="59"/>
      <c r="CA257" s="59"/>
      <c r="CC257" s="59"/>
    </row>
    <row r="258" spans="1:81" x14ac:dyDescent="0.25">
      <c r="A258">
        <f t="shared" si="211"/>
        <v>220000</v>
      </c>
      <c r="B258">
        <f t="shared" si="191"/>
        <v>220</v>
      </c>
      <c r="C258">
        <f t="shared" si="159"/>
        <v>1.0172627572584403</v>
      </c>
      <c r="D258">
        <f t="shared" si="160"/>
        <v>0.18448862110272696</v>
      </c>
      <c r="F258">
        <f t="shared" si="161"/>
        <v>4.0775053749214353E-4</v>
      </c>
      <c r="G258">
        <f t="shared" si="162"/>
        <v>7.8994629413446961E-3</v>
      </c>
      <c r="H258">
        <f t="shared" si="163"/>
        <v>-3.1336931870586553</v>
      </c>
      <c r="J258">
        <f t="shared" si="164"/>
        <v>15</v>
      </c>
      <c r="M258">
        <f t="shared" si="165"/>
        <v>1.2134855749048179E-2</v>
      </c>
      <c r="N258">
        <f t="shared" si="166"/>
        <v>-1.5707963250000001</v>
      </c>
      <c r="O258">
        <f t="shared" si="167"/>
        <v>59.30913386533355</v>
      </c>
      <c r="P258">
        <f t="shared" si="168"/>
        <v>1.5539347184382155</v>
      </c>
      <c r="Q258">
        <f t="shared" si="169"/>
        <v>56.177310421317713</v>
      </c>
      <c r="R258">
        <f t="shared" si="170"/>
        <v>1.5529946055780506</v>
      </c>
      <c r="S258">
        <f t="shared" si="171"/>
        <v>0.57326638072812741</v>
      </c>
      <c r="T258">
        <f t="shared" si="172"/>
        <v>-0.96030954648598432</v>
      </c>
      <c r="U258">
        <f t="shared" si="173"/>
        <v>0.97768771154909961</v>
      </c>
      <c r="V258">
        <f t="shared" si="174"/>
        <v>-0.21164006586991305</v>
      </c>
      <c r="X258">
        <f t="shared" si="192"/>
        <v>-17.016145624651674</v>
      </c>
      <c r="Y258">
        <f t="shared" si="175"/>
        <v>-148.11080369480769</v>
      </c>
      <c r="Z258">
        <f t="shared" si="193"/>
        <v>31.889196305192314</v>
      </c>
      <c r="AC258">
        <v>1</v>
      </c>
      <c r="AD258">
        <f t="shared" si="176"/>
        <v>59.300702861400005</v>
      </c>
      <c r="AE258">
        <f t="shared" si="177"/>
        <v>-9.8365688387581939E-4</v>
      </c>
      <c r="AF258">
        <f t="shared" si="178"/>
        <v>4.5781801369919996E-3</v>
      </c>
      <c r="AG258">
        <f t="shared" si="194"/>
        <v>12336.469492089896</v>
      </c>
      <c r="AH258">
        <f t="shared" si="195"/>
        <v>-2869.011866197176</v>
      </c>
      <c r="AJ258">
        <f t="shared" si="179"/>
        <v>18000</v>
      </c>
      <c r="AK258">
        <f t="shared" si="180"/>
        <v>25727.381856792003</v>
      </c>
      <c r="AL258">
        <v>1</v>
      </c>
      <c r="AM258">
        <f t="shared" si="181"/>
        <v>56.168409325643999</v>
      </c>
      <c r="AN258">
        <f t="shared" si="196"/>
        <v>463.59854729660861</v>
      </c>
      <c r="AO258">
        <f t="shared" si="197"/>
        <v>-312.21111053784193</v>
      </c>
      <c r="AQ258">
        <f t="shared" si="182"/>
        <v>5.1652625761230572E-2</v>
      </c>
      <c r="AR258">
        <f t="shared" si="183"/>
        <v>-22.72715533494145</v>
      </c>
      <c r="AT258">
        <f t="shared" si="209"/>
        <v>-64567.267298963721</v>
      </c>
      <c r="AU258">
        <f t="shared" si="210"/>
        <v>-280521.05042772257</v>
      </c>
      <c r="AV258">
        <f t="shared" si="198"/>
        <v>-1.7970252776618492</v>
      </c>
      <c r="AW258">
        <f t="shared" si="199"/>
        <v>7168.6740904406097</v>
      </c>
      <c r="AX258">
        <f t="shared" si="200"/>
        <v>-15280.924730240014</v>
      </c>
      <c r="AY258">
        <f t="shared" si="208"/>
        <v>-1.1321518141000866</v>
      </c>
      <c r="BA258">
        <f t="shared" si="184"/>
        <v>17.054204614941366</v>
      </c>
      <c r="BB258">
        <f t="shared" si="201"/>
        <v>24.636629386158791</v>
      </c>
      <c r="BC258">
        <f t="shared" si="202"/>
        <v>-0.66487346356176258</v>
      </c>
      <c r="BD258">
        <f t="shared" si="185"/>
        <v>-218.09444341586337</v>
      </c>
      <c r="BF258">
        <f t="shared" si="186"/>
        <v>-19.484991689897214</v>
      </c>
      <c r="BG258">
        <f t="shared" si="187"/>
        <v>-207.07141815893419</v>
      </c>
      <c r="BH258">
        <f t="shared" si="203"/>
        <v>-27.071418158934193</v>
      </c>
      <c r="BI258">
        <f t="shared" si="204"/>
        <v>-27.071418158934193</v>
      </c>
      <c r="BJ258">
        <f t="shared" si="188"/>
        <v>0</v>
      </c>
      <c r="BK258">
        <f t="shared" si="205"/>
        <v>0</v>
      </c>
      <c r="BM258">
        <f t="shared" si="206"/>
        <v>-44.121621076056002</v>
      </c>
      <c r="BN258">
        <f t="shared" si="189"/>
        <v>-168.97697474307088</v>
      </c>
      <c r="BQ258" s="56">
        <f t="shared" si="207"/>
        <v>41.538590186443926</v>
      </c>
      <c r="BR258" s="59"/>
      <c r="BS258" s="59"/>
      <c r="BT258" s="59">
        <v>30199.517</v>
      </c>
      <c r="BU258" s="59">
        <v>-2.3553299999999999</v>
      </c>
      <c r="BV258" s="59">
        <v>-154.00200000000001</v>
      </c>
      <c r="BY258" s="59"/>
      <c r="BZ258" s="59"/>
      <c r="CA258" s="59"/>
      <c r="CC258" s="59"/>
    </row>
    <row r="259" spans="1:81" x14ac:dyDescent="0.25">
      <c r="A259">
        <f t="shared" si="211"/>
        <v>225000</v>
      </c>
      <c r="B259">
        <f t="shared" si="191"/>
        <v>225</v>
      </c>
      <c r="C259">
        <f t="shared" si="159"/>
        <v>1.0180493071601462</v>
      </c>
      <c r="D259">
        <f t="shared" si="160"/>
        <v>0.18858389446962887</v>
      </c>
      <c r="F259">
        <f t="shared" si="161"/>
        <v>3.8982303407816908E-4</v>
      </c>
      <c r="G259">
        <f t="shared" si="162"/>
        <v>7.7237847086510042E-3</v>
      </c>
      <c r="H259">
        <f t="shared" si="163"/>
        <v>-3.1338688652913493</v>
      </c>
      <c r="J259">
        <f t="shared" si="164"/>
        <v>15</v>
      </c>
      <c r="M259">
        <f t="shared" si="165"/>
        <v>1.1865192287958222E-2</v>
      </c>
      <c r="N259">
        <f t="shared" si="166"/>
        <v>-1.5707963250000001</v>
      </c>
      <c r="O259">
        <f t="shared" si="167"/>
        <v>60.656689782292808</v>
      </c>
      <c r="P259">
        <f t="shared" si="168"/>
        <v>1.5543093521773446</v>
      </c>
      <c r="Q259">
        <f t="shared" si="169"/>
        <v>57.453667406896926</v>
      </c>
      <c r="R259">
        <f t="shared" si="170"/>
        <v>1.5533901185764289</v>
      </c>
      <c r="S259">
        <f t="shared" si="171"/>
        <v>0.56461955168715405</v>
      </c>
      <c r="T259">
        <f t="shared" si="172"/>
        <v>-0.97082409912134793</v>
      </c>
      <c r="U259">
        <f t="shared" si="173"/>
        <v>0.97669757175166816</v>
      </c>
      <c r="V259">
        <f t="shared" si="174"/>
        <v>-0.21630300687372728</v>
      </c>
      <c r="X259">
        <f t="shared" si="192"/>
        <v>-17.345703347869403</v>
      </c>
      <c r="Y259">
        <f t="shared" si="175"/>
        <v>-148.71170760835079</v>
      </c>
      <c r="Z259">
        <f t="shared" si="193"/>
        <v>31.288292391649208</v>
      </c>
      <c r="AC259">
        <v>1</v>
      </c>
      <c r="AD259">
        <f t="shared" si="176"/>
        <v>60.648446108250006</v>
      </c>
      <c r="AE259">
        <f t="shared" si="177"/>
        <v>-1.0288766476490364E-3</v>
      </c>
      <c r="AF259">
        <f t="shared" si="178"/>
        <v>4.6822296855599998E-3</v>
      </c>
      <c r="AG259">
        <f t="shared" si="194"/>
        <v>12311.494964826492</v>
      </c>
      <c r="AH259">
        <f t="shared" si="195"/>
        <v>-2918.9105585972729</v>
      </c>
      <c r="AJ259">
        <f t="shared" si="179"/>
        <v>18000</v>
      </c>
      <c r="AK259">
        <f t="shared" si="180"/>
        <v>26312.095080810002</v>
      </c>
      <c r="AL259">
        <v>1</v>
      </c>
      <c r="AM259">
        <f t="shared" si="181"/>
        <v>57.444964083045001</v>
      </c>
      <c r="AN259">
        <f t="shared" si="196"/>
        <v>463.35432257639968</v>
      </c>
      <c r="AO259">
        <f t="shared" si="197"/>
        <v>-305.27733731492714</v>
      </c>
      <c r="AQ259">
        <f t="shared" si="182"/>
        <v>4.9382472185322539E-2</v>
      </c>
      <c r="AR259">
        <f t="shared" si="183"/>
        <v>-22.222112483395144</v>
      </c>
      <c r="AT259">
        <f t="shared" si="209"/>
        <v>-64256.386704458069</v>
      </c>
      <c r="AU259">
        <f t="shared" si="210"/>
        <v>-273731.5689665986</v>
      </c>
      <c r="AV259">
        <f t="shared" si="198"/>
        <v>-1.8013640897219219</v>
      </c>
      <c r="AW259">
        <f t="shared" si="199"/>
        <v>7451.1902641284378</v>
      </c>
      <c r="AX259">
        <f t="shared" si="200"/>
        <v>-15062.149702796887</v>
      </c>
      <c r="AY259">
        <f t="shared" si="208"/>
        <v>-1.1114006440664401</v>
      </c>
      <c r="BA259">
        <f t="shared" si="184"/>
        <v>16.732041812153149</v>
      </c>
      <c r="BB259">
        <f t="shared" si="201"/>
        <v>24.470978823604199</v>
      </c>
      <c r="BC259">
        <f t="shared" si="202"/>
        <v>-0.68996344565548173</v>
      </c>
      <c r="BD259">
        <f t="shared" si="185"/>
        <v>-219.53199349953493</v>
      </c>
      <c r="BF259">
        <f t="shared" si="186"/>
        <v>-20.034469794146631</v>
      </c>
      <c r="BG259">
        <f t="shared" si="187"/>
        <v>-208.28439198375901</v>
      </c>
      <c r="BH259">
        <f t="shared" si="203"/>
        <v>-28.284391983759008</v>
      </c>
      <c r="BI259">
        <f t="shared" si="204"/>
        <v>-28.284391983759008</v>
      </c>
      <c r="BJ259">
        <f t="shared" si="188"/>
        <v>0</v>
      </c>
      <c r="BK259">
        <f t="shared" si="205"/>
        <v>0</v>
      </c>
      <c r="BM259">
        <f t="shared" si="206"/>
        <v>-44.505448617750829</v>
      </c>
      <c r="BN259">
        <f t="shared" si="189"/>
        <v>-168.75239848422413</v>
      </c>
      <c r="BQ259" s="56">
        <f t="shared" si="207"/>
        <v>41.372939623889337</v>
      </c>
      <c r="BR259" s="59"/>
      <c r="BS259" s="59"/>
      <c r="BT259" s="59">
        <v>30902.954000000002</v>
      </c>
      <c r="BU259" s="59">
        <v>-2.2543500000000001</v>
      </c>
      <c r="BV259" s="59">
        <v>-152.994</v>
      </c>
      <c r="BY259" s="59"/>
      <c r="BZ259" s="59"/>
      <c r="CA259" s="59"/>
      <c r="CC259" s="59"/>
    </row>
    <row r="260" spans="1:81" x14ac:dyDescent="0.25">
      <c r="A260">
        <f t="shared" si="211"/>
        <v>230000</v>
      </c>
      <c r="B260">
        <f t="shared" si="191"/>
        <v>230</v>
      </c>
      <c r="C260">
        <f t="shared" si="159"/>
        <v>1.0188529045065449</v>
      </c>
      <c r="D260">
        <f t="shared" si="160"/>
        <v>0.19267277621320011</v>
      </c>
      <c r="F260">
        <f t="shared" si="161"/>
        <v>3.7305251038109163E-4</v>
      </c>
      <c r="G260">
        <f t="shared" si="162"/>
        <v>7.5557531584034424E-3</v>
      </c>
      <c r="H260">
        <f t="shared" si="163"/>
        <v>-3.1340368968415966</v>
      </c>
      <c r="J260">
        <f t="shared" si="164"/>
        <v>15</v>
      </c>
      <c r="M260">
        <f t="shared" si="165"/>
        <v>1.1607253325176521E-2</v>
      </c>
      <c r="N260">
        <f t="shared" si="166"/>
        <v>-1.5707963250000001</v>
      </c>
      <c r="O260">
        <f t="shared" si="167"/>
        <v>62.004253842405163</v>
      </c>
      <c r="P260">
        <f t="shared" si="168"/>
        <v>1.5546677018253661</v>
      </c>
      <c r="Q260">
        <f t="shared" si="169"/>
        <v>58.730032989339058</v>
      </c>
      <c r="R260">
        <f t="shared" si="170"/>
        <v>1.5537684404554637</v>
      </c>
      <c r="S260">
        <f t="shared" si="171"/>
        <v>0.55617092404794655</v>
      </c>
      <c r="T260">
        <f t="shared" si="172"/>
        <v>-0.98102508477248873</v>
      </c>
      <c r="U260">
        <f t="shared" si="173"/>
        <v>0.97568828563017607</v>
      </c>
      <c r="V260">
        <f t="shared" si="174"/>
        <v>-0.22095641183412371</v>
      </c>
      <c r="X260">
        <f t="shared" si="192"/>
        <v>-17.669934429727107</v>
      </c>
      <c r="Y260">
        <f t="shared" si="175"/>
        <v>-149.2959451607299</v>
      </c>
      <c r="Z260">
        <f t="shared" si="193"/>
        <v>30.7040548392701</v>
      </c>
      <c r="AC260">
        <v>1</v>
      </c>
      <c r="AD260">
        <f t="shared" si="176"/>
        <v>61.9961893551</v>
      </c>
      <c r="AE260">
        <f t="shared" si="177"/>
        <v>-1.0751125858890673E-3</v>
      </c>
      <c r="AF260">
        <f t="shared" si="178"/>
        <v>4.786279234128E-3</v>
      </c>
      <c r="AG260">
        <f t="shared" si="194"/>
        <v>12286.063549511924</v>
      </c>
      <c r="AH260">
        <f t="shared" si="195"/>
        <v>-2968.6737563906172</v>
      </c>
      <c r="AJ260">
        <f t="shared" si="179"/>
        <v>18000</v>
      </c>
      <c r="AK260">
        <f t="shared" si="180"/>
        <v>26896.808304828002</v>
      </c>
      <c r="AL260">
        <v>1</v>
      </c>
      <c r="AM260">
        <f t="shared" si="181"/>
        <v>58.721518840446002</v>
      </c>
      <c r="AN260">
        <f t="shared" si="196"/>
        <v>463.12584562121964</v>
      </c>
      <c r="AO260">
        <f t="shared" si="197"/>
        <v>-298.64476431593584</v>
      </c>
      <c r="AQ260">
        <f t="shared" si="182"/>
        <v>4.7258755865993068E-2</v>
      </c>
      <c r="AR260">
        <f t="shared" si="183"/>
        <v>-21.739027698356814</v>
      </c>
      <c r="AT260">
        <f t="shared" si="209"/>
        <v>-63955.456939720134</v>
      </c>
      <c r="AU260">
        <f t="shared" si="210"/>
        <v>-267227.37163491081</v>
      </c>
      <c r="AV260">
        <f t="shared" si="198"/>
        <v>-1.8057074539796265</v>
      </c>
      <c r="AW260">
        <f t="shared" si="199"/>
        <v>7713.1823425973107</v>
      </c>
      <c r="AX260">
        <f t="shared" si="200"/>
        <v>-14855.543507105649</v>
      </c>
      <c r="AY260">
        <f t="shared" si="208"/>
        <v>-1.0918971997853524</v>
      </c>
      <c r="BA260">
        <f t="shared" si="184"/>
        <v>16.415603211701903</v>
      </c>
      <c r="BB260">
        <f t="shared" si="201"/>
        <v>24.305136920960251</v>
      </c>
      <c r="BC260">
        <f t="shared" si="202"/>
        <v>-0.71381025419427413</v>
      </c>
      <c r="BD260">
        <f t="shared" si="185"/>
        <v>-220.89831498522551</v>
      </c>
      <c r="BF260">
        <f t="shared" si="186"/>
        <v>-20.575408804071095</v>
      </c>
      <c r="BG260">
        <f t="shared" si="187"/>
        <v>-209.42606530101239</v>
      </c>
      <c r="BH260">
        <f t="shared" si="203"/>
        <v>-29.426065301012386</v>
      </c>
      <c r="BI260">
        <f t="shared" si="204"/>
        <v>-29.426065301012386</v>
      </c>
      <c r="BJ260">
        <f t="shared" si="188"/>
        <v>0</v>
      </c>
      <c r="BK260">
        <f t="shared" si="205"/>
        <v>0</v>
      </c>
      <c r="BM260">
        <f t="shared" si="206"/>
        <v>-44.880545725031347</v>
      </c>
      <c r="BN260">
        <f t="shared" si="189"/>
        <v>-168.5277503157869</v>
      </c>
      <c r="BQ260" s="56">
        <f t="shared" si="207"/>
        <v>41.20709772124539</v>
      </c>
      <c r="BR260" s="59"/>
      <c r="BS260" s="59"/>
      <c r="BT260" s="59">
        <v>31622.776999999998</v>
      </c>
      <c r="BU260" s="59">
        <v>-2.1282199999999998</v>
      </c>
      <c r="BV260" s="59">
        <v>-152.041</v>
      </c>
      <c r="BY260" s="59"/>
      <c r="BZ260" s="59"/>
      <c r="CA260" s="59"/>
      <c r="CC260" s="59"/>
    </row>
    <row r="261" spans="1:81" x14ac:dyDescent="0.25">
      <c r="A261">
        <f t="shared" si="211"/>
        <v>235000</v>
      </c>
      <c r="B261">
        <f t="shared" si="191"/>
        <v>235</v>
      </c>
      <c r="C261">
        <f t="shared" si="159"/>
        <v>1.019673508992732</v>
      </c>
      <c r="D261">
        <f t="shared" si="160"/>
        <v>0.19675514488559162</v>
      </c>
      <c r="F261">
        <f t="shared" si="161"/>
        <v>3.5734149915426383E-4</v>
      </c>
      <c r="G261">
        <f t="shared" si="162"/>
        <v>7.3948795038014633E-3</v>
      </c>
      <c r="H261">
        <f t="shared" si="163"/>
        <v>-3.1341977704961987</v>
      </c>
      <c r="J261">
        <f t="shared" si="164"/>
        <v>15</v>
      </c>
      <c r="M261">
        <f t="shared" si="165"/>
        <v>1.1360290488470636E-2</v>
      </c>
      <c r="N261">
        <f t="shared" si="166"/>
        <v>-1.5707963250000001</v>
      </c>
      <c r="O261">
        <f t="shared" si="167"/>
        <v>63.351825526028719</v>
      </c>
      <c r="P261">
        <f t="shared" si="168"/>
        <v>1.5550108064354451</v>
      </c>
      <c r="Q261">
        <f t="shared" si="169"/>
        <v>60.006406620065704</v>
      </c>
      <c r="R261">
        <f t="shared" si="170"/>
        <v>1.5541306681006759</v>
      </c>
      <c r="S261">
        <f t="shared" si="171"/>
        <v>0.54791689305483482</v>
      </c>
      <c r="T261">
        <f t="shared" si="172"/>
        <v>-0.99092429335774901</v>
      </c>
      <c r="U261">
        <f t="shared" si="173"/>
        <v>0.97466004339916967</v>
      </c>
      <c r="V261">
        <f t="shared" si="174"/>
        <v>-0.22560010906815639</v>
      </c>
      <c r="X261">
        <f t="shared" si="192"/>
        <v>-17.989002106758324</v>
      </c>
      <c r="Y261">
        <f t="shared" si="175"/>
        <v>-149.86409461139735</v>
      </c>
      <c r="Z261">
        <f t="shared" si="193"/>
        <v>30.135905388602652</v>
      </c>
      <c r="AC261">
        <v>1</v>
      </c>
      <c r="AD261">
        <f t="shared" si="176"/>
        <v>63.343932601950002</v>
      </c>
      <c r="AE261">
        <f t="shared" si="177"/>
        <v>-1.1223646985959116E-3</v>
      </c>
      <c r="AF261">
        <f t="shared" si="178"/>
        <v>4.8903287826960002E-3</v>
      </c>
      <c r="AG261">
        <f t="shared" si="194"/>
        <v>12260.181527915816</v>
      </c>
      <c r="AH261">
        <f t="shared" si="195"/>
        <v>-3018.2827374590365</v>
      </c>
      <c r="AJ261">
        <f t="shared" si="179"/>
        <v>18000</v>
      </c>
      <c r="AK261">
        <f t="shared" si="180"/>
        <v>27481.521528845999</v>
      </c>
      <c r="AL261">
        <v>1</v>
      </c>
      <c r="AM261">
        <f t="shared" si="181"/>
        <v>59.998073597847004</v>
      </c>
      <c r="AN261">
        <f t="shared" si="196"/>
        <v>462.91179118666611</v>
      </c>
      <c r="AO261">
        <f t="shared" si="197"/>
        <v>-292.29418808277603</v>
      </c>
      <c r="AQ261">
        <f t="shared" si="182"/>
        <v>4.526914771775592E-2</v>
      </c>
      <c r="AR261">
        <f t="shared" si="183"/>
        <v>-21.276499427345282</v>
      </c>
      <c r="AT261">
        <f t="shared" si="209"/>
        <v>-63663.482966479613</v>
      </c>
      <c r="AU261">
        <f t="shared" si="210"/>
        <v>-260990.38034494605</v>
      </c>
      <c r="AV261">
        <f t="shared" si="198"/>
        <v>-1.81005429985862</v>
      </c>
      <c r="AW261">
        <f t="shared" si="199"/>
        <v>7956.3414815268507</v>
      </c>
      <c r="AX261">
        <f t="shared" si="200"/>
        <v>-14660.267088659806</v>
      </c>
      <c r="AY261">
        <f t="shared" si="208"/>
        <v>-1.0735636888018201</v>
      </c>
      <c r="BA261">
        <f t="shared" si="184"/>
        <v>16.105563184325728</v>
      </c>
      <c r="BB261">
        <f t="shared" si="201"/>
        <v>24.139518319306067</v>
      </c>
      <c r="BC261">
        <f t="shared" si="202"/>
        <v>-0.73649061105679992</v>
      </c>
      <c r="BD261">
        <f t="shared" si="185"/>
        <v>-222.1978037127837</v>
      </c>
      <c r="BF261">
        <f t="shared" si="186"/>
        <v>-21.107764667679824</v>
      </c>
      <c r="BG261">
        <f t="shared" si="187"/>
        <v>-210.50086891441296</v>
      </c>
      <c r="BH261">
        <f t="shared" si="203"/>
        <v>-30.500868914412962</v>
      </c>
      <c r="BI261">
        <f t="shared" si="204"/>
        <v>-30.500868914412962</v>
      </c>
      <c r="BJ261">
        <f t="shared" si="188"/>
        <v>0</v>
      </c>
      <c r="BK261">
        <f t="shared" si="205"/>
        <v>0</v>
      </c>
      <c r="BM261">
        <f t="shared" si="206"/>
        <v>-45.247282986985894</v>
      </c>
      <c r="BN261">
        <f t="shared" si="189"/>
        <v>-168.30306520162927</v>
      </c>
      <c r="BQ261" s="56">
        <f t="shared" si="207"/>
        <v>41.041479119591202</v>
      </c>
      <c r="BR261" s="59"/>
      <c r="BS261" s="59"/>
      <c r="BT261" s="59">
        <v>32359.366000000002</v>
      </c>
      <c r="BU261" s="59">
        <v>-2.03586</v>
      </c>
      <c r="BV261" s="59">
        <v>-151.05000000000001</v>
      </c>
      <c r="BY261" s="59"/>
      <c r="BZ261" s="59"/>
      <c r="CA261" s="59"/>
      <c r="CC261" s="59"/>
    </row>
    <row r="262" spans="1:81" x14ac:dyDescent="0.25">
      <c r="A262">
        <f t="shared" si="211"/>
        <v>240000</v>
      </c>
      <c r="B262">
        <f t="shared" si="191"/>
        <v>240</v>
      </c>
      <c r="C262">
        <f t="shared" si="159"/>
        <v>1.0205110795918091</v>
      </c>
      <c r="D262">
        <f t="shared" si="160"/>
        <v>0.20083088029385651</v>
      </c>
      <c r="F262">
        <f t="shared" si="161"/>
        <v>3.4260258580208822E-4</v>
      </c>
      <c r="G262">
        <f t="shared" si="162"/>
        <v>7.2407157610389922E-3</v>
      </c>
      <c r="H262">
        <f t="shared" si="163"/>
        <v>-3.1343519342389614</v>
      </c>
      <c r="J262">
        <f t="shared" si="164"/>
        <v>15</v>
      </c>
      <c r="M262">
        <f t="shared" si="165"/>
        <v>1.1123617769960832E-2</v>
      </c>
      <c r="N262">
        <f t="shared" si="166"/>
        <v>-1.5707963250000001</v>
      </c>
      <c r="O262">
        <f t="shared" si="167"/>
        <v>64.699404356811613</v>
      </c>
      <c r="P262">
        <f t="shared" si="168"/>
        <v>1.5553396185089916</v>
      </c>
      <c r="Q262">
        <f t="shared" si="169"/>
        <v>61.282787796197411</v>
      </c>
      <c r="R262">
        <f t="shared" si="170"/>
        <v>1.5544778070328302</v>
      </c>
      <c r="S262">
        <f t="shared" si="171"/>
        <v>0.53985367093152248</v>
      </c>
      <c r="T262">
        <f t="shared" si="172"/>
        <v>-1.0005330643604524</v>
      </c>
      <c r="U262">
        <f t="shared" si="173"/>
        <v>0.9736130377463087</v>
      </c>
      <c r="V262">
        <f t="shared" si="174"/>
        <v>-0.23023392928301278</v>
      </c>
      <c r="X262">
        <f t="shared" si="192"/>
        <v>-18.303061748109638</v>
      </c>
      <c r="Y262">
        <f t="shared" si="175"/>
        <v>-150.4167163328494</v>
      </c>
      <c r="Z262">
        <f t="shared" si="193"/>
        <v>29.583283667150596</v>
      </c>
      <c r="AC262">
        <v>1</v>
      </c>
      <c r="AD262">
        <f t="shared" si="176"/>
        <v>64.691675848800003</v>
      </c>
      <c r="AE262">
        <f t="shared" si="177"/>
        <v>-1.1706329857695701E-3</v>
      </c>
      <c r="AF262">
        <f t="shared" si="178"/>
        <v>4.9943783312640004E-3</v>
      </c>
      <c r="AG262">
        <f t="shared" si="194"/>
        <v>12233.855251777733</v>
      </c>
      <c r="AH262">
        <f t="shared" si="195"/>
        <v>-3067.7200413417031</v>
      </c>
      <c r="AJ262">
        <f t="shared" si="179"/>
        <v>18000</v>
      </c>
      <c r="AK262">
        <f t="shared" si="180"/>
        <v>28066.234752864002</v>
      </c>
      <c r="AL262">
        <v>1</v>
      </c>
      <c r="AM262">
        <f t="shared" si="181"/>
        <v>61.274628355248005</v>
      </c>
      <c r="AN262">
        <f t="shared" si="196"/>
        <v>462.71097054566246</v>
      </c>
      <c r="AO262">
        <f t="shared" si="197"/>
        <v>-286.20800321757179</v>
      </c>
      <c r="AQ262">
        <f t="shared" si="182"/>
        <v>4.3402589398483515E-2</v>
      </c>
      <c r="AR262">
        <f t="shared" si="183"/>
        <v>-20.833242911272087</v>
      </c>
      <c r="AT262">
        <f t="shared" si="209"/>
        <v>-63379.575808795962</v>
      </c>
      <c r="AU262">
        <f t="shared" si="210"/>
        <v>-255004.02519497112</v>
      </c>
      <c r="AV262">
        <f t="shared" si="198"/>
        <v>-1.8144036340445548</v>
      </c>
      <c r="AW262">
        <f t="shared" si="199"/>
        <v>8182.185440551475</v>
      </c>
      <c r="AX262">
        <f t="shared" si="200"/>
        <v>-14475.554183990233</v>
      </c>
      <c r="AY262">
        <f t="shared" si="208"/>
        <v>-1.0563266649358753</v>
      </c>
      <c r="BA262">
        <f t="shared" si="184"/>
        <v>15.802415148390329</v>
      </c>
      <c r="BB262">
        <f t="shared" si="201"/>
        <v>23.974469340939152</v>
      </c>
      <c r="BC262">
        <f t="shared" si="202"/>
        <v>-0.7580769691086795</v>
      </c>
      <c r="BD262">
        <f t="shared" si="185"/>
        <v>-223.43461092562791</v>
      </c>
      <c r="BF262">
        <f t="shared" si="186"/>
        <v>-21.631538264695894</v>
      </c>
      <c r="BG262">
        <f t="shared" si="187"/>
        <v>-211.51298662150904</v>
      </c>
      <c r="BH262">
        <f t="shared" si="203"/>
        <v>-31.512986621509043</v>
      </c>
      <c r="BI262">
        <f t="shared" si="204"/>
        <v>-31.512986621509043</v>
      </c>
      <c r="BJ262">
        <f t="shared" si="188"/>
        <v>0</v>
      </c>
      <c r="BK262">
        <f t="shared" si="205"/>
        <v>0</v>
      </c>
      <c r="BM262">
        <f t="shared" si="206"/>
        <v>-45.606007605635043</v>
      </c>
      <c r="BN262">
        <f t="shared" si="189"/>
        <v>-168.07837569588114</v>
      </c>
      <c r="BQ262" s="56">
        <f t="shared" si="207"/>
        <v>40.876430141224283</v>
      </c>
      <c r="BR262" s="59"/>
      <c r="BS262" s="59"/>
      <c r="BT262" s="59">
        <v>33113.112000000001</v>
      </c>
      <c r="BU262" s="59">
        <v>-1.91717</v>
      </c>
      <c r="BV262" s="59">
        <v>-150.17400000000001</v>
      </c>
      <c r="BY262" s="59"/>
      <c r="BZ262" s="59"/>
      <c r="CA262" s="59"/>
      <c r="CC262" s="59"/>
    </row>
    <row r="263" spans="1:81" x14ac:dyDescent="0.25">
      <c r="A263">
        <f t="shared" si="211"/>
        <v>245000</v>
      </c>
      <c r="B263">
        <f t="shared" si="191"/>
        <v>245</v>
      </c>
      <c r="C263">
        <f t="shared" si="159"/>
        <v>1.021365574564606</v>
      </c>
      <c r="D263">
        <f t="shared" si="160"/>
        <v>0.20489986351678405</v>
      </c>
      <c r="F263">
        <f t="shared" si="161"/>
        <v>3.2875718926230022E-4</v>
      </c>
      <c r="G263">
        <f t="shared" si="162"/>
        <v>7.092850577327457E-3</v>
      </c>
      <c r="H263">
        <f t="shared" si="163"/>
        <v>-3.1344997994226729</v>
      </c>
      <c r="J263">
        <f t="shared" si="164"/>
        <v>15</v>
      </c>
      <c r="M263">
        <f t="shared" si="165"/>
        <v>1.0896605162410611E-2</v>
      </c>
      <c r="N263">
        <f t="shared" si="166"/>
        <v>-1.5707963250000001</v>
      </c>
      <c r="O263">
        <f t="shared" si="167"/>
        <v>66.046989897276191</v>
      </c>
      <c r="P263">
        <f t="shared" si="168"/>
        <v>1.5556550128231996</v>
      </c>
      <c r="Q263">
        <f t="shared" si="169"/>
        <v>62.559176055892436</v>
      </c>
      <c r="R263">
        <f t="shared" si="170"/>
        <v>1.5548107807258416</v>
      </c>
      <c r="S263">
        <f t="shared" si="171"/>
        <v>0.53197732815423826</v>
      </c>
      <c r="T263">
        <f t="shared" si="172"/>
        <v>-1.0098622963653985</v>
      </c>
      <c r="U263">
        <f t="shared" si="173"/>
        <v>0.97254746373944079</v>
      </c>
      <c r="V263">
        <f t="shared" si="174"/>
        <v>-0.23485770560180685</v>
      </c>
      <c r="X263">
        <f t="shared" si="192"/>
        <v>-18.612261457389607</v>
      </c>
      <c r="Y263">
        <f t="shared" si="175"/>
        <v>-150.9543525569203</v>
      </c>
      <c r="Z263">
        <f t="shared" si="193"/>
        <v>29.045647443079702</v>
      </c>
      <c r="AC263">
        <v>1</v>
      </c>
      <c r="AD263">
        <f t="shared" si="176"/>
        <v>66.039419095650004</v>
      </c>
      <c r="AE263">
        <f t="shared" si="177"/>
        <v>-1.2199174474100427E-3</v>
      </c>
      <c r="AF263">
        <f t="shared" si="178"/>
        <v>5.0984278798319998E-3</v>
      </c>
      <c r="AG263">
        <f t="shared" si="194"/>
        <v>12207.091139208283</v>
      </c>
      <c r="AH263">
        <f t="shared" si="195"/>
        <v>-3116.9693555356066</v>
      </c>
      <c r="AJ263">
        <f t="shared" si="179"/>
        <v>18000</v>
      </c>
      <c r="AK263">
        <f t="shared" si="180"/>
        <v>28650.947976881998</v>
      </c>
      <c r="AL263">
        <v>1</v>
      </c>
      <c r="AM263">
        <f t="shared" si="181"/>
        <v>62.551183112649007</v>
      </c>
      <c r="AN263">
        <f t="shared" si="196"/>
        <v>462.52231495540099</v>
      </c>
      <c r="AO263">
        <f t="shared" si="197"/>
        <v>-280.37003957960616</v>
      </c>
      <c r="AQ263">
        <f t="shared" si="182"/>
        <v>4.164913932053594E-2</v>
      </c>
      <c r="AR263">
        <f t="shared" si="183"/>
        <v>-20.40807826706261</v>
      </c>
      <c r="AT263">
        <f t="shared" si="209"/>
        <v>-63102.939724251002</v>
      </c>
      <c r="AU263">
        <f t="shared" si="210"/>
        <v>-249253.09047307569</v>
      </c>
      <c r="AV263">
        <f t="shared" si="198"/>
        <v>-1.8187545328751491</v>
      </c>
      <c r="AW263">
        <f t="shared" si="199"/>
        <v>8392.0795860522703</v>
      </c>
      <c r="AX263">
        <f t="shared" si="200"/>
        <v>-14300.703529801522</v>
      </c>
      <c r="AY263">
        <f t="shared" si="208"/>
        <v>-1.0401170546053011</v>
      </c>
      <c r="BA263">
        <f t="shared" si="184"/>
        <v>15.50650343531851</v>
      </c>
      <c r="BB263">
        <f t="shared" si="201"/>
        <v>23.810277594000361</v>
      </c>
      <c r="BC263">
        <f t="shared" si="202"/>
        <v>-0.77863747826984797</v>
      </c>
      <c r="BD263">
        <f t="shared" si="185"/>
        <v>-224.61264132654901</v>
      </c>
      <c r="BF263">
        <f t="shared" si="186"/>
        <v>-22.146767735027414</v>
      </c>
      <c r="BG263">
        <f t="shared" si="187"/>
        <v>-212.46635350755375</v>
      </c>
      <c r="BH263">
        <f t="shared" si="203"/>
        <v>-32.466353507553748</v>
      </c>
      <c r="BI263">
        <f t="shared" si="204"/>
        <v>-32.466353507553748</v>
      </c>
      <c r="BJ263">
        <f t="shared" si="188"/>
        <v>0</v>
      </c>
      <c r="BK263">
        <f t="shared" si="205"/>
        <v>0</v>
      </c>
      <c r="BM263">
        <f t="shared" si="206"/>
        <v>-45.957045329027778</v>
      </c>
      <c r="BN263">
        <f t="shared" si="189"/>
        <v>-167.85371218100474</v>
      </c>
      <c r="BQ263" s="56">
        <f t="shared" si="207"/>
        <v>40.712238394285507</v>
      </c>
      <c r="BR263" s="59"/>
      <c r="BS263" s="59"/>
      <c r="BT263" s="59">
        <v>33884.415999999997</v>
      </c>
      <c r="BU263" s="59">
        <v>-1.81593</v>
      </c>
      <c r="BV263" s="59">
        <v>-149.483</v>
      </c>
      <c r="BY263" s="59"/>
      <c r="BZ263" s="59"/>
      <c r="CA263" s="59"/>
      <c r="CC263" s="59"/>
    </row>
    <row r="264" spans="1:81" x14ac:dyDescent="0.25">
      <c r="A264">
        <f t="shared" si="211"/>
        <v>250000</v>
      </c>
      <c r="B264">
        <f t="shared" si="191"/>
        <v>250</v>
      </c>
      <c r="C264">
        <f t="shared" si="159"/>
        <v>1.0222369514695189</v>
      </c>
      <c r="D264">
        <f t="shared" si="160"/>
        <v>0.20896197692115931</v>
      </c>
      <c r="F264">
        <f t="shared" si="161"/>
        <v>3.1573451196933284E-4</v>
      </c>
      <c r="G264">
        <f t="shared" si="162"/>
        <v>6.9509055606985348E-3</v>
      </c>
      <c r="H264">
        <f t="shared" si="163"/>
        <v>-3.1346417444393015</v>
      </c>
      <c r="J264">
        <f t="shared" si="164"/>
        <v>15</v>
      </c>
      <c r="M264">
        <f t="shared" si="165"/>
        <v>1.06786730591624E-2</v>
      </c>
      <c r="N264">
        <f t="shared" si="166"/>
        <v>-1.5707963250000001</v>
      </c>
      <c r="O264">
        <f t="shared" si="167"/>
        <v>67.394581744932964</v>
      </c>
      <c r="P264">
        <f t="shared" si="168"/>
        <v>1.5559577941998615</v>
      </c>
      <c r="Q264">
        <f t="shared" si="169"/>
        <v>63.835570974244561</v>
      </c>
      <c r="R264">
        <f t="shared" si="170"/>
        <v>1.5551304388072142</v>
      </c>
      <c r="S264">
        <f t="shared" si="171"/>
        <v>0.52428382952611141</v>
      </c>
      <c r="T264">
        <f t="shared" si="172"/>
        <v>-1.0189224578717813</v>
      </c>
      <c r="U264">
        <f t="shared" si="173"/>
        <v>0.97146351873341685</v>
      </c>
      <c r="V264">
        <f t="shared" si="174"/>
        <v>-0.23947127358801043</v>
      </c>
      <c r="X264">
        <f t="shared" si="192"/>
        <v>-18.916742606169514</v>
      </c>
      <c r="Y264">
        <f t="shared" si="175"/>
        <v>-151.47752729010057</v>
      </c>
      <c r="Z264">
        <f t="shared" si="193"/>
        <v>28.522472709899432</v>
      </c>
      <c r="AC264">
        <v>1</v>
      </c>
      <c r="AD264">
        <f t="shared" si="176"/>
        <v>67.387162342500005</v>
      </c>
      <c r="AE264">
        <f t="shared" si="177"/>
        <v>-1.2702180835173292E-3</v>
      </c>
      <c r="AF264">
        <f t="shared" si="178"/>
        <v>5.2024774284E-3</v>
      </c>
      <c r="AG264">
        <f t="shared" si="194"/>
        <v>12179.895671091052</v>
      </c>
      <c r="AH264">
        <f t="shared" si="195"/>
        <v>-3166.0154154363941</v>
      </c>
      <c r="AJ264">
        <f t="shared" si="179"/>
        <v>18000</v>
      </c>
      <c r="AK264">
        <f t="shared" si="180"/>
        <v>29235.661200900002</v>
      </c>
      <c r="AL264">
        <v>1</v>
      </c>
      <c r="AM264">
        <f t="shared" si="181"/>
        <v>63.827737870050008</v>
      </c>
      <c r="AN264">
        <f t="shared" si="196"/>
        <v>462.34486141377084</v>
      </c>
      <c r="AO264">
        <f t="shared" si="197"/>
        <v>-274.76541898276258</v>
      </c>
      <c r="AQ264">
        <f t="shared" si="182"/>
        <v>3.9999840000639997E-2</v>
      </c>
      <c r="AR264">
        <f t="shared" si="183"/>
        <v>-19.99992000032</v>
      </c>
      <c r="AT264">
        <f t="shared" si="209"/>
        <v>-62832.861150439639</v>
      </c>
      <c r="AU264">
        <f t="shared" si="210"/>
        <v>-243723.57914412193</v>
      </c>
      <c r="AV264">
        <f t="shared" si="198"/>
        <v>-1.8231061356446026</v>
      </c>
      <c r="AW264">
        <f t="shared" si="199"/>
        <v>8587.254985241625</v>
      </c>
      <c r="AX264">
        <f t="shared" si="200"/>
        <v>-14135.072058577374</v>
      </c>
      <c r="AY264">
        <f t="shared" si="208"/>
        <v>-1.0248700947429839</v>
      </c>
      <c r="BA264">
        <f t="shared" si="184"/>
        <v>15.218050431700272</v>
      </c>
      <c r="BB264">
        <f t="shared" si="201"/>
        <v>23.647180379852159</v>
      </c>
      <c r="BC264">
        <f t="shared" si="202"/>
        <v>-0.7982360409016187</v>
      </c>
      <c r="BD264">
        <f t="shared" si="185"/>
        <v>-225.7355562511554</v>
      </c>
      <c r="BF264">
        <f t="shared" si="186"/>
        <v>-22.653521808781111</v>
      </c>
      <c r="BG264">
        <f t="shared" si="187"/>
        <v>-213.36465932830498</v>
      </c>
      <c r="BH264">
        <f t="shared" si="203"/>
        <v>-33.364659328304981</v>
      </c>
      <c r="BI264">
        <f t="shared" si="204"/>
        <v>-33.364659328304981</v>
      </c>
      <c r="BJ264">
        <f t="shared" si="188"/>
        <v>0</v>
      </c>
      <c r="BK264">
        <f t="shared" si="205"/>
        <v>0</v>
      </c>
      <c r="BM264">
        <f t="shared" si="206"/>
        <v>-46.300702188633274</v>
      </c>
      <c r="BN264">
        <f t="shared" si="189"/>
        <v>-167.62910307714961</v>
      </c>
      <c r="BQ264" s="56">
        <f t="shared" si="207"/>
        <v>40.549141180137298</v>
      </c>
      <c r="BR264" s="59"/>
      <c r="BS264" s="59"/>
      <c r="BT264" s="59">
        <v>34673.684999999998</v>
      </c>
      <c r="BU264" s="59">
        <v>-1.6807799999999999</v>
      </c>
      <c r="BV264" s="59">
        <v>-148.328</v>
      </c>
      <c r="BY264" s="59"/>
      <c r="BZ264" s="59"/>
      <c r="CA264" s="59"/>
      <c r="CC264" s="59"/>
    </row>
    <row r="265" spans="1:81" x14ac:dyDescent="0.25">
      <c r="A265">
        <f t="shared" si="211"/>
        <v>255000</v>
      </c>
      <c r="B265">
        <f t="shared" si="191"/>
        <v>255</v>
      </c>
      <c r="C265">
        <f t="shared" ref="C265:C328" si="212">SQRT((A265/Fesr)^2+1)</f>
        <v>1.0231251671724548</v>
      </c>
      <c r="D265">
        <f t="shared" ref="D265:D328" si="213">ATAN(A265/Fesr)</f>
        <v>0.21301710417744557</v>
      </c>
      <c r="F265">
        <f t="shared" ref="F265:F328" si="214">(Ro/(Ro+Rdcr))/SQRT((A265/(Q*Fo))^2+(1-(A265^2/Fo^2))^2)</f>
        <v>3.0347063261771333E-4</v>
      </c>
      <c r="G265">
        <f t="shared" ref="G265:G328" si="215">-ATAN(A265*Fo/(Q*(Fo^2-A265^2)))</f>
        <v>6.814532042540844E-3</v>
      </c>
      <c r="H265">
        <f t="shared" ref="H265:H328" si="216">IF(G265&gt;0,G265-Pi,G265)</f>
        <v>-3.1347781179574592</v>
      </c>
      <c r="J265">
        <f t="shared" ref="J265:J328" si="217">Vin/Vramp</f>
        <v>15</v>
      </c>
      <c r="M265">
        <f t="shared" ref="M265:M328" si="218">1/(2*Pi*_Rfb1*(Cc1ea_u+Cc2ea_u)*A265)</f>
        <v>1.0469287312904313E-2</v>
      </c>
      <c r="N265">
        <f t="shared" ref="N265:N328" si="219">-Pi/2</f>
        <v>-1.5707963250000001</v>
      </c>
      <c r="O265">
        <f t="shared" ref="O265:O328" si="220">SQRT(1+(A265/Fz1_u)^2)</f>
        <v>68.742179528851565</v>
      </c>
      <c r="P265">
        <f t="shared" ref="P265:P328" si="221">ATAN2(Fz1_u,A265)</f>
        <v>1.556248704360683</v>
      </c>
      <c r="Q265">
        <f t="shared" ref="Q265:Q328" si="222">SQRT(1+(A265/Fz2_u)^2)</f>
        <v>65.111972159663324</v>
      </c>
      <c r="R265">
        <f t="shared" ref="R265:R328" si="223">ATAN2(Fz2_u,A265)</f>
        <v>1.5554375642942917</v>
      </c>
      <c r="S265">
        <f t="shared" ref="S265:S328" si="224">1/SQRT(1+(A265/Fp1_u)^2)</f>
        <v>0.51676906559529312</v>
      </c>
      <c r="T265">
        <f t="shared" ref="T265:T328" si="225">-ATAN2(Fp1_u,A265)</f>
        <v>-1.0277235990817817</v>
      </c>
      <c r="U265">
        <f t="shared" ref="U265:U328" si="226">1/SQRT(1+(A265/Fp2_u)^2)</f>
        <v>0.97036140227672629</v>
      </c>
      <c r="V265">
        <f t="shared" ref="V265:V328" si="227">-ATAN2(Fp2_u,A265)</f>
        <v>-0.2440744712685243</v>
      </c>
      <c r="X265">
        <f t="shared" si="192"/>
        <v>-19.216640308941415</v>
      </c>
      <c r="Y265">
        <f t="shared" ref="Y265:Y328" si="228">(180/Pi)*(D265+H265+N265+P265+R265+T265+V265)</f>
        <v>-151.98674636750312</v>
      </c>
      <c r="Z265">
        <f t="shared" si="193"/>
        <v>28.013253632496884</v>
      </c>
      <c r="AC265">
        <v>1</v>
      </c>
      <c r="AD265">
        <f t="shared" ref="AD265:AD328" si="229">Rcea1_u*Cc1ea_u*A265*2*Pi</f>
        <v>68.734905589350006</v>
      </c>
      <c r="AE265">
        <f t="shared" ref="AE265:AE328" si="230">-Rcea1_u*Cc1ea_u*Cc2ea_u*(A265*2*Pi)^2</f>
        <v>-1.3215348940914288E-3</v>
      </c>
      <c r="AF265">
        <f t="shared" ref="AF265:AF328" si="231">(Cc2ea_u+Cc1ea_u)*A265*2*Pi</f>
        <v>5.3065269769680002E-3</v>
      </c>
      <c r="AG265">
        <f t="shared" si="194"/>
        <v>12152.275387488837</v>
      </c>
      <c r="AH265">
        <f t="shared" si="195"/>
        <v>-3214.8439160338239</v>
      </c>
      <c r="AJ265">
        <f t="shared" ref="AJ265:AJ328" si="232">_Rfb1</f>
        <v>18000</v>
      </c>
      <c r="AK265">
        <f t="shared" ref="AK265:AK328" si="233">_Rfb1*Rcea2_u*Cc3ea_u*A265*2*Pi</f>
        <v>29820.374424918005</v>
      </c>
      <c r="AL265">
        <v>1</v>
      </c>
      <c r="AM265">
        <f t="shared" ref="AM265:AM328" si="234">(_Rfb1+Rcea2_u)*Cc3ea_u*A265*2*Pi</f>
        <v>65.104292627451002</v>
      </c>
      <c r="AN265">
        <f t="shared" si="196"/>
        <v>462.17774034999871</v>
      </c>
      <c r="AO265">
        <f t="shared" si="197"/>
        <v>-269.38042872237946</v>
      </c>
      <c r="AQ265">
        <f t="shared" ref="AQ265:AQ328" si="235">Eadcg/(1+(Eadcg*A265/GBP)^2)</f>
        <v>3.8446603434819551E-2</v>
      </c>
      <c r="AR265">
        <f t="shared" ref="AR265:AR328" si="236">-(A265*Eadcg*Eadcg/GBP)/(1+(Eadcg*A265/GBP)^2)</f>
        <v>-19.607767751757972</v>
      </c>
      <c r="AT265">
        <f t="shared" si="209"/>
        <v>-62568.699151089822</v>
      </c>
      <c r="AU265">
        <f t="shared" si="210"/>
        <v>-238402.59328243032</v>
      </c>
      <c r="AV265">
        <f t="shared" si="198"/>
        <v>-1.8274576386967627</v>
      </c>
      <c r="AW265">
        <f t="shared" si="199"/>
        <v>8768.8240428527442</v>
      </c>
      <c r="AX265">
        <f t="shared" si="200"/>
        <v>-13978.068937396903</v>
      </c>
      <c r="AY265">
        <f t="shared" si="208"/>
        <v>-1.010525208059456</v>
      </c>
      <c r="BA265">
        <f t="shared" ref="BA265:BA328" si="237">SQRT(AT265^2+AU265^2)/SQRT(AW265^2+AX265^2)</f>
        <v>14.937179518249829</v>
      </c>
      <c r="BB265">
        <f t="shared" si="201"/>
        <v>23.485372009427522</v>
      </c>
      <c r="BC265">
        <f t="shared" si="202"/>
        <v>-0.81693243063730669</v>
      </c>
      <c r="BD265">
        <f t="shared" ref="BD265:BD328" si="238">BC265*180/Pi-180</f>
        <v>-226.8067804763661</v>
      </c>
      <c r="BF265">
        <f t="shared" ref="BF265:BF328" si="239">20*LOG(BA265*J265*F265*C265)</f>
        <v>-23.151894054909118</v>
      </c>
      <c r="BG265">
        <f t="shared" ref="BG265:BG328" si="240">(180/Pi)*(D265+H265+BC265)</f>
        <v>-214.21135550311323</v>
      </c>
      <c r="BH265">
        <f t="shared" si="203"/>
        <v>-34.211355503113225</v>
      </c>
      <c r="BI265">
        <f t="shared" si="204"/>
        <v>-34.211355503113225</v>
      </c>
      <c r="BJ265">
        <f t="shared" ref="BJ265:BJ328" si="241">SUM((BF266&lt;0)*(BF265&gt;0))*A265</f>
        <v>0</v>
      </c>
      <c r="BK265">
        <f t="shared" si="205"/>
        <v>0</v>
      </c>
      <c r="BM265">
        <f t="shared" si="206"/>
        <v>-46.637266064336636</v>
      </c>
      <c r="BN265">
        <f t="shared" ref="BN265:BN328" si="242">(H265+D265)*180/Pi</f>
        <v>-167.40457502674715</v>
      </c>
      <c r="BQ265" s="56">
        <f t="shared" si="207"/>
        <v>40.387332809712653</v>
      </c>
      <c r="BR265" s="59"/>
      <c r="BS265" s="59"/>
      <c r="BT265" s="59">
        <v>35481.339</v>
      </c>
      <c r="BU265" s="59">
        <v>-1.5620799999999999</v>
      </c>
      <c r="BV265" s="59">
        <v>-147.47</v>
      </c>
      <c r="BY265" s="59"/>
      <c r="BZ265" s="59"/>
      <c r="CA265" s="59"/>
      <c r="CC265" s="59"/>
    </row>
    <row r="266" spans="1:81" x14ac:dyDescent="0.25">
      <c r="A266">
        <f t="shared" si="211"/>
        <v>260000</v>
      </c>
      <c r="B266">
        <f t="shared" ref="B266:B329" si="243">A266/1000</f>
        <v>260</v>
      </c>
      <c r="C266">
        <f t="shared" si="212"/>
        <v>1.0240301778568788</v>
      </c>
      <c r="D266">
        <f t="shared" si="213"/>
        <v>0.21706513027488708</v>
      </c>
      <c r="F266">
        <f t="shared" si="214"/>
        <v>2.9190771995272878E-4</v>
      </c>
      <c r="G266">
        <f t="shared" si="215"/>
        <v>6.6834082144764427E-3</v>
      </c>
      <c r="H266">
        <f t="shared" si="216"/>
        <v>-3.1349092417855235</v>
      </c>
      <c r="J266">
        <f t="shared" si="217"/>
        <v>15</v>
      </c>
      <c r="M266">
        <f t="shared" si="218"/>
        <v>1.026795486457923E-2</v>
      </c>
      <c r="N266">
        <f t="shared" si="219"/>
        <v>-1.5707963250000001</v>
      </c>
      <c r="O266">
        <f t="shared" si="220"/>
        <v>70.089782906627178</v>
      </c>
      <c r="P266">
        <f t="shared" si="221"/>
        <v>1.5565284279920031</v>
      </c>
      <c r="Q266">
        <f t="shared" si="222"/>
        <v>66.388379250671676</v>
      </c>
      <c r="R266">
        <f t="shared" si="223"/>
        <v>1.5557328799960211</v>
      </c>
      <c r="S266">
        <f t="shared" si="224"/>
        <v>0.50942887991453611</v>
      </c>
      <c r="T266">
        <f t="shared" si="225"/>
        <v>-1.0362753644088385</v>
      </c>
      <c r="U266">
        <f t="shared" si="226"/>
        <v>0.96924131601803398</v>
      </c>
      <c r="V266">
        <f t="shared" si="227"/>
        <v>-0.24866713915539049</v>
      </c>
      <c r="X266">
        <f t="shared" ref="X266:X329" si="244">20*LOG(C266*J266*O266*Q266*F266*M266*S266*U266)</f>
        <v>-19.512083847759904</v>
      </c>
      <c r="Y266">
        <f t="shared" si="228"/>
        <v>-152.48249761968071</v>
      </c>
      <c r="Z266">
        <f t="shared" ref="Z266:Z329" si="245">Y266+180</f>
        <v>27.517502380319286</v>
      </c>
      <c r="AC266">
        <v>1</v>
      </c>
      <c r="AD266">
        <f t="shared" si="229"/>
        <v>70.082648836200008</v>
      </c>
      <c r="AE266">
        <f t="shared" si="230"/>
        <v>-1.3738678791323428E-3</v>
      </c>
      <c r="AF266">
        <f t="shared" si="231"/>
        <v>5.4105765255360004E-3</v>
      </c>
      <c r="AG266">
        <f t="shared" ref="AG266:AG329" si="246">AC266*AE266/(AE266^2+AF266^2)+AD266*AF266/(AE266^2+AF266^2)</f>
        <v>12124.236884057407</v>
      </c>
      <c r="AH266">
        <f t="shared" ref="AH266:AH329" si="247">AD266*AE266/(AE266^2+AF266^2)-AC266*AF266/(AE266^2+AF266^2)</f>
        <v>-3263.441433766408</v>
      </c>
      <c r="AJ266">
        <f t="shared" si="232"/>
        <v>18000</v>
      </c>
      <c r="AK266">
        <f t="shared" si="233"/>
        <v>30405.087648936002</v>
      </c>
      <c r="AL266">
        <v>1</v>
      </c>
      <c r="AM266">
        <f t="shared" si="234"/>
        <v>66.380847384852004</v>
      </c>
      <c r="AN266">
        <f t="shared" ref="AN266:AN329" si="248">AJ266*AL266/(AL266^2+AM266^2)+AK266*AM266/(AL266^2+AM266^2)</f>
        <v>462.02016495506717</v>
      </c>
      <c r="AO266">
        <f t="shared" ref="AO266:AO329" si="249">AK266*AL266/(AL266^2+AM266^2)-AJ266*AM266/(AL266^2+AM266^2)</f>
        <v>-264.20240967045976</v>
      </c>
      <c r="AQ266">
        <f t="shared" si="235"/>
        <v>3.6982111752545295E-2</v>
      </c>
      <c r="AR266">
        <f t="shared" si="236"/>
        <v>-19.230698111323552</v>
      </c>
      <c r="AT266">
        <f t="shared" si="209"/>
        <v>-62309.877133386144</v>
      </c>
      <c r="AU266">
        <f t="shared" si="210"/>
        <v>-233278.22830328354</v>
      </c>
      <c r="AV266">
        <f t="shared" ref="AV266:AV329" si="250">ATAN2(AT266,AU266)</f>
        <v>-1.8318082902007553</v>
      </c>
      <c r="AW266">
        <f t="shared" ref="AW266:AW329" si="251">AG266-AH266*AO266/_Rfb2+AG266*AN266/_Rfb2+AN266-AO266*AR266+AQ266*AN266</f>
        <v>8937.7940544765534</v>
      </c>
      <c r="AX266">
        <f t="shared" ref="AX266:AX329" si="252">AH266+AH266*AN266/_Rfb2+AG266*AO266/_Rfb2+AO266+AO266*AQ266+AN266*AR266</f>
        <v>-13829.150330061229</v>
      </c>
      <c r="AY266">
        <f t="shared" si="208"/>
        <v>-0.99702583571682324</v>
      </c>
      <c r="BA266">
        <f t="shared" si="237"/>
        <v>14.663934329157733</v>
      </c>
      <c r="BB266">
        <f t="shared" ref="BB266:BB329" si="253">20*LOG(BA266)</f>
        <v>23.32501014035396</v>
      </c>
      <c r="BC266">
        <f t="shared" ref="BC266:BC329" si="254">AV266-AY266</f>
        <v>-0.83478245448393207</v>
      </c>
      <c r="BD266">
        <f t="shared" si="238"/>
        <v>-227.82951150815424</v>
      </c>
      <c r="BF266">
        <f t="shared" si="239"/>
        <v>-23.64199795681624</v>
      </c>
      <c r="BG266">
        <f t="shared" si="240"/>
        <v>-215.00966456584439</v>
      </c>
      <c r="BH266">
        <f t="shared" ref="BH266:BH329" si="255">IF(BG266&gt;180,BG266-180,BG266+180)</f>
        <v>-35.009664565844389</v>
      </c>
      <c r="BI266">
        <f t="shared" ref="BI266:BI329" si="256">IF(BH266&gt;180,BH266-360,BH266)</f>
        <v>-35.009664565844389</v>
      </c>
      <c r="BJ266">
        <f t="shared" si="241"/>
        <v>0</v>
      </c>
      <c r="BK266">
        <f t="shared" ref="BK266:BK329" si="257">IF(BJ266&gt;0,BI266,0)</f>
        <v>0</v>
      </c>
      <c r="BM266">
        <f t="shared" ref="BM266:BM329" si="258">20*LOG(J266*F266*C266)</f>
        <v>-46.967008097170208</v>
      </c>
      <c r="BN266">
        <f t="shared" si="242"/>
        <v>-167.18015305769021</v>
      </c>
      <c r="BQ266" s="56">
        <f t="shared" ref="BQ266:BQ329" si="259">20*LOG(BA266*7)</f>
        <v>40.226970940639092</v>
      </c>
      <c r="BR266" s="59"/>
      <c r="BS266" s="59"/>
      <c r="BT266" s="59">
        <v>36307.805</v>
      </c>
      <c r="BU266" s="59">
        <v>-1.4274800000000001</v>
      </c>
      <c r="BV266" s="59">
        <v>-146.52500000000001</v>
      </c>
      <c r="BY266" s="59"/>
      <c r="BZ266" s="59"/>
      <c r="CA266" s="59"/>
      <c r="CC266" s="59"/>
    </row>
    <row r="267" spans="1:81" x14ac:dyDescent="0.25">
      <c r="A267">
        <f t="shared" si="211"/>
        <v>265000</v>
      </c>
      <c r="B267">
        <f t="shared" si="243"/>
        <v>265</v>
      </c>
      <c r="C267">
        <f t="shared" si="212"/>
        <v>1.0249519390339616</v>
      </c>
      <c r="D267">
        <f t="shared" si="213"/>
        <v>0.22110594153603044</v>
      </c>
      <c r="F267">
        <f t="shared" si="214"/>
        <v>2.8099334948062516E-4</v>
      </c>
      <c r="G267">
        <f t="shared" si="215"/>
        <v>6.5572365900206141E-3</v>
      </c>
      <c r="H267">
        <f t="shared" si="216"/>
        <v>-3.1350354134099794</v>
      </c>
      <c r="J267">
        <f t="shared" si="217"/>
        <v>15</v>
      </c>
      <c r="M267">
        <f t="shared" si="218"/>
        <v>1.0074219867134339E-2</v>
      </c>
      <c r="N267">
        <f t="shared" si="219"/>
        <v>-1.5707963250000001</v>
      </c>
      <c r="O267">
        <f t="shared" si="220"/>
        <v>71.437391561690248</v>
      </c>
      <c r="P267">
        <f t="shared" si="221"/>
        <v>1.5567975981232709</v>
      </c>
      <c r="Q267">
        <f t="shared" si="222"/>
        <v>67.664791913066153</v>
      </c>
      <c r="R267">
        <f t="shared" si="223"/>
        <v>1.5560170541903837</v>
      </c>
      <c r="S267">
        <f t="shared" si="224"/>
        <v>0.5022590925965188</v>
      </c>
      <c r="T267">
        <f t="shared" si="225"/>
        <v>-1.0445870054888557</v>
      </c>
      <c r="U267">
        <f t="shared" si="226"/>
        <v>0.96810346361268951</v>
      </c>
      <c r="V267">
        <f t="shared" si="227"/>
        <v>-0.25324912026614965</v>
      </c>
      <c r="X267">
        <f t="shared" si="244"/>
        <v>-19.803197053485569</v>
      </c>
      <c r="Y267">
        <f t="shared" si="228"/>
        <v>-152.96525113042711</v>
      </c>
      <c r="Z267">
        <f t="shared" si="245"/>
        <v>27.034748869572894</v>
      </c>
      <c r="AC267">
        <v>1</v>
      </c>
      <c r="AD267">
        <f t="shared" si="229"/>
        <v>71.430392083049995</v>
      </c>
      <c r="AE267">
        <f t="shared" si="230"/>
        <v>-1.4272170386400709E-3</v>
      </c>
      <c r="AF267">
        <f t="shared" si="231"/>
        <v>5.5146260741039997E-3</v>
      </c>
      <c r="AG267">
        <f t="shared" si="246"/>
        <v>12095.786808470088</v>
      </c>
      <c r="AH267">
        <f t="shared" si="247"/>
        <v>-3311.7953571808912</v>
      </c>
      <c r="AJ267">
        <f t="shared" si="232"/>
        <v>18000</v>
      </c>
      <c r="AK267">
        <f t="shared" si="233"/>
        <v>30989.800872954005</v>
      </c>
      <c r="AL267">
        <v>1</v>
      </c>
      <c r="AM267">
        <f t="shared" si="234"/>
        <v>67.657402142252991</v>
      </c>
      <c r="AN267">
        <f t="shared" si="248"/>
        <v>461.87142190695027</v>
      </c>
      <c r="AO267">
        <f t="shared" si="249"/>
        <v>-259.21965701872909</v>
      </c>
      <c r="AQ267">
        <f t="shared" si="235"/>
        <v>3.559973086603465E-2</v>
      </c>
      <c r="AR267">
        <f t="shared" si="236"/>
        <v>-18.867857358998364</v>
      </c>
      <c r="AT267">
        <f t="shared" si="209"/>
        <v>-62055.875646487621</v>
      </c>
      <c r="AU267">
        <f t="shared" si="210"/>
        <v>-228339.47917046669</v>
      </c>
      <c r="AV267">
        <f t="shared" si="250"/>
        <v>-1.8361573855188218</v>
      </c>
      <c r="AW267">
        <f t="shared" si="251"/>
        <v>9095.0789877428815</v>
      </c>
      <c r="AX267">
        <f t="shared" si="252"/>
        <v>-13687.814781779554</v>
      </c>
      <c r="AY267">
        <f t="shared" ref="AY267:AY330" si="260">ATAN2(AW267,AX267)</f>
        <v>-0.98431924282199013</v>
      </c>
      <c r="BA267">
        <f t="shared" si="237"/>
        <v>14.398294830597084</v>
      </c>
      <c r="BB267">
        <f t="shared" si="253"/>
        <v>23.166221245361179</v>
      </c>
      <c r="BC267">
        <f t="shared" si="254"/>
        <v>-0.85183814269683167</v>
      </c>
      <c r="BD267">
        <f t="shared" si="238"/>
        <v>-228.80673046056103</v>
      </c>
      <c r="BF267">
        <f t="shared" si="239"/>
        <v>-24.123962721859556</v>
      </c>
      <c r="BG267">
        <f t="shared" si="240"/>
        <v>-215.76259118849811</v>
      </c>
      <c r="BH267">
        <f t="shared" si="255"/>
        <v>-35.762591188498106</v>
      </c>
      <c r="BI267">
        <f t="shared" si="256"/>
        <v>-35.762591188498106</v>
      </c>
      <c r="BJ267">
        <f t="shared" si="241"/>
        <v>0</v>
      </c>
      <c r="BK267">
        <f t="shared" si="257"/>
        <v>0</v>
      </c>
      <c r="BM267">
        <f t="shared" si="258"/>
        <v>-47.290183967220742</v>
      </c>
      <c r="BN267">
        <f t="shared" si="242"/>
        <v>-166.95586072793708</v>
      </c>
      <c r="BQ267" s="56">
        <f t="shared" si="259"/>
        <v>40.068182045646317</v>
      </c>
      <c r="BR267" s="59"/>
      <c r="BS267" s="59"/>
      <c r="BT267" s="59">
        <v>37153.523000000001</v>
      </c>
      <c r="BU267" s="59">
        <v>-1.30297</v>
      </c>
      <c r="BV267" s="59">
        <v>-145.744</v>
      </c>
      <c r="BY267" s="59"/>
      <c r="BZ267" s="59"/>
      <c r="CA267" s="59"/>
      <c r="CC267" s="59"/>
    </row>
    <row r="268" spans="1:81" x14ac:dyDescent="0.25">
      <c r="A268">
        <f t="shared" si="211"/>
        <v>270000</v>
      </c>
      <c r="B268">
        <f t="shared" si="243"/>
        <v>270</v>
      </c>
      <c r="C268">
        <f t="shared" si="212"/>
        <v>1.0258904055528177</v>
      </c>
      <c r="D268">
        <f t="shared" si="213"/>
        <v>0.22513942563066325</v>
      </c>
      <c r="F268">
        <f t="shared" si="214"/>
        <v>2.7067990798269019E-4</v>
      </c>
      <c r="G268">
        <f t="shared" si="215"/>
        <v>6.4357417488288132E-3</v>
      </c>
      <c r="H268">
        <f t="shared" si="216"/>
        <v>-3.1351569082511714</v>
      </c>
      <c r="J268">
        <f t="shared" si="217"/>
        <v>15</v>
      </c>
      <c r="M268">
        <f t="shared" si="218"/>
        <v>9.8876602399651844E-3</v>
      </c>
      <c r="N268">
        <f t="shared" si="219"/>
        <v>-1.5707963250000001</v>
      </c>
      <c r="O268">
        <f t="shared" si="220"/>
        <v>72.785005200915109</v>
      </c>
      <c r="P268">
        <f t="shared" si="221"/>
        <v>1.5570568009081971</v>
      </c>
      <c r="Q268">
        <f t="shared" si="222"/>
        <v>68.941209837392279</v>
      </c>
      <c r="R268">
        <f t="shared" si="223"/>
        <v>1.5562907056713289</v>
      </c>
      <c r="S268">
        <f t="shared" si="224"/>
        <v>0.495255520577703</v>
      </c>
      <c r="T268">
        <f t="shared" si="225"/>
        <v>-1.052667394511875</v>
      </c>
      <c r="U268">
        <f t="shared" si="226"/>
        <v>0.96694805062928879</v>
      </c>
      <c r="V268">
        <f t="shared" si="227"/>
        <v>-0.25782026014284859</v>
      </c>
      <c r="X268">
        <f t="shared" si="244"/>
        <v>-20.090098649462533</v>
      </c>
      <c r="Y268">
        <f t="shared" si="228"/>
        <v>-153.43545956705339</v>
      </c>
      <c r="Z268">
        <f t="shared" si="245"/>
        <v>26.564540432946615</v>
      </c>
      <c r="AC268">
        <v>1</v>
      </c>
      <c r="AD268">
        <f t="shared" si="229"/>
        <v>72.77813532990001</v>
      </c>
      <c r="AE268">
        <f t="shared" si="230"/>
        <v>-1.4815823726146125E-3</v>
      </c>
      <c r="AF268">
        <f t="shared" si="231"/>
        <v>5.618675622672E-3</v>
      </c>
      <c r="AG268">
        <f t="shared" si="246"/>
        <v>12066.931856856363</v>
      </c>
      <c r="AH268">
        <f t="shared" si="247"/>
        <v>-3359.8938252431922</v>
      </c>
      <c r="AJ268">
        <f t="shared" si="232"/>
        <v>18000</v>
      </c>
      <c r="AK268">
        <f t="shared" si="233"/>
        <v>31574.514096972001</v>
      </c>
      <c r="AL268">
        <v>1</v>
      </c>
      <c r="AM268">
        <f t="shared" si="234"/>
        <v>68.933956899653992</v>
      </c>
      <c r="AN268">
        <f t="shared" si="248"/>
        <v>461.7308632861135</v>
      </c>
      <c r="AO268">
        <f t="shared" si="249"/>
        <v>-254.42133203297828</v>
      </c>
      <c r="AQ268">
        <f t="shared" si="235"/>
        <v>3.4293435207698189E-2</v>
      </c>
      <c r="AR268">
        <f t="shared" si="236"/>
        <v>-18.518455012157023</v>
      </c>
      <c r="AT268">
        <f t="shared" si="209"/>
        <v>-61806.226102601417</v>
      </c>
      <c r="AU268">
        <f t="shared" si="210"/>
        <v>-223576.1570271597</v>
      </c>
      <c r="AV268">
        <f t="shared" si="250"/>
        <v>-1.8405042630894743</v>
      </c>
      <c r="AW268">
        <f t="shared" si="251"/>
        <v>9241.5097512130433</v>
      </c>
      <c r="AX268">
        <f t="shared" si="252"/>
        <v>-13553.599141432984</v>
      </c>
      <c r="AY268">
        <f t="shared" si="260"/>
        <v>-0.97235630839285314</v>
      </c>
      <c r="BA268">
        <f t="shared" si="237"/>
        <v>14.140190676715235</v>
      </c>
      <c r="BB268">
        <f t="shared" si="253"/>
        <v>23.009105316921882</v>
      </c>
      <c r="BC268">
        <f t="shared" si="254"/>
        <v>-0.8681479546966212</v>
      </c>
      <c r="BD268">
        <f t="shared" si="238"/>
        <v>-229.7412138538686</v>
      </c>
      <c r="BF268">
        <f t="shared" si="239"/>
        <v>-24.597929734943826</v>
      </c>
      <c r="BG268">
        <f t="shared" si="240"/>
        <v>-216.47293410782689</v>
      </c>
      <c r="BH268">
        <f t="shared" si="255"/>
        <v>-36.472934107826887</v>
      </c>
      <c r="BI268">
        <f t="shared" si="256"/>
        <v>-36.472934107826887</v>
      </c>
      <c r="BJ268">
        <f t="shared" si="241"/>
        <v>0</v>
      </c>
      <c r="BK268">
        <f t="shared" si="257"/>
        <v>0</v>
      </c>
      <c r="BM268">
        <f t="shared" si="258"/>
        <v>-47.607035051865701</v>
      </c>
      <c r="BN268">
        <f t="shared" si="242"/>
        <v>-166.73172025395829</v>
      </c>
      <c r="BQ268" s="56">
        <f t="shared" si="259"/>
        <v>39.911066117207014</v>
      </c>
      <c r="BR268" s="59"/>
      <c r="BS268" s="59"/>
      <c r="BT268" s="59">
        <v>38018.94</v>
      </c>
      <c r="BU268" s="59">
        <v>-1.18652</v>
      </c>
      <c r="BV268" s="59">
        <v>-144.86799999999999</v>
      </c>
      <c r="BY268" s="59"/>
      <c r="BZ268" s="59"/>
      <c r="CA268" s="59"/>
      <c r="CC268" s="59"/>
    </row>
    <row r="269" spans="1:81" x14ac:dyDescent="0.25">
      <c r="A269">
        <f t="shared" si="211"/>
        <v>275000</v>
      </c>
      <c r="B269">
        <f t="shared" si="243"/>
        <v>275</v>
      </c>
      <c r="C269">
        <f t="shared" si="212"/>
        <v>1.0268455316108318</v>
      </c>
      <c r="D269">
        <f t="shared" si="213"/>
        <v>0.22916547158916867</v>
      </c>
      <c r="F269">
        <f t="shared" si="214"/>
        <v>2.6092407317019565E-4</v>
      </c>
      <c r="G269">
        <f t="shared" si="215"/>
        <v>6.3186683274873623E-3</v>
      </c>
      <c r="H269">
        <f t="shared" si="216"/>
        <v>-3.1352739816725128</v>
      </c>
      <c r="J269">
        <f t="shared" si="217"/>
        <v>15</v>
      </c>
      <c r="M269">
        <f t="shared" si="218"/>
        <v>9.7078845992385442E-3</v>
      </c>
      <c r="N269">
        <f t="shared" si="219"/>
        <v>-1.5707963250000001</v>
      </c>
      <c r="O269">
        <f t="shared" si="220"/>
        <v>74.132623552489264</v>
      </c>
      <c r="P269">
        <f t="shared" si="221"/>
        <v>1.5573065798845576</v>
      </c>
      <c r="Q269">
        <f t="shared" si="222"/>
        <v>70.217632736695521</v>
      </c>
      <c r="R269">
        <f t="shared" si="223"/>
        <v>1.5565544082454073</v>
      </c>
      <c r="S269">
        <f t="shared" si="224"/>
        <v>0.48841399496435944</v>
      </c>
      <c r="T269">
        <f t="shared" si="225"/>
        <v>-1.0605250377215676</v>
      </c>
      <c r="U269">
        <f t="shared" si="226"/>
        <v>0.96577528445636029</v>
      </c>
      <c r="V269">
        <f t="shared" si="227"/>
        <v>-0.26238040686970282</v>
      </c>
      <c r="X269">
        <f t="shared" si="244"/>
        <v>-20.372902562559126</v>
      </c>
      <c r="Y269">
        <f t="shared" si="228"/>
        <v>-153.89355856751092</v>
      </c>
      <c r="Z269">
        <f t="shared" si="245"/>
        <v>26.106441432489078</v>
      </c>
      <c r="AC269">
        <v>1</v>
      </c>
      <c r="AD269">
        <f t="shared" si="229"/>
        <v>74.125878576749997</v>
      </c>
      <c r="AE269">
        <f t="shared" si="230"/>
        <v>-1.5369638810559679E-3</v>
      </c>
      <c r="AF269">
        <f t="shared" si="231"/>
        <v>5.7227251712400002E-3</v>
      </c>
      <c r="AG269">
        <f t="shared" si="246"/>
        <v>12037.67877025752</v>
      </c>
      <c r="AH269">
        <f t="shared" si="247"/>
        <v>-3407.7256723153887</v>
      </c>
      <c r="AJ269">
        <f t="shared" si="232"/>
        <v>18000</v>
      </c>
      <c r="AK269">
        <f t="shared" si="233"/>
        <v>32159.227320990005</v>
      </c>
      <c r="AL269">
        <v>1</v>
      </c>
      <c r="AM269">
        <f t="shared" si="234"/>
        <v>70.210511657054994</v>
      </c>
      <c r="AN269">
        <f t="shared" si="248"/>
        <v>461.59789950986817</v>
      </c>
      <c r="AO269">
        <f t="shared" si="249"/>
        <v>-249.79738341969215</v>
      </c>
      <c r="AQ269">
        <f t="shared" si="235"/>
        <v>3.3057741957877827E-2</v>
      </c>
      <c r="AR269">
        <f t="shared" si="236"/>
        <v>-18.181758076832804</v>
      </c>
      <c r="AT269">
        <f t="shared" si="209"/>
        <v>-61560.50528769182</v>
      </c>
      <c r="AU269">
        <f t="shared" si="210"/>
        <v>-218978.81492338708</v>
      </c>
      <c r="AV269">
        <f t="shared" si="250"/>
        <v>-1.8448483007602587</v>
      </c>
      <c r="AW269">
        <f t="shared" si="251"/>
        <v>9377.8431687582106</v>
      </c>
      <c r="AX269">
        <f t="shared" si="252"/>
        <v>-13426.074949474281</v>
      </c>
      <c r="AY269">
        <f t="shared" si="260"/>
        <v>-0.96109130846757229</v>
      </c>
      <c r="BA269">
        <f t="shared" si="237"/>
        <v>13.889512253806485</v>
      </c>
      <c r="BB269">
        <f t="shared" si="253"/>
        <v>22.853739905105638</v>
      </c>
      <c r="BC269">
        <f t="shared" si="254"/>
        <v>-0.88375699229268645</v>
      </c>
      <c r="BD269">
        <f t="shared" si="238"/>
        <v>-230.63554583140609</v>
      </c>
      <c r="BF269">
        <f t="shared" si="239"/>
        <v>-25.064049572434762</v>
      </c>
      <c r="BG269">
        <f t="shared" si="240"/>
        <v>-217.14329845649638</v>
      </c>
      <c r="BH269">
        <f t="shared" si="255"/>
        <v>-37.143298456496382</v>
      </c>
      <c r="BI269">
        <f t="shared" si="256"/>
        <v>-37.143298456496382</v>
      </c>
      <c r="BJ269">
        <f t="shared" si="241"/>
        <v>0</v>
      </c>
      <c r="BK269">
        <f t="shared" si="257"/>
        <v>0</v>
      </c>
      <c r="BM269">
        <f t="shared" si="258"/>
        <v>-47.917789477540396</v>
      </c>
      <c r="BN269">
        <f t="shared" si="242"/>
        <v>-166.50775262509029</v>
      </c>
      <c r="BQ269" s="56">
        <f t="shared" si="259"/>
        <v>39.755700705390772</v>
      </c>
      <c r="BR269" s="59"/>
      <c r="BS269" s="59"/>
      <c r="BT269" s="59">
        <v>38904.514000000003</v>
      </c>
      <c r="BU269" s="59">
        <v>-1.0515600000000001</v>
      </c>
      <c r="BV269" s="59">
        <v>-144.06</v>
      </c>
      <c r="BY269" s="59"/>
      <c r="BZ269" s="59"/>
      <c r="CA269" s="59"/>
      <c r="CC269" s="59"/>
    </row>
    <row r="270" spans="1:81" x14ac:dyDescent="0.25">
      <c r="A270">
        <f t="shared" si="211"/>
        <v>280000</v>
      </c>
      <c r="B270">
        <f t="shared" si="243"/>
        <v>280</v>
      </c>
      <c r="C270">
        <f t="shared" si="212"/>
        <v>1.0278172707640685</v>
      </c>
      <c r="D270">
        <f t="shared" si="213"/>
        <v>0.23318396981529579</v>
      </c>
      <c r="F270">
        <f t="shared" si="214"/>
        <v>2.5168635783543131E-4</v>
      </c>
      <c r="G270">
        <f t="shared" si="215"/>
        <v>6.2057792259656974E-3</v>
      </c>
      <c r="H270">
        <f t="shared" si="216"/>
        <v>-3.1353868707740347</v>
      </c>
      <c r="J270">
        <f t="shared" si="217"/>
        <v>15</v>
      </c>
      <c r="M270">
        <f t="shared" si="218"/>
        <v>9.5345295171092859E-3</v>
      </c>
      <c r="N270">
        <f t="shared" si="219"/>
        <v>-1.5707963250000001</v>
      </c>
      <c r="O270">
        <f t="shared" si="220"/>
        <v>75.480246364010981</v>
      </c>
      <c r="P270">
        <f t="shared" si="221"/>
        <v>1.5575474397777878</v>
      </c>
      <c r="Q270">
        <f t="shared" si="222"/>
        <v>71.494060344512832</v>
      </c>
      <c r="R270">
        <f t="shared" si="223"/>
        <v>1.5568086947468567</v>
      </c>
      <c r="S270">
        <f t="shared" si="224"/>
        <v>0.48173037579779387</v>
      </c>
      <c r="T270">
        <f t="shared" si="225"/>
        <v>-1.068168088955733</v>
      </c>
      <c r="U270">
        <f t="shared" si="226"/>
        <v>0.96458537420924972</v>
      </c>
      <c r="V270">
        <f t="shared" si="227"/>
        <v>-0.26692941108942214</v>
      </c>
      <c r="X270">
        <f t="shared" si="244"/>
        <v>-20.651718205748541</v>
      </c>
      <c r="Y270">
        <f t="shared" si="228"/>
        <v>-154.33996717119413</v>
      </c>
      <c r="Z270">
        <f t="shared" si="245"/>
        <v>25.660032828805868</v>
      </c>
      <c r="AC270">
        <v>1</v>
      </c>
      <c r="AD270">
        <f t="shared" si="229"/>
        <v>75.473621823600013</v>
      </c>
      <c r="AE270">
        <f t="shared" si="230"/>
        <v>-1.5933615639641371E-3</v>
      </c>
      <c r="AF270">
        <f t="shared" si="231"/>
        <v>5.8267747198079995E-3</v>
      </c>
      <c r="AG270">
        <f t="shared" si="246"/>
        <v>12008.034331102486</v>
      </c>
      <c r="AH270">
        <f t="shared" si="247"/>
        <v>-3455.2803789544696</v>
      </c>
      <c r="AJ270">
        <f t="shared" si="232"/>
        <v>18000</v>
      </c>
      <c r="AK270">
        <f t="shared" si="233"/>
        <v>32743.940545008001</v>
      </c>
      <c r="AL270">
        <v>1</v>
      </c>
      <c r="AM270">
        <f t="shared" si="234"/>
        <v>71.487066414455995</v>
      </c>
      <c r="AN270">
        <f t="shared" si="248"/>
        <v>461.47199314143921</v>
      </c>
      <c r="AO270">
        <f t="shared" si="249"/>
        <v>-245.33847710544671</v>
      </c>
      <c r="AQ270">
        <f t="shared" si="235"/>
        <v>3.1887653419472514E-2</v>
      </c>
      <c r="AR270">
        <f t="shared" si="236"/>
        <v>-17.857085914904609</v>
      </c>
      <c r="AT270">
        <f t="shared" si="209"/>
        <v>-61318.330550074796</v>
      </c>
      <c r="AU270">
        <f t="shared" si="210"/>
        <v>-214538.6815028124</v>
      </c>
      <c r="AV270">
        <f t="shared" si="250"/>
        <v>-1.8491889125137904</v>
      </c>
      <c r="AW270">
        <f t="shared" si="251"/>
        <v>9504.7698425466242</v>
      </c>
      <c r="AX270">
        <f t="shared" si="252"/>
        <v>-13304.845230347912</v>
      </c>
      <c r="AY270">
        <f t="shared" si="260"/>
        <v>-0.95048169868486954</v>
      </c>
      <c r="BA270">
        <f t="shared" si="237"/>
        <v>13.646119773960248</v>
      </c>
      <c r="BB270">
        <f t="shared" si="253"/>
        <v>22.700183576517684</v>
      </c>
      <c r="BC270">
        <f t="shared" si="254"/>
        <v>-0.89870721382892083</v>
      </c>
      <c r="BD270">
        <f t="shared" si="238"/>
        <v>-231.49213042919672</v>
      </c>
      <c r="BF270">
        <f t="shared" si="239"/>
        <v>-25.52247950005151</v>
      </c>
      <c r="BG270">
        <f t="shared" si="240"/>
        <v>-217.77610813476363</v>
      </c>
      <c r="BH270">
        <f t="shared" si="255"/>
        <v>-37.776108134763632</v>
      </c>
      <c r="BI270">
        <f t="shared" si="256"/>
        <v>-37.776108134763632</v>
      </c>
      <c r="BJ270">
        <f t="shared" si="241"/>
        <v>0</v>
      </c>
      <c r="BK270">
        <f t="shared" si="257"/>
        <v>0</v>
      </c>
      <c r="BM270">
        <f t="shared" si="258"/>
        <v>-48.222663076569191</v>
      </c>
      <c r="BN270">
        <f t="shared" si="242"/>
        <v>-166.28397770556694</v>
      </c>
      <c r="BQ270" s="56">
        <f t="shared" si="259"/>
        <v>39.602144376802826</v>
      </c>
      <c r="BR270" s="59"/>
      <c r="BS270" s="59"/>
      <c r="BT270" s="59">
        <v>39810.716999999997</v>
      </c>
      <c r="BU270" s="59">
        <v>-0.92721699999999996</v>
      </c>
      <c r="BV270" s="59">
        <v>-143.22999999999999</v>
      </c>
      <c r="BY270" s="59"/>
      <c r="BZ270" s="59"/>
      <c r="CA270" s="59"/>
      <c r="CC270" s="59"/>
    </row>
    <row r="271" spans="1:81" x14ac:dyDescent="0.25">
      <c r="A271">
        <f t="shared" si="211"/>
        <v>285000</v>
      </c>
      <c r="B271">
        <f t="shared" si="243"/>
        <v>285</v>
      </c>
      <c r="C271">
        <f t="shared" si="212"/>
        <v>1.0288055759377592</v>
      </c>
      <c r="D271">
        <f t="shared" si="213"/>
        <v>0.23719481209834545</v>
      </c>
      <c r="F271">
        <f t="shared" si="214"/>
        <v>2.4293070952110664E-4</v>
      </c>
      <c r="G271">
        <f t="shared" si="215"/>
        <v>6.0968540031922031E-3</v>
      </c>
      <c r="H271">
        <f t="shared" si="216"/>
        <v>-3.1354957959968082</v>
      </c>
      <c r="J271">
        <f t="shared" si="217"/>
        <v>15</v>
      </c>
      <c r="M271">
        <f t="shared" si="218"/>
        <v>9.3672570694407001E-3</v>
      </c>
      <c r="N271">
        <f t="shared" si="219"/>
        <v>-1.5707963250000001</v>
      </c>
      <c r="O271">
        <f t="shared" si="220"/>
        <v>76.827873400786999</v>
      </c>
      <c r="P271">
        <f t="shared" si="221"/>
        <v>1.557779849904366</v>
      </c>
      <c r="Q271">
        <f t="shared" si="222"/>
        <v>72.770492413075758</v>
      </c>
      <c r="R271">
        <f t="shared" si="223"/>
        <v>1.5570540606302432</v>
      </c>
      <c r="S271">
        <f t="shared" si="224"/>
        <v>0.47520056454186621</v>
      </c>
      <c r="T271">
        <f t="shared" si="225"/>
        <v>-1.0756043631233081</v>
      </c>
      <c r="U271">
        <f t="shared" si="226"/>
        <v>0.96337853063727186</v>
      </c>
      <c r="V271">
        <f t="shared" si="227"/>
        <v>-0.27146712601820722</v>
      </c>
      <c r="X271">
        <f t="shared" si="244"/>
        <v>-20.92665073577766</v>
      </c>
      <c r="Y271">
        <f t="shared" si="228"/>
        <v>-154.775088282361</v>
      </c>
      <c r="Z271">
        <f t="shared" si="245"/>
        <v>25.224911717639003</v>
      </c>
      <c r="AC271">
        <v>1</v>
      </c>
      <c r="AD271">
        <f t="shared" si="229"/>
        <v>76.82136507045</v>
      </c>
      <c r="AE271">
        <f t="shared" si="230"/>
        <v>-1.6507754213391207E-3</v>
      </c>
      <c r="AF271">
        <f t="shared" si="231"/>
        <v>5.9308242683759997E-3</v>
      </c>
      <c r="AG271">
        <f t="shared" si="246"/>
        <v>11978.005359706634</v>
      </c>
      <c r="AH271">
        <f t="shared" si="247"/>
        <v>-3502.5480278072896</v>
      </c>
      <c r="AJ271">
        <f t="shared" si="232"/>
        <v>18000</v>
      </c>
      <c r="AK271">
        <f t="shared" si="233"/>
        <v>33328.653769026001</v>
      </c>
      <c r="AL271">
        <v>1</v>
      </c>
      <c r="AM271">
        <f t="shared" si="234"/>
        <v>72.763621171856997</v>
      </c>
      <c r="AN271">
        <f t="shared" si="248"/>
        <v>461.35265345215458</v>
      </c>
      <c r="AO271">
        <f t="shared" si="249"/>
        <v>-241.03593339759897</v>
      </c>
      <c r="AQ271">
        <f t="shared" si="235"/>
        <v>3.0778606406259137E-2</v>
      </c>
      <c r="AR271">
        <f t="shared" si="236"/>
        <v>-17.543805651567709</v>
      </c>
      <c r="AT271">
        <f t="shared" si="209"/>
        <v>-61079.355572634391</v>
      </c>
      <c r="AU271">
        <f t="shared" si="210"/>
        <v>-210247.60167129646</v>
      </c>
      <c r="AV271">
        <f t="shared" si="250"/>
        <v>-1.853525545538643</v>
      </c>
      <c r="AW271">
        <f t="shared" si="251"/>
        <v>9622.9210591300307</v>
      </c>
      <c r="AX271">
        <f t="shared" si="252"/>
        <v>-13189.54163733813</v>
      </c>
      <c r="AY271">
        <f t="shared" si="260"/>
        <v>-0.94048790084520206</v>
      </c>
      <c r="BA271">
        <f t="shared" si="237"/>
        <v>13.409850731643274</v>
      </c>
      <c r="BB271">
        <f t="shared" si="253"/>
        <v>22.548478872789701</v>
      </c>
      <c r="BC271">
        <f t="shared" si="254"/>
        <v>-0.91303764469344095</v>
      </c>
      <c r="BD271">
        <f t="shared" si="238"/>
        <v>-232.31320363727593</v>
      </c>
      <c r="BF271">
        <f t="shared" si="239"/>
        <v>-25.973381386372235</v>
      </c>
      <c r="BG271">
        <f t="shared" si="240"/>
        <v>-218.37361796302349</v>
      </c>
      <c r="BH271">
        <f t="shared" si="255"/>
        <v>-38.373617963023491</v>
      </c>
      <c r="BI271">
        <f t="shared" si="256"/>
        <v>-38.373617963023491</v>
      </c>
      <c r="BJ271">
        <f t="shared" si="241"/>
        <v>0</v>
      </c>
      <c r="BK271">
        <f t="shared" si="257"/>
        <v>0</v>
      </c>
      <c r="BM271">
        <f t="shared" si="258"/>
        <v>-48.52186025916194</v>
      </c>
      <c r="BN271">
        <f t="shared" si="242"/>
        <v>-166.06041432574756</v>
      </c>
      <c r="BQ271" s="56">
        <f t="shared" si="259"/>
        <v>39.45043967307484</v>
      </c>
      <c r="BR271" s="59"/>
      <c r="BS271" s="59"/>
      <c r="BT271" s="59">
        <v>40738.027999999998</v>
      </c>
      <c r="BU271" s="59">
        <v>-0.80365399999999998</v>
      </c>
      <c r="BV271" s="59">
        <v>-142.31399999999999</v>
      </c>
      <c r="BY271" s="59"/>
      <c r="BZ271" s="59"/>
      <c r="CA271" s="59"/>
      <c r="CC271" s="59"/>
    </row>
    <row r="272" spans="1:81" x14ac:dyDescent="0.25">
      <c r="A272">
        <f t="shared" si="211"/>
        <v>290000</v>
      </c>
      <c r="B272">
        <f t="shared" si="243"/>
        <v>290</v>
      </c>
      <c r="C272">
        <f t="shared" si="212"/>
        <v>1.0298103994368626</v>
      </c>
      <c r="D272">
        <f t="shared" si="213"/>
        <v>0.24119789162477173</v>
      </c>
      <c r="F272">
        <f t="shared" si="214"/>
        <v>2.3462415811231153E-4</v>
      </c>
      <c r="G272">
        <f t="shared" si="215"/>
        <v>5.9916874388841251E-3</v>
      </c>
      <c r="H272">
        <f t="shared" si="216"/>
        <v>-3.1356009625611159</v>
      </c>
      <c r="J272">
        <f t="shared" si="217"/>
        <v>15</v>
      </c>
      <c r="M272">
        <f t="shared" si="218"/>
        <v>9.2057526372089638E-3</v>
      </c>
      <c r="N272">
        <f t="shared" si="219"/>
        <v>-1.5707963250000001</v>
      </c>
      <c r="O272">
        <f t="shared" si="220"/>
        <v>78.175504444306469</v>
      </c>
      <c r="P272">
        <f t="shared" si="221"/>
        <v>1.5580042472232656</v>
      </c>
      <c r="Q272">
        <f t="shared" si="222"/>
        <v>74.04692871169928</v>
      </c>
      <c r="R272">
        <f t="shared" si="223"/>
        <v>1.5572909671916173</v>
      </c>
      <c r="S272">
        <f t="shared" si="224"/>
        <v>0.46882051456463131</v>
      </c>
      <c r="T272">
        <f t="shared" si="225"/>
        <v>-1.0828413495325844</v>
      </c>
      <c r="U272">
        <f t="shared" si="226"/>
        <v>0.96215496603120332</v>
      </c>
      <c r="V272">
        <f t="shared" si="227"/>
        <v>-0.27599340745942591</v>
      </c>
      <c r="X272">
        <f t="shared" si="244"/>
        <v>-21.197801288946852</v>
      </c>
      <c r="Y272">
        <f t="shared" si="228"/>
        <v>-155.19930915690958</v>
      </c>
      <c r="Z272">
        <f t="shared" si="245"/>
        <v>24.800690843090422</v>
      </c>
      <c r="AC272">
        <v>1</v>
      </c>
      <c r="AD272">
        <f t="shared" si="229"/>
        <v>78.169108317300001</v>
      </c>
      <c r="AE272">
        <f t="shared" si="230"/>
        <v>-1.7092054531809178E-3</v>
      </c>
      <c r="AF272">
        <f t="shared" si="231"/>
        <v>6.0348738169439999E-3</v>
      </c>
      <c r="AG272">
        <f t="shared" si="246"/>
        <v>11947.598710796623</v>
      </c>
      <c r="AH272">
        <f t="shared" si="247"/>
        <v>-3549.5192639766287</v>
      </c>
      <c r="AJ272">
        <f t="shared" si="232"/>
        <v>18000</v>
      </c>
      <c r="AK272">
        <f t="shared" si="233"/>
        <v>33913.366993044008</v>
      </c>
      <c r="AL272">
        <v>1</v>
      </c>
      <c r="AM272">
        <f t="shared" si="234"/>
        <v>74.040175929257998</v>
      </c>
      <c r="AN272">
        <f t="shared" si="248"/>
        <v>461.23943163384467</v>
      </c>
      <c r="AO272">
        <f t="shared" si="249"/>
        <v>-236.88167063681263</v>
      </c>
      <c r="AQ272">
        <f t="shared" si="235"/>
        <v>2.9726427686005689E-2</v>
      </c>
      <c r="AR272">
        <f t="shared" si="236"/>
        <v>-17.241328057883301</v>
      </c>
      <c r="AT272">
        <f t="shared" si="209"/>
        <v>-60843.266648899618</v>
      </c>
      <c r="AU272">
        <f t="shared" si="210"/>
        <v>-206097.98340450885</v>
      </c>
      <c r="AV272">
        <f t="shared" si="250"/>
        <v>-1.8578576776033366</v>
      </c>
      <c r="AW272">
        <f t="shared" si="251"/>
        <v>9732.8748693768157</v>
      </c>
      <c r="AX272">
        <f t="shared" si="252"/>
        <v>-13079.821905301193</v>
      </c>
      <c r="AY272">
        <f t="shared" si="260"/>
        <v>-0.93107309656642201</v>
      </c>
      <c r="BA272">
        <f t="shared" si="237"/>
        <v>13.180525992289372</v>
      </c>
      <c r="BB272">
        <f t="shared" si="253"/>
        <v>22.398654837922606</v>
      </c>
      <c r="BC272">
        <f t="shared" si="254"/>
        <v>-0.92678458103691463</v>
      </c>
      <c r="BD272">
        <f t="shared" si="238"/>
        <v>-233.100845071892</v>
      </c>
      <c r="BF272">
        <f t="shared" si="239"/>
        <v>-26.416919971521587</v>
      </c>
      <c r="BG272">
        <f t="shared" si="240"/>
        <v>-218.93792543574563</v>
      </c>
      <c r="BH272">
        <f t="shared" si="255"/>
        <v>-38.937925435745626</v>
      </c>
      <c r="BI272">
        <f t="shared" si="256"/>
        <v>-38.937925435745626</v>
      </c>
      <c r="BJ272">
        <f t="shared" si="241"/>
        <v>0</v>
      </c>
      <c r="BK272">
        <f t="shared" si="257"/>
        <v>0</v>
      </c>
      <c r="BM272">
        <f t="shared" si="258"/>
        <v>-48.815574809444193</v>
      </c>
      <c r="BN272">
        <f t="shared" si="242"/>
        <v>-165.83708036385363</v>
      </c>
      <c r="BQ272" s="56">
        <f t="shared" si="259"/>
        <v>39.300615638207738</v>
      </c>
      <c r="BR272" s="59"/>
      <c r="BS272" s="59"/>
      <c r="BT272" s="59">
        <v>41686.938000000002</v>
      </c>
      <c r="BU272" s="59">
        <v>-0.666377</v>
      </c>
      <c r="BV272" s="59">
        <v>-141.465</v>
      </c>
      <c r="BY272" s="59"/>
      <c r="BZ272" s="59"/>
      <c r="CA272" s="59"/>
      <c r="CC272" s="59"/>
    </row>
    <row r="273" spans="1:81" x14ac:dyDescent="0.25">
      <c r="A273">
        <f t="shared" si="211"/>
        <v>295000</v>
      </c>
      <c r="B273">
        <f t="shared" si="243"/>
        <v>295</v>
      </c>
      <c r="C273">
        <f t="shared" si="212"/>
        <v>1.0308316929566903</v>
      </c>
      <c r="D273">
        <f t="shared" si="213"/>
        <v>0.2451931029891998</v>
      </c>
      <c r="F273">
        <f t="shared" si="214"/>
        <v>2.2673650490475275E-4</v>
      </c>
      <c r="G273">
        <f t="shared" si="215"/>
        <v>5.8900882418695868E-3</v>
      </c>
      <c r="H273">
        <f t="shared" si="216"/>
        <v>-3.1357025617581304</v>
      </c>
      <c r="J273">
        <f t="shared" si="217"/>
        <v>15</v>
      </c>
      <c r="M273">
        <f t="shared" si="218"/>
        <v>9.049722931493559E-3</v>
      </c>
      <c r="N273">
        <f t="shared" si="219"/>
        <v>-1.5707963250000001</v>
      </c>
      <c r="O273">
        <f t="shared" si="220"/>
        <v>79.523139290869693</v>
      </c>
      <c r="P273">
        <f t="shared" si="221"/>
        <v>1.5582210390772087</v>
      </c>
      <c r="Q273">
        <f t="shared" si="222"/>
        <v>75.3233690253345</v>
      </c>
      <c r="R273">
        <f t="shared" si="223"/>
        <v>1.557519844462236</v>
      </c>
      <c r="S273">
        <f t="shared" si="224"/>
        <v>0.4625862398573003</v>
      </c>
      <c r="T273">
        <f t="shared" si="225"/>
        <v>-1.0898862250017998</v>
      </c>
      <c r="U273">
        <f t="shared" si="226"/>
        <v>0.96091489413117792</v>
      </c>
      <c r="V273">
        <f t="shared" si="227"/>
        <v>-0.28050811381598023</v>
      </c>
      <c r="X273">
        <f t="shared" si="244"/>
        <v>-21.465267197583199</v>
      </c>
      <c r="Y273">
        <f t="shared" si="228"/>
        <v>-155.6130019047848</v>
      </c>
      <c r="Z273">
        <f t="shared" si="245"/>
        <v>24.386998095215205</v>
      </c>
      <c r="AC273">
        <v>1</v>
      </c>
      <c r="AD273">
        <f t="shared" si="229"/>
        <v>79.516851564150002</v>
      </c>
      <c r="AE273">
        <f t="shared" si="230"/>
        <v>-1.7686516594895285E-3</v>
      </c>
      <c r="AF273">
        <f t="shared" si="231"/>
        <v>6.1389233655120001E-3</v>
      </c>
      <c r="AG273">
        <f t="shared" si="246"/>
        <v>11916.8212700638</v>
      </c>
      <c r="AH273">
        <f t="shared" si="247"/>
        <v>-3596.1852593182198</v>
      </c>
      <c r="AJ273">
        <f t="shared" si="232"/>
        <v>18000</v>
      </c>
      <c r="AK273">
        <f t="shared" si="233"/>
        <v>34498.080217062001</v>
      </c>
      <c r="AL273">
        <v>1</v>
      </c>
      <c r="AM273">
        <f t="shared" si="234"/>
        <v>75.316730686659</v>
      </c>
      <c r="AN273">
        <f t="shared" si="248"/>
        <v>461.13191657409953</v>
      </c>
      <c r="AO273">
        <f t="shared" si="249"/>
        <v>-232.86815457236239</v>
      </c>
      <c r="AQ273">
        <f t="shared" si="235"/>
        <v>2.8727294664479562E-2</v>
      </c>
      <c r="AR273">
        <f t="shared" si="236"/>
        <v>-16.949103852042942</v>
      </c>
      <c r="AT273">
        <f t="shared" si="209"/>
        <v>-60609.779395281425</v>
      </c>
      <c r="AU273">
        <f t="shared" si="210"/>
        <v>-202082.7499661581</v>
      </c>
      <c r="AV273">
        <f t="shared" si="250"/>
        <v>-1.8621848146973403</v>
      </c>
      <c r="AW273">
        <f t="shared" si="251"/>
        <v>9835.1614532414824</v>
      </c>
      <c r="AX273">
        <f t="shared" si="252"/>
        <v>-12975.367573074824</v>
      </c>
      <c r="AY273">
        <f t="shared" si="260"/>
        <v>-0.92220303008694471</v>
      </c>
      <c r="BA273">
        <f t="shared" si="237"/>
        <v>12.957954741953991</v>
      </c>
      <c r="BB273">
        <f t="shared" si="253"/>
        <v>22.25072917516815</v>
      </c>
      <c r="BC273">
        <f t="shared" si="254"/>
        <v>-0.93998178461039561</v>
      </c>
      <c r="BD273">
        <f t="shared" si="238"/>
        <v>-233.85698913889144</v>
      </c>
      <c r="BF273">
        <f t="shared" si="239"/>
        <v>-26.853261438158682</v>
      </c>
      <c r="BG273">
        <f t="shared" si="240"/>
        <v>-219.47098195823659</v>
      </c>
      <c r="BH273">
        <f t="shared" si="255"/>
        <v>-39.470981958236592</v>
      </c>
      <c r="BI273">
        <f t="shared" si="256"/>
        <v>-39.470981958236592</v>
      </c>
      <c r="BJ273">
        <f t="shared" si="241"/>
        <v>0</v>
      </c>
      <c r="BK273">
        <f t="shared" si="257"/>
        <v>0</v>
      </c>
      <c r="BM273">
        <f t="shared" si="258"/>
        <v>-49.103990613326836</v>
      </c>
      <c r="BN273">
        <f t="shared" si="242"/>
        <v>-165.61399281934513</v>
      </c>
      <c r="BQ273" s="56">
        <f t="shared" si="259"/>
        <v>39.152689975453285</v>
      </c>
      <c r="BR273" s="59"/>
      <c r="BS273" s="59"/>
      <c r="BT273" s="59">
        <v>42657.951999999997</v>
      </c>
      <c r="BU273" s="59">
        <v>-0.55182299999999995</v>
      </c>
      <c r="BV273" s="59">
        <v>-140.39099999999999</v>
      </c>
      <c r="BY273" s="59"/>
      <c r="BZ273" s="59"/>
      <c r="CA273" s="59"/>
      <c r="CC273" s="59"/>
    </row>
    <row r="274" spans="1:81" x14ac:dyDescent="0.25">
      <c r="A274">
        <f t="shared" si="211"/>
        <v>300000</v>
      </c>
      <c r="B274">
        <f t="shared" si="243"/>
        <v>300</v>
      </c>
      <c r="C274">
        <f t="shared" si="212"/>
        <v>1.0318694075935975</v>
      </c>
      <c r="D274">
        <f t="shared" si="213"/>
        <v>0.24918034220486185</v>
      </c>
      <c r="F274">
        <f t="shared" si="214"/>
        <v>2.192400476624076E-4</v>
      </c>
      <c r="G274">
        <f t="shared" si="215"/>
        <v>5.7918778877800682E-3</v>
      </c>
      <c r="H274">
        <f t="shared" si="216"/>
        <v>-3.1358007721122201</v>
      </c>
      <c r="J274">
        <f t="shared" si="217"/>
        <v>15</v>
      </c>
      <c r="M274">
        <f t="shared" si="218"/>
        <v>8.8988942159686658E-3</v>
      </c>
      <c r="N274">
        <f t="shared" si="219"/>
        <v>-1.5707963250000001</v>
      </c>
      <c r="O274">
        <f t="shared" si="220"/>
        <v>80.87077775035435</v>
      </c>
      <c r="P274">
        <f t="shared" si="221"/>
        <v>1.5584306056598998</v>
      </c>
      <c r="Q274">
        <f t="shared" si="222"/>
        <v>76.599813153265941</v>
      </c>
      <c r="R274">
        <f t="shared" si="223"/>
        <v>1.5577410938130358</v>
      </c>
      <c r="S274">
        <f t="shared" si="224"/>
        <v>0.45649382220761869</v>
      </c>
      <c r="T274">
        <f t="shared" si="225"/>
        <v>-1.0967458666973253</v>
      </c>
      <c r="U274">
        <f t="shared" si="226"/>
        <v>0.95965853003505974</v>
      </c>
      <c r="V274">
        <f t="shared" si="227"/>
        <v>-0.28501110610137514</v>
      </c>
      <c r="X274">
        <f t="shared" si="244"/>
        <v>-21.729142189418901</v>
      </c>
      <c r="Y274">
        <f t="shared" si="228"/>
        <v>-156.01652400159585</v>
      </c>
      <c r="Z274">
        <f t="shared" si="245"/>
        <v>23.983475998404145</v>
      </c>
      <c r="AC274">
        <v>1</v>
      </c>
      <c r="AD274">
        <f t="shared" si="229"/>
        <v>80.864594811000003</v>
      </c>
      <c r="AE274">
        <f t="shared" si="230"/>
        <v>-1.8291140402649537E-3</v>
      </c>
      <c r="AF274">
        <f t="shared" si="231"/>
        <v>6.2429729140799995E-3</v>
      </c>
      <c r="AG274">
        <f t="shared" si="246"/>
        <v>11885.679950749074</v>
      </c>
      <c r="AH274">
        <f t="shared" si="247"/>
        <v>-3642.5376802010251</v>
      </c>
      <c r="AJ274">
        <f t="shared" si="232"/>
        <v>18000</v>
      </c>
      <c r="AK274">
        <f t="shared" si="233"/>
        <v>35082.793441080008</v>
      </c>
      <c r="AL274">
        <v>1</v>
      </c>
      <c r="AM274">
        <f t="shared" si="234"/>
        <v>76.593285444060001</v>
      </c>
      <c r="AN274">
        <f t="shared" si="248"/>
        <v>461.02973112001496</v>
      </c>
      <c r="AO274">
        <f t="shared" si="249"/>
        <v>-228.98835279353037</v>
      </c>
      <c r="AQ274">
        <f t="shared" si="235"/>
        <v>2.7777700617498284E-2</v>
      </c>
      <c r="AR274">
        <f t="shared" si="236"/>
        <v>-16.666620370498972</v>
      </c>
      <c r="AT274">
        <f t="shared" si="209"/>
        <v>-60378.635841841162</v>
      </c>
      <c r="AU274">
        <f t="shared" si="210"/>
        <v>-198195.29690555431</v>
      </c>
      <c r="AV274">
        <f t="shared" si="250"/>
        <v>-1.8665064889078091</v>
      </c>
      <c r="AW274">
        <f t="shared" si="251"/>
        <v>9930.2678638657781</v>
      </c>
      <c r="AX274">
        <f t="shared" si="252"/>
        <v>-12875.881942696498</v>
      </c>
      <c r="AY274">
        <f t="shared" si="260"/>
        <v>-0.91384582147303095</v>
      </c>
      <c r="BA274">
        <f t="shared" si="237"/>
        <v>12.741938491748007</v>
      </c>
      <c r="BB274">
        <f t="shared" si="253"/>
        <v>22.104710086245355</v>
      </c>
      <c r="BC274">
        <f t="shared" si="254"/>
        <v>-0.95266066743477817</v>
      </c>
      <c r="BD274">
        <f t="shared" si="238"/>
        <v>-234.58343561449956</v>
      </c>
      <c r="BF274">
        <f t="shared" si="239"/>
        <v>-27.282572238854712</v>
      </c>
      <c r="BG274">
        <f t="shared" si="240"/>
        <v>-219.97460349341742</v>
      </c>
      <c r="BH274">
        <f t="shared" si="255"/>
        <v>-39.974603493417419</v>
      </c>
      <c r="BI274">
        <f t="shared" si="256"/>
        <v>-39.974603493417419</v>
      </c>
      <c r="BJ274">
        <f t="shared" si="241"/>
        <v>0</v>
      </c>
      <c r="BK274">
        <f t="shared" si="257"/>
        <v>0</v>
      </c>
      <c r="BM274">
        <f t="shared" si="258"/>
        <v>-49.38728232510006</v>
      </c>
      <c r="BN274">
        <f t="shared" si="242"/>
        <v>-165.39116787891788</v>
      </c>
      <c r="BQ274" s="56">
        <f t="shared" si="259"/>
        <v>39.006670886530486</v>
      </c>
      <c r="BR274" s="59"/>
      <c r="BS274" s="59"/>
      <c r="BT274" s="59">
        <v>43651.582999999999</v>
      </c>
      <c r="BU274" s="59">
        <v>-0.43071199999999998</v>
      </c>
      <c r="BV274" s="59">
        <v>-139.065</v>
      </c>
      <c r="BY274" s="59"/>
      <c r="BZ274" s="59"/>
      <c r="CA274" s="59"/>
      <c r="CC274" s="59"/>
    </row>
    <row r="275" spans="1:81" x14ac:dyDescent="0.25">
      <c r="A275">
        <f t="shared" si="211"/>
        <v>305000</v>
      </c>
      <c r="B275">
        <f t="shared" si="243"/>
        <v>305</v>
      </c>
      <c r="C275">
        <f t="shared" si="212"/>
        <v>1.0329234938557295</v>
      </c>
      <c r="D275">
        <f t="shared" si="213"/>
        <v>0.25315950671345105</v>
      </c>
      <c r="F275">
        <f t="shared" si="214"/>
        <v>2.1210933698106532E-4</v>
      </c>
      <c r="G275">
        <f t="shared" si="215"/>
        <v>5.696889571241614E-3</v>
      </c>
      <c r="H275">
        <f t="shared" si="216"/>
        <v>-3.1358957604287587</v>
      </c>
      <c r="J275">
        <f t="shared" si="217"/>
        <v>15</v>
      </c>
      <c r="M275">
        <f t="shared" si="218"/>
        <v>8.7530107042314738E-3</v>
      </c>
      <c r="N275">
        <f t="shared" si="219"/>
        <v>-1.5707963250000001</v>
      </c>
      <c r="O275">
        <f t="shared" si="220"/>
        <v>82.218419645102713</v>
      </c>
      <c r="P275">
        <f t="shared" si="221"/>
        <v>1.5586333022406678</v>
      </c>
      <c r="Q275">
        <f t="shared" si="222"/>
        <v>77.876260907936967</v>
      </c>
      <c r="R275">
        <f t="shared" si="223"/>
        <v>1.5579550903030295</v>
      </c>
      <c r="S275">
        <f t="shared" si="224"/>
        <v>0.45053941702107064</v>
      </c>
      <c r="T275">
        <f t="shared" si="225"/>
        <v>-1.1034268646566432</v>
      </c>
      <c r="U275">
        <f t="shared" si="226"/>
        <v>0.95838609010734932</v>
      </c>
      <c r="V275">
        <f t="shared" si="227"/>
        <v>-0.28950224794950136</v>
      </c>
      <c r="X275">
        <f t="shared" si="244"/>
        <v>-21.989516571776136</v>
      </c>
      <c r="Y275">
        <f t="shared" si="228"/>
        <v>-156.4102188041457</v>
      </c>
      <c r="Z275">
        <f t="shared" si="245"/>
        <v>23.5897811958543</v>
      </c>
      <c r="AC275">
        <v>1</v>
      </c>
      <c r="AD275">
        <f t="shared" si="229"/>
        <v>82.212338057850005</v>
      </c>
      <c r="AE275">
        <f t="shared" si="230"/>
        <v>-1.8905925955071924E-3</v>
      </c>
      <c r="AF275">
        <f t="shared" si="231"/>
        <v>6.3470224626480005E-3</v>
      </c>
      <c r="AG275">
        <f t="shared" si="246"/>
        <v>11854.181690261694</v>
      </c>
      <c r="AH275">
        <f t="shared" si="247"/>
        <v>-3688.5686583246093</v>
      </c>
      <c r="AJ275">
        <f t="shared" si="232"/>
        <v>18000</v>
      </c>
      <c r="AK275">
        <f t="shared" si="233"/>
        <v>35667.506665098001</v>
      </c>
      <c r="AL275">
        <v>1</v>
      </c>
      <c r="AM275">
        <f t="shared" si="234"/>
        <v>77.869840201461002</v>
      </c>
      <c r="AN275">
        <f t="shared" si="248"/>
        <v>460.93252876692412</v>
      </c>
      <c r="AO275">
        <f t="shared" si="249"/>
        <v>-225.23569363770196</v>
      </c>
      <c r="AQ275">
        <f t="shared" si="235"/>
        <v>2.6874423879538083E-2</v>
      </c>
      <c r="AR275">
        <f t="shared" si="236"/>
        <v>-16.393398566518229</v>
      </c>
      <c r="AT275">
        <f t="shared" si="209"/>
        <v>-60149.601852393571</v>
      </c>
      <c r="AU275">
        <f t="shared" si="210"/>
        <v>-194429.45328601528</v>
      </c>
      <c r="AV275">
        <f t="shared" si="250"/>
        <v>-1.8708222565048811</v>
      </c>
      <c r="AW275">
        <f t="shared" si="251"/>
        <v>10018.642231690545</v>
      </c>
      <c r="AX275">
        <f t="shared" si="252"/>
        <v>-12781.088247073534</v>
      </c>
      <c r="AY275">
        <f t="shared" si="260"/>
        <v>-0.90597179089658053</v>
      </c>
      <c r="BA275">
        <f t="shared" si="237"/>
        <v>12.532274300017225</v>
      </c>
      <c r="BB275">
        <f t="shared" si="253"/>
        <v>21.960597838588754</v>
      </c>
      <c r="BC275">
        <f t="shared" si="254"/>
        <v>-0.96485046560830057</v>
      </c>
      <c r="BD275">
        <f t="shared" si="238"/>
        <v>-235.28185960375674</v>
      </c>
      <c r="BF275">
        <f t="shared" si="239"/>
        <v>-27.705018140250441</v>
      </c>
      <c r="BG275">
        <f t="shared" si="240"/>
        <v>-220.45048057973062</v>
      </c>
      <c r="BH275">
        <f t="shared" si="255"/>
        <v>-40.450480579730623</v>
      </c>
      <c r="BI275">
        <f t="shared" si="256"/>
        <v>-40.450480579730623</v>
      </c>
      <c r="BJ275">
        <f t="shared" si="241"/>
        <v>0</v>
      </c>
      <c r="BK275">
        <f t="shared" si="257"/>
        <v>0</v>
      </c>
      <c r="BM275">
        <f t="shared" si="258"/>
        <v>-49.665615978839199</v>
      </c>
      <c r="BN275">
        <f t="shared" si="242"/>
        <v>-165.16862097597388</v>
      </c>
      <c r="BQ275" s="56">
        <f t="shared" si="259"/>
        <v>38.862558638873892</v>
      </c>
      <c r="BR275" s="59"/>
      <c r="BS275" s="59"/>
      <c r="BT275" s="59">
        <v>44668.358999999997</v>
      </c>
      <c r="BU275" s="59">
        <v>-0.21105299999999999</v>
      </c>
      <c r="BV275" s="59">
        <v>-136.58699999999999</v>
      </c>
      <c r="BY275" s="59"/>
      <c r="BZ275" s="59"/>
      <c r="CA275" s="59"/>
      <c r="CC275" s="59"/>
    </row>
    <row r="276" spans="1:81" x14ac:dyDescent="0.25">
      <c r="A276">
        <f t="shared" si="211"/>
        <v>310000</v>
      </c>
      <c r="B276">
        <f t="shared" si="243"/>
        <v>310</v>
      </c>
      <c r="C276">
        <f t="shared" si="212"/>
        <v>1.0339939016738213</v>
      </c>
      <c r="D276">
        <f t="shared" si="213"/>
        <v>0.25713049539439775</v>
      </c>
      <c r="F276">
        <f t="shared" si="214"/>
        <v>2.0532095994897049E-4</v>
      </c>
      <c r="G276">
        <f t="shared" si="215"/>
        <v>5.6049672596156517E-3</v>
      </c>
      <c r="H276">
        <f t="shared" si="216"/>
        <v>-3.1359876827403848</v>
      </c>
      <c r="J276">
        <f t="shared" si="217"/>
        <v>15</v>
      </c>
      <c r="M276">
        <f t="shared" si="218"/>
        <v>8.611833112227742E-3</v>
      </c>
      <c r="N276">
        <f t="shared" si="219"/>
        <v>-1.5707963250000001</v>
      </c>
      <c r="O276">
        <f t="shared" si="220"/>
        <v>83.566064808916764</v>
      </c>
      <c r="P276">
        <f t="shared" si="221"/>
        <v>1.5588294611738949</v>
      </c>
      <c r="Q276">
        <f t="shared" si="222"/>
        <v>79.15271211388891</v>
      </c>
      <c r="R276">
        <f t="shared" si="223"/>
        <v>1.55816218480053</v>
      </c>
      <c r="S276">
        <f t="shared" si="224"/>
        <v>0.44471925796189116</v>
      </c>
      <c r="T276">
        <f t="shared" si="225"/>
        <v>-1.1099355339634576</v>
      </c>
      <c r="U276">
        <f t="shared" si="226"/>
        <v>0.9570977918886916</v>
      </c>
      <c r="V276">
        <f t="shared" si="227"/>
        <v>-0.29398140562314612</v>
      </c>
      <c r="X276">
        <f t="shared" si="244"/>
        <v>-22.246477402196192</v>
      </c>
      <c r="Y276">
        <f t="shared" si="228"/>
        <v>-156.79441606551694</v>
      </c>
      <c r="Z276">
        <f t="shared" si="245"/>
        <v>23.205583934483059</v>
      </c>
      <c r="AC276">
        <v>1</v>
      </c>
      <c r="AD276">
        <f t="shared" si="229"/>
        <v>83.560081304700006</v>
      </c>
      <c r="AE276">
        <f t="shared" si="230"/>
        <v>-1.953087325216245E-3</v>
      </c>
      <c r="AF276">
        <f t="shared" si="231"/>
        <v>6.4510720112159999E-3</v>
      </c>
      <c r="AG276">
        <f t="shared" si="246"/>
        <v>11822.333446834491</v>
      </c>
      <c r="AH276">
        <f t="shared" si="247"/>
        <v>-3734.2707642402602</v>
      </c>
      <c r="AJ276">
        <f t="shared" si="232"/>
        <v>18000</v>
      </c>
      <c r="AK276">
        <f t="shared" si="233"/>
        <v>36252.219889116001</v>
      </c>
      <c r="AL276">
        <v>1</v>
      </c>
      <c r="AM276">
        <f t="shared" si="234"/>
        <v>79.146394958862004</v>
      </c>
      <c r="AN276">
        <f t="shared" si="248"/>
        <v>460.83999071776356</v>
      </c>
      <c r="AO276">
        <f t="shared" si="249"/>
        <v>-221.60402907041541</v>
      </c>
      <c r="AQ276">
        <f t="shared" si="235"/>
        <v>2.6014500482568984E-2</v>
      </c>
      <c r="AR276">
        <f t="shared" si="236"/>
        <v>-16.128990299192768</v>
      </c>
      <c r="AT276">
        <f t="shared" si="209"/>
        <v>-59922.464831832556</v>
      </c>
      <c r="AU276">
        <f t="shared" si="210"/>
        <v>-190779.44666641409</v>
      </c>
      <c r="AV276">
        <f t="shared" si="250"/>
        <v>-1.8751316962118685</v>
      </c>
      <c r="AW276">
        <f t="shared" si="251"/>
        <v>10100.697497650506</v>
      </c>
      <c r="AX276">
        <f t="shared" si="252"/>
        <v>-12690.728001573691</v>
      </c>
      <c r="AY276">
        <f t="shared" si="260"/>
        <v>-0.898553294219129</v>
      </c>
      <c r="BA276">
        <f t="shared" si="237"/>
        <v>12.32875734878896</v>
      </c>
      <c r="BB276">
        <f t="shared" si="253"/>
        <v>21.818386100023709</v>
      </c>
      <c r="BC276">
        <f t="shared" si="254"/>
        <v>-0.97657840199273949</v>
      </c>
      <c r="BD276">
        <f t="shared" si="238"/>
        <v>-235.95382086175084</v>
      </c>
      <c r="BF276">
        <f t="shared" si="239"/>
        <v>-28.120763449991287</v>
      </c>
      <c r="BG276">
        <f t="shared" si="240"/>
        <v>-220.90018770605752</v>
      </c>
      <c r="BH276">
        <f t="shared" si="255"/>
        <v>-40.900187706057523</v>
      </c>
      <c r="BI276">
        <f t="shared" si="256"/>
        <v>-40.900187706057523</v>
      </c>
      <c r="BJ276">
        <f t="shared" si="241"/>
        <v>0</v>
      </c>
      <c r="BK276">
        <f t="shared" si="257"/>
        <v>0</v>
      </c>
      <c r="BM276">
        <f t="shared" si="258"/>
        <v>-49.939149550014996</v>
      </c>
      <c r="BN276">
        <f t="shared" si="242"/>
        <v>-164.94636684430674</v>
      </c>
      <c r="BQ276" s="56">
        <f t="shared" si="259"/>
        <v>38.720346900308847</v>
      </c>
      <c r="BR276" s="59"/>
      <c r="BS276" s="59"/>
      <c r="BT276" s="59">
        <v>45708.819000000003</v>
      </c>
      <c r="BU276" s="59">
        <v>0.52166999999999997</v>
      </c>
      <c r="BV276" s="59">
        <v>-135.751</v>
      </c>
      <c r="BY276" s="59"/>
      <c r="BZ276" s="59"/>
      <c r="CA276" s="59"/>
      <c r="CC276" s="59"/>
    </row>
    <row r="277" spans="1:81" x14ac:dyDescent="0.25">
      <c r="A277">
        <f t="shared" si="211"/>
        <v>315000</v>
      </c>
      <c r="B277">
        <f t="shared" si="243"/>
        <v>315</v>
      </c>
      <c r="C277">
        <f t="shared" si="212"/>
        <v>1.0350805804120455</v>
      </c>
      <c r="D277">
        <f t="shared" si="213"/>
        <v>0.26109320857356749</v>
      </c>
      <c r="F277">
        <f t="shared" si="214"/>
        <v>1.9885334766420174E-4</v>
      </c>
      <c r="G277">
        <f t="shared" si="215"/>
        <v>5.5159648369876753E-3</v>
      </c>
      <c r="H277">
        <f t="shared" si="216"/>
        <v>-3.1360766851630126</v>
      </c>
      <c r="J277">
        <f t="shared" si="217"/>
        <v>15</v>
      </c>
      <c r="M277">
        <f t="shared" si="218"/>
        <v>8.4751373485415869E-3</v>
      </c>
      <c r="N277">
        <f t="shared" si="219"/>
        <v>-1.5707963250000001</v>
      </c>
      <c r="O277">
        <f t="shared" si="220"/>
        <v>84.913713086148803</v>
      </c>
      <c r="P277">
        <f t="shared" si="221"/>
        <v>1.5590193937171388</v>
      </c>
      <c r="Q277">
        <f t="shared" si="222"/>
        <v>80.429166606801076</v>
      </c>
      <c r="R277">
        <f t="shared" si="223"/>
        <v>1.5583627059024283</v>
      </c>
      <c r="S277">
        <f t="shared" si="224"/>
        <v>0.43902966056654846</v>
      </c>
      <c r="T277">
        <f t="shared" si="225"/>
        <v>-1.1162779265508489</v>
      </c>
      <c r="U277">
        <f t="shared" si="226"/>
        <v>0.95579385400604533</v>
      </c>
      <c r="V277">
        <f t="shared" si="227"/>
        <v>-0.29844844802124487</v>
      </c>
      <c r="X277">
        <f t="shared" si="244"/>
        <v>-22.50010864692943</v>
      </c>
      <c r="Y277">
        <f t="shared" si="228"/>
        <v>-157.16943244616866</v>
      </c>
      <c r="Z277">
        <f t="shared" si="245"/>
        <v>22.830567553831344</v>
      </c>
      <c r="AC277">
        <v>1</v>
      </c>
      <c r="AD277">
        <f t="shared" si="229"/>
        <v>84.907824551550007</v>
      </c>
      <c r="AE277">
        <f t="shared" si="230"/>
        <v>-2.0165982293921113E-3</v>
      </c>
      <c r="AF277">
        <f t="shared" si="231"/>
        <v>6.5551215597840001E-3</v>
      </c>
      <c r="AG277">
        <f t="shared" si="246"/>
        <v>11790.142196217988</v>
      </c>
      <c r="AH277">
        <f t="shared" si="247"/>
        <v>-3779.6369832676019</v>
      </c>
      <c r="AJ277">
        <f t="shared" si="232"/>
        <v>18000</v>
      </c>
      <c r="AK277">
        <f t="shared" si="233"/>
        <v>36836.933113134</v>
      </c>
      <c r="AL277">
        <v>1</v>
      </c>
      <c r="AM277">
        <f t="shared" si="234"/>
        <v>80.422949716263005</v>
      </c>
      <c r="AN277">
        <f t="shared" si="248"/>
        <v>460.75182326640532</v>
      </c>
      <c r="AO277">
        <f t="shared" si="249"/>
        <v>-218.08760109661625</v>
      </c>
      <c r="AQ277">
        <f t="shared" si="235"/>
        <v>2.5195199810532098E-2</v>
      </c>
      <c r="AR277">
        <f t="shared" si="236"/>
        <v>-15.872975880635222</v>
      </c>
      <c r="AT277">
        <f t="shared" si="209"/>
        <v>-59697.031684535221</v>
      </c>
      <c r="AU277">
        <f t="shared" si="210"/>
        <v>-187239.87141883242</v>
      </c>
      <c r="AV277">
        <f t="shared" si="250"/>
        <v>-1.8794344076396783</v>
      </c>
      <c r="AW277">
        <f t="shared" si="251"/>
        <v>10176.814734742829</v>
      </c>
      <c r="AX277">
        <f t="shared" si="252"/>
        <v>-12604.559518257614</v>
      </c>
      <c r="AY277">
        <f t="shared" si="260"/>
        <v>-0.89156456980950471</v>
      </c>
      <c r="BA277">
        <f t="shared" si="237"/>
        <v>12.131182988462385</v>
      </c>
      <c r="BB277">
        <f t="shared" si="253"/>
        <v>21.67806307472684</v>
      </c>
      <c r="BC277">
        <f t="shared" si="254"/>
        <v>-0.98786983783017357</v>
      </c>
      <c r="BD277">
        <f t="shared" si="238"/>
        <v>-236.60077248061782</v>
      </c>
      <c r="BF277">
        <f t="shared" si="239"/>
        <v>-28.529970397369713</v>
      </c>
      <c r="BG277">
        <f t="shared" si="240"/>
        <v>-221.32519204726663</v>
      </c>
      <c r="BH277">
        <f t="shared" si="255"/>
        <v>-41.325192047266626</v>
      </c>
      <c r="BI277">
        <f t="shared" si="256"/>
        <v>-41.325192047266626</v>
      </c>
      <c r="BJ277">
        <f t="shared" si="241"/>
        <v>0</v>
      </c>
      <c r="BK277">
        <f t="shared" si="257"/>
        <v>0</v>
      </c>
      <c r="BM277">
        <f t="shared" si="258"/>
        <v>-50.20803347209656</v>
      </c>
      <c r="BN277">
        <f t="shared" si="242"/>
        <v>-164.72441956664883</v>
      </c>
      <c r="BQ277" s="56">
        <f t="shared" si="259"/>
        <v>38.580023875011975</v>
      </c>
      <c r="BR277" s="59"/>
      <c r="BS277" s="59"/>
      <c r="BT277" s="59">
        <v>46773.514000000003</v>
      </c>
      <c r="BU277" s="59">
        <v>0.78233600000000003</v>
      </c>
      <c r="BV277" s="59">
        <v>-137.57599999999999</v>
      </c>
      <c r="BY277" s="59"/>
      <c r="BZ277" s="59"/>
      <c r="CA277" s="59"/>
      <c r="CC277" s="59"/>
    </row>
    <row r="278" spans="1:81" x14ac:dyDescent="0.25">
      <c r="A278">
        <f t="shared" si="211"/>
        <v>320000</v>
      </c>
      <c r="B278">
        <f t="shared" si="243"/>
        <v>320</v>
      </c>
      <c r="C278">
        <f t="shared" si="212"/>
        <v>1.0361834788789008</v>
      </c>
      <c r="D278">
        <f t="shared" si="213"/>
        <v>0.26504754803138619</v>
      </c>
      <c r="F278">
        <f t="shared" si="214"/>
        <v>1.9268660364868141E-4</v>
      </c>
      <c r="G278">
        <f t="shared" si="215"/>
        <v>5.4297453285173086E-3</v>
      </c>
      <c r="H278">
        <f t="shared" si="216"/>
        <v>-3.1361629046714827</v>
      </c>
      <c r="J278">
        <f t="shared" si="217"/>
        <v>15</v>
      </c>
      <c r="M278">
        <f t="shared" si="218"/>
        <v>8.3427133274706234E-3</v>
      </c>
      <c r="N278">
        <f t="shared" si="219"/>
        <v>-1.5707963250000001</v>
      </c>
      <c r="O278">
        <f t="shared" si="220"/>
        <v>86.26136433087747</v>
      </c>
      <c r="P278">
        <f t="shared" si="221"/>
        <v>1.5592033916788601</v>
      </c>
      <c r="Q278">
        <f t="shared" si="222"/>
        <v>81.705624232620863</v>
      </c>
      <c r="R278">
        <f t="shared" si="223"/>
        <v>1.5585569616736048</v>
      </c>
      <c r="S278">
        <f t="shared" si="224"/>
        <v>0.4334670249649959</v>
      </c>
      <c r="T278">
        <f t="shared" si="225"/>
        <v>-1.1224598426155834</v>
      </c>
      <c r="U278">
        <f t="shared" si="226"/>
        <v>0.95447449608357149</v>
      </c>
      <c r="V278">
        <f t="shared" si="227"/>
        <v>-0.30290324668489071</v>
      </c>
      <c r="X278">
        <f t="shared" si="244"/>
        <v>-22.750491328514141</v>
      </c>
      <c r="Y278">
        <f t="shared" si="228"/>
        <v>-157.53557201817969</v>
      </c>
      <c r="Z278">
        <f t="shared" si="245"/>
        <v>22.464427981820307</v>
      </c>
      <c r="AC278">
        <v>1</v>
      </c>
      <c r="AD278">
        <f t="shared" si="229"/>
        <v>86.255567798400008</v>
      </c>
      <c r="AE278">
        <f t="shared" si="230"/>
        <v>-2.0811253080347918E-3</v>
      </c>
      <c r="AF278">
        <f t="shared" si="231"/>
        <v>6.6591711083519994E-3</v>
      </c>
      <c r="AG278">
        <f t="shared" si="246"/>
        <v>11757.614928415629</v>
      </c>
      <c r="AH278">
        <f t="shared" si="247"/>
        <v>-3824.6606935373502</v>
      </c>
      <c r="AJ278">
        <f t="shared" si="232"/>
        <v>18000</v>
      </c>
      <c r="AK278">
        <f t="shared" si="233"/>
        <v>37421.646337152</v>
      </c>
      <c r="AL278">
        <v>1</v>
      </c>
      <c r="AM278">
        <f t="shared" si="234"/>
        <v>81.699504473664007</v>
      </c>
      <c r="AN278">
        <f t="shared" si="248"/>
        <v>460.66775546480238</v>
      </c>
      <c r="AO278">
        <f t="shared" si="249"/>
        <v>-214.68101131738243</v>
      </c>
      <c r="AQ278">
        <f t="shared" si="235"/>
        <v>2.4414002895500744E-2</v>
      </c>
      <c r="AR278">
        <f t="shared" si="236"/>
        <v>-15.624961853120476</v>
      </c>
      <c r="AT278">
        <f t="shared" ref="AT278:AT341" si="261">-AR278*AH278+AG278*AQ278</f>
        <v>-59473.126992743884</v>
      </c>
      <c r="AU278">
        <f t="shared" ref="AU278:AU341" si="262">AQ278*AH278+AG278*AR278</f>
        <v>-183805.66001742036</v>
      </c>
      <c r="AV278">
        <f t="shared" si="250"/>
        <v>-1.8837300098673877</v>
      </c>
      <c r="AW278">
        <f t="shared" si="251"/>
        <v>10247.346108994347</v>
      </c>
      <c r="AX278">
        <f t="shared" si="252"/>
        <v>-12522.356564249409</v>
      </c>
      <c r="AY278">
        <f t="shared" si="260"/>
        <v>-0.88498159630763285</v>
      </c>
      <c r="BA278">
        <f t="shared" si="237"/>
        <v>11.939348345630727</v>
      </c>
      <c r="BB278">
        <f t="shared" si="253"/>
        <v>21.539612469501947</v>
      </c>
      <c r="BC278">
        <f t="shared" si="254"/>
        <v>-0.99874841355975486</v>
      </c>
      <c r="BD278">
        <f t="shared" si="238"/>
        <v>-237.2240689577485</v>
      </c>
      <c r="BF278">
        <f t="shared" si="239"/>
        <v>-28.932798642904011</v>
      </c>
      <c r="BG278">
        <f t="shared" si="240"/>
        <v>-221.72686157639603</v>
      </c>
      <c r="BH278">
        <f t="shared" si="255"/>
        <v>-41.726861576396033</v>
      </c>
      <c r="BI278">
        <f t="shared" si="256"/>
        <v>-41.726861576396033</v>
      </c>
      <c r="BJ278">
        <f t="shared" si="241"/>
        <v>0</v>
      </c>
      <c r="BK278">
        <f t="shared" si="257"/>
        <v>0</v>
      </c>
      <c r="BM278">
        <f t="shared" si="258"/>
        <v>-50.472411112405958</v>
      </c>
      <c r="BN278">
        <f t="shared" si="242"/>
        <v>-164.50279261864756</v>
      </c>
      <c r="BQ278" s="56">
        <f t="shared" si="259"/>
        <v>38.441573269787085</v>
      </c>
      <c r="BR278" s="59"/>
      <c r="BS278" s="59"/>
      <c r="BT278" s="59">
        <v>47863.008999999998</v>
      </c>
      <c r="BU278" s="59">
        <v>0.81724300000000005</v>
      </c>
      <c r="BV278" s="59">
        <v>-138.25</v>
      </c>
      <c r="BY278" s="59"/>
      <c r="BZ278" s="59"/>
      <c r="CA278" s="59"/>
      <c r="CC278" s="59"/>
    </row>
    <row r="279" spans="1:81" x14ac:dyDescent="0.25">
      <c r="A279">
        <f t="shared" si="211"/>
        <v>325000</v>
      </c>
      <c r="B279">
        <f t="shared" si="243"/>
        <v>325</v>
      </c>
      <c r="C279">
        <f t="shared" si="212"/>
        <v>1.0373025453381408</v>
      </c>
      <c r="D279">
        <f t="shared" si="213"/>
        <v>0.26899341701039342</v>
      </c>
      <c r="F279">
        <f t="shared" si="214"/>
        <v>1.8680235060560883E-4</v>
      </c>
      <c r="G279">
        <f t="shared" si="215"/>
        <v>5.3461801964821819E-3</v>
      </c>
      <c r="H279">
        <f t="shared" si="216"/>
        <v>-3.1362464698035182</v>
      </c>
      <c r="J279">
        <f t="shared" si="217"/>
        <v>15</v>
      </c>
      <c r="M279">
        <f t="shared" si="218"/>
        <v>8.2143638916633843E-3</v>
      </c>
      <c r="N279">
        <f t="shared" si="219"/>
        <v>-1.5707963250000001</v>
      </c>
      <c r="O279">
        <f t="shared" si="220"/>
        <v>87.609018406159663</v>
      </c>
      <c r="P279">
        <f t="shared" si="221"/>
        <v>1.5593817289141008</v>
      </c>
      <c r="Q279">
        <f t="shared" si="222"/>
        <v>82.982084846774043</v>
      </c>
      <c r="R279">
        <f t="shared" si="223"/>
        <v>1.558745241225838</v>
      </c>
      <c r="S279">
        <f t="shared" si="224"/>
        <v>0.42802783782940745</v>
      </c>
      <c r="T279">
        <f t="shared" si="225"/>
        <v>-1.1284868416327132</v>
      </c>
      <c r="U279">
        <f t="shared" si="226"/>
        <v>0.95313993865429836</v>
      </c>
      <c r="V279">
        <f t="shared" si="227"/>
        <v>-0.3073456758021163</v>
      </c>
      <c r="X279">
        <f t="shared" si="244"/>
        <v>-22.997703663513185</v>
      </c>
      <c r="Y279">
        <f t="shared" si="228"/>
        <v>-157.89312676035283</v>
      </c>
      <c r="Z279">
        <f t="shared" si="245"/>
        <v>22.106873239647172</v>
      </c>
      <c r="AC279">
        <v>1</v>
      </c>
      <c r="AD279">
        <f t="shared" si="229"/>
        <v>87.603311045249995</v>
      </c>
      <c r="AE279">
        <f t="shared" si="230"/>
        <v>-2.1466685611442856E-3</v>
      </c>
      <c r="AF279">
        <f t="shared" si="231"/>
        <v>6.7632206569199996E-3</v>
      </c>
      <c r="AG279">
        <f t="shared" si="246"/>
        <v>11724.758644462394</v>
      </c>
      <c r="AH279">
        <f t="shared" si="247"/>
        <v>-3869.3356459242996</v>
      </c>
      <c r="AJ279">
        <f t="shared" si="232"/>
        <v>18000</v>
      </c>
      <c r="AK279">
        <f t="shared" si="233"/>
        <v>38006.35956117</v>
      </c>
      <c r="AL279">
        <v>1</v>
      </c>
      <c r="AM279">
        <f t="shared" si="234"/>
        <v>82.976059231065008</v>
      </c>
      <c r="AN279">
        <f t="shared" si="248"/>
        <v>460.58753703930597</v>
      </c>
      <c r="AO279">
        <f t="shared" si="249"/>
        <v>-211.37919329379525</v>
      </c>
      <c r="AQ279">
        <f t="shared" si="235"/>
        <v>2.3668583032939568E-2</v>
      </c>
      <c r="AR279">
        <f t="shared" si="236"/>
        <v>-15.384578971410718</v>
      </c>
      <c r="AT279">
        <f t="shared" si="261"/>
        <v>-59250.591388099252</v>
      </c>
      <c r="AU279">
        <f t="shared" si="262"/>
        <v>-180472.05697848008</v>
      </c>
      <c r="AV279">
        <f t="shared" si="250"/>
        <v>-1.8880181401531217</v>
      </c>
      <c r="AW279">
        <f t="shared" si="251"/>
        <v>10312.617523847055</v>
      </c>
      <c r="AX279">
        <f t="shared" si="252"/>
        <v>-12443.907148114766</v>
      </c>
      <c r="AY279">
        <f t="shared" si="260"/>
        <v>-0.87878196090243521</v>
      </c>
      <c r="BA279">
        <f t="shared" si="237"/>
        <v>11.753053572848792</v>
      </c>
      <c r="BB279">
        <f t="shared" si="253"/>
        <v>21.403014315217614</v>
      </c>
      <c r="BC279">
        <f t="shared" si="254"/>
        <v>-1.0092361792506865</v>
      </c>
      <c r="BD279">
        <f t="shared" si="238"/>
        <v>-237.82497366904764</v>
      </c>
      <c r="BF279">
        <f t="shared" si="239"/>
        <v>-29.329404895803211</v>
      </c>
      <c r="BG279">
        <f t="shared" si="240"/>
        <v>-222.10647257781366</v>
      </c>
      <c r="BH279">
        <f t="shared" si="255"/>
        <v>-42.106472577813662</v>
      </c>
      <c r="BI279">
        <f t="shared" si="256"/>
        <v>-42.106472577813662</v>
      </c>
      <c r="BJ279">
        <f t="shared" si="241"/>
        <v>0</v>
      </c>
      <c r="BK279">
        <f t="shared" si="257"/>
        <v>0</v>
      </c>
      <c r="BM279">
        <f t="shared" si="258"/>
        <v>-50.732419211020826</v>
      </c>
      <c r="BN279">
        <f t="shared" si="242"/>
        <v>-164.28149890876603</v>
      </c>
      <c r="BQ279" s="56">
        <f t="shared" si="259"/>
        <v>38.304975115502756</v>
      </c>
      <c r="BR279" s="59"/>
      <c r="BS279" s="59"/>
      <c r="BT279" s="59">
        <v>48977.881999999998</v>
      </c>
      <c r="BU279" s="59">
        <v>0.86195100000000002</v>
      </c>
      <c r="BV279" s="59">
        <v>-138.07900000000001</v>
      </c>
      <c r="BY279" s="59"/>
      <c r="BZ279" s="59"/>
      <c r="CA279" s="59"/>
      <c r="CC279" s="59"/>
    </row>
    <row r="280" spans="1:81" x14ac:dyDescent="0.25">
      <c r="A280">
        <f>A279+5000</f>
        <v>330000</v>
      </c>
      <c r="B280">
        <f t="shared" si="243"/>
        <v>330</v>
      </c>
      <c r="C280">
        <f t="shared" si="212"/>
        <v>1.0384377275197343</v>
      </c>
      <c r="D280">
        <f t="shared" si="213"/>
        <v>0.27293072022222775</v>
      </c>
      <c r="F280">
        <f t="shared" si="214"/>
        <v>1.81183593312798E-4</v>
      </c>
      <c r="G280">
        <f t="shared" si="215"/>
        <v>5.2651487004004138E-3</v>
      </c>
      <c r="H280">
        <f t="shared" si="216"/>
        <v>-3.1363275012995997</v>
      </c>
      <c r="J280">
        <f t="shared" si="217"/>
        <v>15</v>
      </c>
      <c r="M280">
        <f t="shared" si="218"/>
        <v>8.0899038326987874E-3</v>
      </c>
      <c r="N280">
        <f t="shared" si="219"/>
        <v>-1.5707963250000001</v>
      </c>
      <c r="O280">
        <f t="shared" si="220"/>
        <v>88.956675183350484</v>
      </c>
      <c r="P280">
        <f t="shared" si="221"/>
        <v>1.559554662684234</v>
      </c>
      <c r="Q280">
        <f t="shared" si="222"/>
        <v>84.258548313446838</v>
      </c>
      <c r="R280">
        <f t="shared" si="223"/>
        <v>1.5589278161532247</v>
      </c>
      <c r="S280">
        <f t="shared" si="224"/>
        <v>0.42270867365617609</v>
      </c>
      <c r="T280">
        <f t="shared" si="225"/>
        <v>-1.1343642529646016</v>
      </c>
      <c r="U280">
        <f t="shared" si="226"/>
        <v>0.95179040307262042</v>
      </c>
      <c r="V280">
        <f t="shared" si="227"/>
        <v>-0.31177561221146521</v>
      </c>
      <c r="X280">
        <f t="shared" si="244"/>
        <v>-23.241821191341408</v>
      </c>
      <c r="Y280">
        <f t="shared" si="228"/>
        <v>-158.24237704238215</v>
      </c>
      <c r="Z280">
        <f t="shared" si="245"/>
        <v>21.757622957617855</v>
      </c>
      <c r="AC280">
        <v>1</v>
      </c>
      <c r="AD280">
        <f t="shared" si="229"/>
        <v>88.951054292100011</v>
      </c>
      <c r="AE280">
        <f t="shared" si="230"/>
        <v>-2.213227988720594E-3</v>
      </c>
      <c r="AF280">
        <f t="shared" si="231"/>
        <v>6.867270205487999E-3</v>
      </c>
      <c r="AG280">
        <f t="shared" si="246"/>
        <v>11691.580353248853</v>
      </c>
      <c r="AH280">
        <f t="shared" si="247"/>
        <v>-3913.6559456635382</v>
      </c>
      <c r="AJ280">
        <f t="shared" si="232"/>
        <v>18000</v>
      </c>
      <c r="AK280">
        <f t="shared" si="233"/>
        <v>38591.072785188</v>
      </c>
      <c r="AL280">
        <v>1</v>
      </c>
      <c r="AM280">
        <f t="shared" si="234"/>
        <v>84.252613988465995</v>
      </c>
      <c r="AN280">
        <f t="shared" si="248"/>
        <v>460.5109365261963</v>
      </c>
      <c r="AO280">
        <f t="shared" si="249"/>
        <v>-208.17738742058401</v>
      </c>
      <c r="AQ280">
        <f t="shared" si="235"/>
        <v>2.29567884371248E-2</v>
      </c>
      <c r="AR280">
        <f t="shared" si="236"/>
        <v>-15.151480368502368</v>
      </c>
      <c r="AT280">
        <f t="shared" si="261"/>
        <v>-59029.280093128495</v>
      </c>
      <c r="AU280">
        <f t="shared" si="262"/>
        <v>-177234.59517057828</v>
      </c>
      <c r="AV280">
        <f t="shared" si="250"/>
        <v>-1.8922984527613078</v>
      </c>
      <c r="AW280">
        <f t="shared" si="251"/>
        <v>10372.930986028838</v>
      </c>
      <c r="AX280">
        <f t="shared" si="252"/>
        <v>-12369.012420151612</v>
      </c>
      <c r="AY280">
        <f t="shared" si="260"/>
        <v>-0.8729447375999132</v>
      </c>
      <c r="BA280">
        <f t="shared" si="237"/>
        <v>11.572102805679799</v>
      </c>
      <c r="BB280">
        <f t="shared" si="253"/>
        <v>21.268245664643551</v>
      </c>
      <c r="BC280">
        <f t="shared" si="254"/>
        <v>-1.0193537151613947</v>
      </c>
      <c r="BD280">
        <f t="shared" si="238"/>
        <v>-238.40466577646566</v>
      </c>
      <c r="BF280">
        <f t="shared" si="239"/>
        <v>-29.719942621471041</v>
      </c>
      <c r="BG280">
        <f t="shared" si="240"/>
        <v>-222.46521659101091</v>
      </c>
      <c r="BH280">
        <f t="shared" si="255"/>
        <v>-42.465216591010915</v>
      </c>
      <c r="BI280">
        <f t="shared" si="256"/>
        <v>-42.465216591010915</v>
      </c>
      <c r="BJ280">
        <f t="shared" si="241"/>
        <v>0</v>
      </c>
      <c r="BK280">
        <f t="shared" si="257"/>
        <v>0</v>
      </c>
      <c r="BM280">
        <f t="shared" si="258"/>
        <v>-50.988188286114593</v>
      </c>
      <c r="BN280">
        <f t="shared" si="242"/>
        <v>-164.06055081454528</v>
      </c>
      <c r="BQ280" s="56">
        <f t="shared" si="259"/>
        <v>38.17020646492869</v>
      </c>
      <c r="BR280" s="59"/>
      <c r="BS280" s="59"/>
      <c r="BT280" s="59">
        <v>50118.722999999998</v>
      </c>
      <c r="BU280" s="59">
        <v>0.950021</v>
      </c>
      <c r="BV280" s="59">
        <v>-137.59100000000001</v>
      </c>
      <c r="BY280" s="59"/>
      <c r="BZ280" s="59"/>
      <c r="CA280" s="59"/>
      <c r="CC280" s="59"/>
    </row>
    <row r="281" spans="1:81" x14ac:dyDescent="0.25">
      <c r="A281">
        <f t="shared" si="211"/>
        <v>335000</v>
      </c>
      <c r="B281">
        <f t="shared" si="243"/>
        <v>335</v>
      </c>
      <c r="C281">
        <f t="shared" si="212"/>
        <v>1.0395889726308536</v>
      </c>
      <c r="D281">
        <f t="shared" si="213"/>
        <v>0.27685936385404886</v>
      </c>
      <c r="F281">
        <f t="shared" si="214"/>
        <v>1.7581459573885015E-4</v>
      </c>
      <c r="G281">
        <f t="shared" si="215"/>
        <v>5.1865373145272911E-3</v>
      </c>
      <c r="H281">
        <f t="shared" si="216"/>
        <v>-3.136406112685473</v>
      </c>
      <c r="J281">
        <f t="shared" si="217"/>
        <v>15</v>
      </c>
      <c r="M281">
        <f t="shared" si="218"/>
        <v>7.9691589993749236E-3</v>
      </c>
      <c r="N281">
        <f t="shared" si="219"/>
        <v>-1.5707963250000001</v>
      </c>
      <c r="O281">
        <f t="shared" si="220"/>
        <v>90.304334541484138</v>
      </c>
      <c r="P281">
        <f t="shared" si="221"/>
        <v>1.5597224348949827</v>
      </c>
      <c r="Q281">
        <f t="shared" si="222"/>
        <v>85.535014504932377</v>
      </c>
      <c r="R281">
        <f t="shared" si="223"/>
        <v>1.5591049418390979</v>
      </c>
      <c r="S281">
        <f t="shared" si="224"/>
        <v>0.41750619547449536</v>
      </c>
      <c r="T281">
        <f t="shared" si="225"/>
        <v>-1.1400971860626554</v>
      </c>
      <c r="U281">
        <f t="shared" si="226"/>
        <v>0.95042611142768041</v>
      </c>
      <c r="V281">
        <f t="shared" si="227"/>
        <v>-0.31619293540437116</v>
      </c>
      <c r="X281">
        <f t="shared" si="244"/>
        <v>-23.482916895000855</v>
      </c>
      <c r="Y281">
        <f t="shared" si="228"/>
        <v>-158.58359209669865</v>
      </c>
      <c r="Z281">
        <f t="shared" si="245"/>
        <v>21.416407903301348</v>
      </c>
      <c r="AC281">
        <v>1</v>
      </c>
      <c r="AD281">
        <f t="shared" si="229"/>
        <v>90.298797538949998</v>
      </c>
      <c r="AE281">
        <f t="shared" si="230"/>
        <v>-2.2808035907637158E-3</v>
      </c>
      <c r="AF281">
        <f t="shared" si="231"/>
        <v>6.9713197540560001E-3</v>
      </c>
      <c r="AG281">
        <f t="shared" si="246"/>
        <v>11658.087068392691</v>
      </c>
      <c r="AH281">
        <f t="shared" si="247"/>
        <v>-3957.61603546789</v>
      </c>
      <c r="AJ281">
        <f t="shared" si="232"/>
        <v>18000</v>
      </c>
      <c r="AK281">
        <f t="shared" si="233"/>
        <v>39175.786009206007</v>
      </c>
      <c r="AL281">
        <v>1</v>
      </c>
      <c r="AM281">
        <f t="shared" si="234"/>
        <v>85.529168745866997</v>
      </c>
      <c r="AN281">
        <f t="shared" si="248"/>
        <v>460.43773960046383</v>
      </c>
      <c r="AO281">
        <f t="shared" si="249"/>
        <v>-205.0711180476321</v>
      </c>
      <c r="AQ281">
        <f t="shared" si="235"/>
        <v>2.2276626694972834E-2</v>
      </c>
      <c r="AR281">
        <f t="shared" si="236"/>
        <v>-14.925339885631798</v>
      </c>
      <c r="AT281">
        <f t="shared" si="261"/>
        <v>-58809.061612584817</v>
      </c>
      <c r="AU281">
        <f t="shared" si="262"/>
        <v>-174089.07424707388</v>
      </c>
      <c r="AV281">
        <f t="shared" si="250"/>
        <v>-1.8965706178940396</v>
      </c>
      <c r="AW281">
        <f t="shared" si="251"/>
        <v>10428.566725904708</v>
      </c>
      <c r="AX281">
        <f t="shared" si="252"/>
        <v>-12297.48567424867</v>
      </c>
      <c r="AY281">
        <f t="shared" si="260"/>
        <v>-0.86745037490464105</v>
      </c>
      <c r="BA281">
        <f t="shared" si="237"/>
        <v>11.396304881091035</v>
      </c>
      <c r="BB281">
        <f t="shared" si="253"/>
        <v>21.135281184820748</v>
      </c>
      <c r="BC281">
        <f t="shared" si="254"/>
        <v>-1.0291202429893986</v>
      </c>
      <c r="BD281">
        <f t="shared" si="238"/>
        <v>-238.96424660214677</v>
      </c>
      <c r="BF281">
        <f t="shared" si="239"/>
        <v>-30.104561823946256</v>
      </c>
      <c r="BG281">
        <f t="shared" si="240"/>
        <v>-222.80420681775789</v>
      </c>
      <c r="BH281">
        <f t="shared" si="255"/>
        <v>-42.804206817757887</v>
      </c>
      <c r="BI281">
        <f t="shared" si="256"/>
        <v>-42.804206817757887</v>
      </c>
      <c r="BJ281">
        <f t="shared" si="241"/>
        <v>0</v>
      </c>
      <c r="BK281">
        <f t="shared" si="257"/>
        <v>0</v>
      </c>
      <c r="BM281">
        <f t="shared" si="258"/>
        <v>-51.239843008767004</v>
      </c>
      <c r="BN281">
        <f t="shared" si="242"/>
        <v>-163.83996021561114</v>
      </c>
      <c r="BQ281" s="56">
        <f t="shared" si="259"/>
        <v>38.037241985105879</v>
      </c>
      <c r="BR281" s="59"/>
      <c r="BS281" s="59"/>
      <c r="BT281" s="59">
        <v>51286.137999999999</v>
      </c>
      <c r="BU281" s="59">
        <v>1.0492999999999999</v>
      </c>
      <c r="BV281" s="59">
        <v>-137.08699999999999</v>
      </c>
      <c r="BY281" s="59"/>
      <c r="BZ281" s="59"/>
      <c r="CA281" s="59"/>
      <c r="CC281" s="59"/>
    </row>
    <row r="282" spans="1:81" x14ac:dyDescent="0.25">
      <c r="A282">
        <f t="shared" si="211"/>
        <v>340000</v>
      </c>
      <c r="B282">
        <f t="shared" si="243"/>
        <v>340</v>
      </c>
      <c r="C282">
        <f t="shared" si="212"/>
        <v>1.0407562273668878</v>
      </c>
      <c r="D282">
        <f t="shared" si="213"/>
        <v>0.28077925557439876</v>
      </c>
      <c r="F282">
        <f t="shared" si="214"/>
        <v>1.706807707205384E-4</v>
      </c>
      <c r="G282">
        <f t="shared" si="215"/>
        <v>5.1102391968117127E-3</v>
      </c>
      <c r="H282">
        <f t="shared" si="216"/>
        <v>-3.1364824108031883</v>
      </c>
      <c r="J282">
        <f t="shared" si="217"/>
        <v>15</v>
      </c>
      <c r="M282">
        <f t="shared" si="218"/>
        <v>7.851965484678234E-3</v>
      </c>
      <c r="N282">
        <f t="shared" si="219"/>
        <v>-1.5707963250000001</v>
      </c>
      <c r="O282">
        <f t="shared" si="220"/>
        <v>91.651996366709355</v>
      </c>
      <c r="P282">
        <f t="shared" si="221"/>
        <v>1.5598852732252315</v>
      </c>
      <c r="Q282">
        <f t="shared" si="222"/>
        <v>86.811483301034627</v>
      </c>
      <c r="R282">
        <f t="shared" si="223"/>
        <v>1.5592768586476657</v>
      </c>
      <c r="S282">
        <f t="shared" si="224"/>
        <v>0.41241715506374566</v>
      </c>
      <c r="T282">
        <f t="shared" si="225"/>
        <v>-1.1456905402634219</v>
      </c>
      <c r="U282">
        <f t="shared" si="226"/>
        <v>0.94904728645768877</v>
      </c>
      <c r="V282">
        <f t="shared" si="227"/>
        <v>-0.32059752752636211</v>
      </c>
      <c r="X282">
        <f t="shared" si="244"/>
        <v>-23.721061314442334</v>
      </c>
      <c r="Y282">
        <f t="shared" si="228"/>
        <v>-158.91703047695307</v>
      </c>
      <c r="Z282">
        <f t="shared" si="245"/>
        <v>21.082969523046927</v>
      </c>
      <c r="AC282">
        <v>1</v>
      </c>
      <c r="AD282">
        <f t="shared" si="229"/>
        <v>91.646540785800013</v>
      </c>
      <c r="AE282">
        <f t="shared" si="230"/>
        <v>-2.3493953672736522E-3</v>
      </c>
      <c r="AF282">
        <f t="shared" si="231"/>
        <v>7.0753693026240003E-3</v>
      </c>
      <c r="AG282">
        <f t="shared" si="246"/>
        <v>11624.285805159605</v>
      </c>
      <c r="AH282">
        <f t="shared" si="247"/>
        <v>-4001.2106799863682</v>
      </c>
      <c r="AJ282">
        <f t="shared" si="232"/>
        <v>18000</v>
      </c>
      <c r="AK282">
        <f t="shared" si="233"/>
        <v>39760.499233224</v>
      </c>
      <c r="AL282">
        <v>1</v>
      </c>
      <c r="AM282">
        <f t="shared" si="234"/>
        <v>86.805723503267998</v>
      </c>
      <c r="AN282">
        <f t="shared" si="248"/>
        <v>460.36774757528201</v>
      </c>
      <c r="AO282">
        <f t="shared" si="249"/>
        <v>-202.0561726182076</v>
      </c>
      <c r="AQ282">
        <f t="shared" si="235"/>
        <v>2.1626250808281122E-2</v>
      </c>
      <c r="AR282">
        <f t="shared" si="236"/>
        <v>-14.705850549631164</v>
      </c>
      <c r="AT282">
        <f t="shared" si="261"/>
        <v>-58589.816557178092</v>
      </c>
      <c r="AU282">
        <f t="shared" si="262"/>
        <v>-171031.54098257827</v>
      </c>
      <c r="AV282">
        <f t="shared" si="250"/>
        <v>-1.900834320715741</v>
      </c>
      <c r="AW282">
        <f t="shared" si="251"/>
        <v>10479.785100972118</v>
      </c>
      <c r="AX282">
        <f t="shared" si="252"/>
        <v>-12229.151440476446</v>
      </c>
      <c r="AY282">
        <f t="shared" si="260"/>
        <v>-0.86228059231351906</v>
      </c>
      <c r="BA282">
        <f t="shared" si="237"/>
        <v>11.225473861879161</v>
      </c>
      <c r="BB282">
        <f t="shared" si="253"/>
        <v>21.004093659441487</v>
      </c>
      <c r="BC282">
        <f t="shared" si="254"/>
        <v>-1.0385537284022219</v>
      </c>
      <c r="BD282">
        <f t="shared" si="238"/>
        <v>-239.50474550301738</v>
      </c>
      <c r="BF282">
        <f t="shared" si="239"/>
        <v>-30.483408890520884</v>
      </c>
      <c r="BG282">
        <f t="shared" si="240"/>
        <v>-223.1244840267824</v>
      </c>
      <c r="BH282">
        <f t="shared" si="255"/>
        <v>-43.124484026782397</v>
      </c>
      <c r="BI282">
        <f t="shared" si="256"/>
        <v>-43.124484026782397</v>
      </c>
      <c r="BJ282">
        <f t="shared" si="241"/>
        <v>0</v>
      </c>
      <c r="BK282">
        <f t="shared" si="257"/>
        <v>0</v>
      </c>
      <c r="BM282">
        <f t="shared" si="258"/>
        <v>-51.487502549962372</v>
      </c>
      <c r="BN282">
        <f t="shared" si="242"/>
        <v>-163.61973852376502</v>
      </c>
      <c r="BQ282" s="56">
        <f t="shared" si="259"/>
        <v>37.906054459726619</v>
      </c>
      <c r="BR282" s="59"/>
      <c r="BS282" s="59"/>
      <c r="BT282" s="59">
        <v>52480.745999999999</v>
      </c>
      <c r="BU282" s="59">
        <v>1.1752400000000001</v>
      </c>
      <c r="BV282" s="59">
        <v>-136.553</v>
      </c>
      <c r="BY282" s="59"/>
      <c r="BZ282" s="59"/>
      <c r="CA282" s="59"/>
      <c r="CC282" s="59"/>
    </row>
    <row r="283" spans="1:81" x14ac:dyDescent="0.25">
      <c r="A283">
        <f t="shared" si="211"/>
        <v>345000</v>
      </c>
      <c r="B283">
        <f t="shared" si="243"/>
        <v>345</v>
      </c>
      <c r="C283">
        <f t="shared" si="212"/>
        <v>1.0419394379224736</v>
      </c>
      <c r="D283">
        <f t="shared" si="213"/>
        <v>0.28469030453850824</v>
      </c>
      <c r="F283">
        <f t="shared" si="214"/>
        <v>1.6576858075503681E-4</v>
      </c>
      <c r="G283">
        <f t="shared" si="215"/>
        <v>5.0361537040847565E-3</v>
      </c>
      <c r="H283">
        <f t="shared" si="216"/>
        <v>-3.1365564962959156</v>
      </c>
      <c r="J283">
        <f t="shared" si="217"/>
        <v>15</v>
      </c>
      <c r="M283">
        <f t="shared" si="218"/>
        <v>7.738168883451013E-3</v>
      </c>
      <c r="N283">
        <f t="shared" si="219"/>
        <v>-1.5707963250000001</v>
      </c>
      <c r="O283">
        <f t="shared" si="220"/>
        <v>92.999660551773957</v>
      </c>
      <c r="P283">
        <f t="shared" si="221"/>
        <v>1.5600433921577093</v>
      </c>
      <c r="Q283">
        <f t="shared" si="222"/>
        <v>88.087954588524312</v>
      </c>
      <c r="R283">
        <f t="shared" si="223"/>
        <v>1.5594437930120639</v>
      </c>
      <c r="S283">
        <f t="shared" si="224"/>
        <v>0.40743839275201549</v>
      </c>
      <c r="T283">
        <f t="shared" si="225"/>
        <v>-1.1511490141834735</v>
      </c>
      <c r="U283">
        <f t="shared" si="226"/>
        <v>0.94765415146522847</v>
      </c>
      <c r="V283">
        <f t="shared" si="227"/>
        <v>-0.3249892733771097</v>
      </c>
      <c r="X283">
        <f t="shared" si="244"/>
        <v>-23.956322653186454</v>
      </c>
      <c r="Y283">
        <f t="shared" si="228"/>
        <v>-159.2429405023847</v>
      </c>
      <c r="Z283">
        <f t="shared" si="245"/>
        <v>20.757059497615302</v>
      </c>
      <c r="AC283">
        <v>1</v>
      </c>
      <c r="AD283">
        <f t="shared" si="229"/>
        <v>92.99428403265</v>
      </c>
      <c r="AE283">
        <f t="shared" si="230"/>
        <v>-2.4190033182504007E-3</v>
      </c>
      <c r="AF283">
        <f t="shared" si="231"/>
        <v>7.1794188511919996E-3</v>
      </c>
      <c r="AG283">
        <f t="shared" si="246"/>
        <v>11590.183577435324</v>
      </c>
      <c r="AH283">
        <f t="shared" si="247"/>
        <v>-4044.4349514621763</v>
      </c>
      <c r="AJ283">
        <f t="shared" si="232"/>
        <v>18000</v>
      </c>
      <c r="AK283">
        <f t="shared" si="233"/>
        <v>40345.212457242007</v>
      </c>
      <c r="AL283">
        <v>1</v>
      </c>
      <c r="AM283">
        <f t="shared" si="234"/>
        <v>88.082278260669</v>
      </c>
      <c r="AN283">
        <f t="shared" si="248"/>
        <v>460.3007760525382</v>
      </c>
      <c r="AO283">
        <f t="shared" si="249"/>
        <v>-199.12858261954594</v>
      </c>
      <c r="AQ283">
        <f t="shared" si="235"/>
        <v>2.1003946641573953E-2</v>
      </c>
      <c r="AR283">
        <f t="shared" si="236"/>
        <v>-14.492723182686026</v>
      </c>
      <c r="AT283">
        <f t="shared" si="261"/>
        <v>-58371.436584495015</v>
      </c>
      <c r="AU283">
        <f t="shared" si="262"/>
        <v>-168058.27132019962</v>
      </c>
      <c r="AV283">
        <f t="shared" si="250"/>
        <v>-1.905089260461559</v>
      </c>
      <c r="AW283">
        <f t="shared" si="251"/>
        <v>10526.828307454774</v>
      </c>
      <c r="AX283">
        <f t="shared" si="252"/>
        <v>-12163.844658879369</v>
      </c>
      <c r="AY283">
        <f t="shared" si="260"/>
        <v>-0.85741828501671058</v>
      </c>
      <c r="BA283">
        <f t="shared" si="237"/>
        <v>11.05942940399788</v>
      </c>
      <c r="BB283">
        <f t="shared" si="253"/>
        <v>20.874654414441167</v>
      </c>
      <c r="BC283">
        <f t="shared" si="254"/>
        <v>-1.0476709754448486</v>
      </c>
      <c r="BD283">
        <f t="shared" si="238"/>
        <v>-240.02712527993492</v>
      </c>
      <c r="BF283">
        <f t="shared" si="239"/>
        <v>-30.856626487773703</v>
      </c>
      <c r="BG283">
        <f t="shared" si="240"/>
        <v>-223.42702199039269</v>
      </c>
      <c r="BH283">
        <f t="shared" si="255"/>
        <v>-43.427021990392689</v>
      </c>
      <c r="BI283">
        <f t="shared" si="256"/>
        <v>-43.427021990392689</v>
      </c>
      <c r="BJ283">
        <f t="shared" si="241"/>
        <v>0</v>
      </c>
      <c r="BK283">
        <f t="shared" si="257"/>
        <v>0</v>
      </c>
      <c r="BM283">
        <f t="shared" si="258"/>
        <v>-51.731280902214877</v>
      </c>
      <c r="BN283">
        <f t="shared" si="242"/>
        <v>-163.39989671045777</v>
      </c>
      <c r="BQ283" s="56">
        <f t="shared" si="259"/>
        <v>37.776615214726306</v>
      </c>
      <c r="BR283" s="59"/>
      <c r="BS283" s="59"/>
      <c r="BT283" s="59">
        <v>53703.18</v>
      </c>
      <c r="BU283" s="59">
        <v>1.3152900000000001</v>
      </c>
      <c r="BV283" s="59">
        <v>-136.001</v>
      </c>
      <c r="BY283" s="59"/>
      <c r="BZ283" s="59"/>
      <c r="CA283" s="59"/>
      <c r="CC283" s="59"/>
    </row>
    <row r="284" spans="1:81" x14ac:dyDescent="0.25">
      <c r="A284">
        <f t="shared" si="211"/>
        <v>350000</v>
      </c>
      <c r="B284">
        <f t="shared" si="243"/>
        <v>350</v>
      </c>
      <c r="C284">
        <f t="shared" si="212"/>
        <v>1.043138550002541</v>
      </c>
      <c r="D284">
        <f t="shared" si="213"/>
        <v>0.28859242139305175</v>
      </c>
      <c r="F284">
        <f t="shared" si="214"/>
        <v>1.6106544864533212E-4</v>
      </c>
      <c r="G284">
        <f t="shared" si="215"/>
        <v>4.9641859488510779E-3</v>
      </c>
      <c r="H284">
        <f t="shared" si="216"/>
        <v>-3.136628464051149</v>
      </c>
      <c r="J284">
        <f t="shared" si="217"/>
        <v>15</v>
      </c>
      <c r="M284">
        <f t="shared" si="218"/>
        <v>7.6276236136874273E-3</v>
      </c>
      <c r="N284">
        <f t="shared" si="219"/>
        <v>-1.5707963250000001</v>
      </c>
      <c r="O284">
        <f t="shared" si="220"/>
        <v>94.34732699555363</v>
      </c>
      <c r="P284">
        <f t="shared" si="221"/>
        <v>1.5601969939213525</v>
      </c>
      <c r="Q284">
        <f t="shared" si="222"/>
        <v>89.364428260641361</v>
      </c>
      <c r="R284">
        <f t="shared" si="223"/>
        <v>1.5596059584291722</v>
      </c>
      <c r="S284">
        <f t="shared" si="224"/>
        <v>0.40256683685930561</v>
      </c>
      <c r="T284">
        <f t="shared" si="225"/>
        <v>-1.1564771147197039</v>
      </c>
      <c r="U284">
        <f t="shared" si="226"/>
        <v>0.94624693023359163</v>
      </c>
      <c r="V284">
        <f t="shared" si="227"/>
        <v>-0.3293680604093423</v>
      </c>
      <c r="X284">
        <f t="shared" si="244"/>
        <v>-24.18876687876482</v>
      </c>
      <c r="Y284">
        <f t="shared" si="228"/>
        <v>-159.56156068756755</v>
      </c>
      <c r="Z284">
        <f t="shared" si="245"/>
        <v>20.43843931243245</v>
      </c>
      <c r="AC284">
        <v>1</v>
      </c>
      <c r="AD284">
        <f t="shared" si="229"/>
        <v>94.342027279500016</v>
      </c>
      <c r="AE284">
        <f t="shared" si="230"/>
        <v>-2.4896274436939643E-3</v>
      </c>
      <c r="AF284">
        <f t="shared" si="231"/>
        <v>7.2834683997600007E-3</v>
      </c>
      <c r="AG284">
        <f t="shared" si="246"/>
        <v>11555.787394750541</v>
      </c>
      <c r="AH284">
        <f t="shared" si="247"/>
        <v>-4087.2842164654239</v>
      </c>
      <c r="AJ284">
        <f t="shared" si="232"/>
        <v>18000</v>
      </c>
      <c r="AK284">
        <f t="shared" si="233"/>
        <v>40929.92568126</v>
      </c>
      <c r="AL284">
        <v>1</v>
      </c>
      <c r="AM284">
        <f t="shared" si="234"/>
        <v>89.358833018070001</v>
      </c>
      <c r="AN284">
        <f t="shared" si="248"/>
        <v>460.23665370728673</v>
      </c>
      <c r="AO284">
        <f t="shared" si="249"/>
        <v>-196.28460616474086</v>
      </c>
      <c r="AQ284">
        <f t="shared" si="235"/>
        <v>2.0408121616078335E-2</v>
      </c>
      <c r="AR284">
        <f t="shared" si="236"/>
        <v>-14.285685131254834</v>
      </c>
      <c r="AT284">
        <f t="shared" si="261"/>
        <v>-58153.823443851055</v>
      </c>
      <c r="AU284">
        <f t="shared" si="262"/>
        <v>-165165.75395849894</v>
      </c>
      <c r="AV284">
        <f t="shared" si="250"/>
        <v>-1.9093351496210276</v>
      </c>
      <c r="AW284">
        <f t="shared" si="251"/>
        <v>10569.92192176607</v>
      </c>
      <c r="AX284">
        <f t="shared" si="252"/>
        <v>-12101.409926067874</v>
      </c>
      <c r="AY284">
        <f t="shared" si="260"/>
        <v>-0.85284743621115655</v>
      </c>
      <c r="BA284">
        <f t="shared" si="237"/>
        <v>10.897996997178335</v>
      </c>
      <c r="BB284">
        <f t="shared" si="253"/>
        <v>20.746933678062007</v>
      </c>
      <c r="BC284">
        <f t="shared" si="254"/>
        <v>-1.0564877134098709</v>
      </c>
      <c r="BD284">
        <f t="shared" si="238"/>
        <v>-240.53228715498068</v>
      </c>
      <c r="BF284">
        <f t="shared" si="239"/>
        <v>-31.224353499952343</v>
      </c>
      <c r="BG284">
        <f t="shared" si="240"/>
        <v>-223.71273248689138</v>
      </c>
      <c r="BH284">
        <f t="shared" si="255"/>
        <v>-43.712732486891383</v>
      </c>
      <c r="BI284">
        <f t="shared" si="256"/>
        <v>-43.712732486891383</v>
      </c>
      <c r="BJ284">
        <f t="shared" si="241"/>
        <v>0</v>
      </c>
      <c r="BK284">
        <f t="shared" si="257"/>
        <v>0</v>
      </c>
      <c r="BM284">
        <f t="shared" si="258"/>
        <v>-51.97128717801435</v>
      </c>
      <c r="BN284">
        <f t="shared" si="242"/>
        <v>-163.18044533191068</v>
      </c>
      <c r="BQ284" s="56">
        <f t="shared" si="259"/>
        <v>37.648894478347138</v>
      </c>
      <c r="BR284" s="59"/>
      <c r="BS284" s="59"/>
      <c r="BT284" s="59">
        <v>54954.087</v>
      </c>
      <c r="BU284" s="59">
        <v>1.4637500000000001</v>
      </c>
      <c r="BV284" s="59">
        <v>-135.524</v>
      </c>
      <c r="BY284" s="59"/>
      <c r="BZ284" s="59"/>
      <c r="CA284" s="59"/>
      <c r="CC284" s="59"/>
    </row>
    <row r="285" spans="1:81" x14ac:dyDescent="0.25">
      <c r="A285">
        <f t="shared" si="211"/>
        <v>355000</v>
      </c>
      <c r="B285">
        <f t="shared" si="243"/>
        <v>355</v>
      </c>
      <c r="C285">
        <f t="shared" si="212"/>
        <v>1.0443535088333673</v>
      </c>
      <c r="D285">
        <f t="shared" si="213"/>
        <v>0.29248551828035652</v>
      </c>
      <c r="F285">
        <f t="shared" si="214"/>
        <v>1.5655967689602441E-4</v>
      </c>
      <c r="G285">
        <f t="shared" si="215"/>
        <v>4.8942463935761947E-3</v>
      </c>
      <c r="H285">
        <f t="shared" si="216"/>
        <v>-3.1366984036064238</v>
      </c>
      <c r="J285">
        <f t="shared" si="217"/>
        <v>15</v>
      </c>
      <c r="M285">
        <f t="shared" si="218"/>
        <v>7.5201922951847883E-3</v>
      </c>
      <c r="N285">
        <f t="shared" si="219"/>
        <v>-1.5707963250000001</v>
      </c>
      <c r="O285">
        <f t="shared" si="220"/>
        <v>95.69499560262031</v>
      </c>
      <c r="P285">
        <f t="shared" si="221"/>
        <v>1.5603462693540533</v>
      </c>
      <c r="Q285">
        <f t="shared" si="222"/>
        <v>90.640904216639399</v>
      </c>
      <c r="R285">
        <f t="shared" si="223"/>
        <v>1.5597635563703889</v>
      </c>
      <c r="S285">
        <f t="shared" si="224"/>
        <v>0.39779950284115462</v>
      </c>
      <c r="T285">
        <f t="shared" si="225"/>
        <v>-1.1616791656634144</v>
      </c>
      <c r="U285">
        <f t="shared" si="226"/>
        <v>0.94482584694419247</v>
      </c>
      <c r="V285">
        <f t="shared" si="227"/>
        <v>-0.33373377872664323</v>
      </c>
      <c r="X285">
        <f t="shared" si="244"/>
        <v>-24.41845781747913</v>
      </c>
      <c r="Y285">
        <f t="shared" si="228"/>
        <v>-159.87312015722432</v>
      </c>
      <c r="Z285">
        <f t="shared" si="245"/>
        <v>20.126879842775679</v>
      </c>
      <c r="AC285">
        <v>1</v>
      </c>
      <c r="AD285">
        <f t="shared" si="229"/>
        <v>95.689770526350003</v>
      </c>
      <c r="AE285">
        <f t="shared" si="230"/>
        <v>-2.5612677436043416E-3</v>
      </c>
      <c r="AF285">
        <f t="shared" si="231"/>
        <v>7.387517948328E-3</v>
      </c>
      <c r="AG285">
        <f t="shared" si="246"/>
        <v>11521.104259360265</v>
      </c>
      <c r="AH285">
        <f t="shared" si="247"/>
        <v>-4129.7541235899116</v>
      </c>
      <c r="AJ285">
        <f t="shared" si="232"/>
        <v>18000</v>
      </c>
      <c r="AK285">
        <f t="shared" si="233"/>
        <v>41514.638905278007</v>
      </c>
      <c r="AL285">
        <v>1</v>
      </c>
      <c r="AM285">
        <f t="shared" si="234"/>
        <v>90.635387775471003</v>
      </c>
      <c r="AN285">
        <f t="shared" si="248"/>
        <v>460.1752211911529</v>
      </c>
      <c r="AO285">
        <f t="shared" si="249"/>
        <v>-193.52071204527596</v>
      </c>
      <c r="AQ285">
        <f t="shared" si="235"/>
        <v>1.9837294510425488E-2</v>
      </c>
      <c r="AR285">
        <f t="shared" si="236"/>
        <v>-14.084479102402097</v>
      </c>
      <c r="AT285">
        <f t="shared" si="261"/>
        <v>-57936.888113482753</v>
      </c>
      <c r="AU285">
        <f t="shared" si="262"/>
        <v>-162350.67532636074</v>
      </c>
      <c r="AV285">
        <f t="shared" si="250"/>
        <v>-1.9135717131894869</v>
      </c>
      <c r="AW285">
        <f t="shared" si="251"/>
        <v>10609.276290874852</v>
      </c>
      <c r="AX285">
        <f t="shared" si="252"/>
        <v>-12041.700807190167</v>
      </c>
      <c r="AY285">
        <f t="shared" si="260"/>
        <v>-0.84855303645231794</v>
      </c>
      <c r="BA285">
        <f t="shared" si="237"/>
        <v>10.741008103857718</v>
      </c>
      <c r="BB285">
        <f t="shared" si="253"/>
        <v>20.620900884991968</v>
      </c>
      <c r="BC285">
        <f t="shared" si="254"/>
        <v>-1.065018676737169</v>
      </c>
      <c r="BD285">
        <f t="shared" si="238"/>
        <v>-241.02107534937429</v>
      </c>
      <c r="BF285">
        <f t="shared" si="239"/>
        <v>-31.586725002075909</v>
      </c>
      <c r="BG285">
        <f t="shared" si="240"/>
        <v>-223.98246990149482</v>
      </c>
      <c r="BH285">
        <f t="shared" si="255"/>
        <v>-43.982469901494824</v>
      </c>
      <c r="BI285">
        <f t="shared" si="256"/>
        <v>-43.982469901494824</v>
      </c>
      <c r="BJ285">
        <f t="shared" si="241"/>
        <v>0</v>
      </c>
      <c r="BK285">
        <f t="shared" si="257"/>
        <v>0</v>
      </c>
      <c r="BM285">
        <f t="shared" si="258"/>
        <v>-52.207625887067877</v>
      </c>
      <c r="BN285">
        <f t="shared" si="242"/>
        <v>-162.96139455212059</v>
      </c>
      <c r="BQ285" s="56">
        <f t="shared" si="259"/>
        <v>37.522861685277107</v>
      </c>
      <c r="BR285" s="59"/>
      <c r="BS285" s="59"/>
      <c r="BT285" s="59">
        <v>56234.133000000002</v>
      </c>
      <c r="BU285" s="59">
        <v>1.62296</v>
      </c>
      <c r="BV285" s="59">
        <v>-134.983</v>
      </c>
      <c r="BY285" s="59"/>
      <c r="BZ285" s="59"/>
      <c r="CA285" s="59"/>
      <c r="CC285" s="59"/>
    </row>
    <row r="286" spans="1:81" x14ac:dyDescent="0.25">
      <c r="A286">
        <f t="shared" si="211"/>
        <v>360000</v>
      </c>
      <c r="B286">
        <f t="shared" si="243"/>
        <v>360</v>
      </c>
      <c r="C286">
        <f t="shared" si="212"/>
        <v>1.0455842591736397</v>
      </c>
      <c r="D286">
        <f t="shared" si="213"/>
        <v>0.29636950884207153</v>
      </c>
      <c r="F286">
        <f t="shared" si="214"/>
        <v>1.5224037489366512E-4</v>
      </c>
      <c r="G286">
        <f t="shared" si="215"/>
        <v>4.8262504788196955E-3</v>
      </c>
      <c r="H286">
        <f t="shared" si="216"/>
        <v>-3.1367663995211803</v>
      </c>
      <c r="J286">
        <f t="shared" si="217"/>
        <v>15</v>
      </c>
      <c r="M286">
        <f t="shared" si="218"/>
        <v>7.4157451799738887E-3</v>
      </c>
      <c r="N286">
        <f t="shared" si="219"/>
        <v>-1.5707963250000001</v>
      </c>
      <c r="O286">
        <f t="shared" si="220"/>
        <v>97.042666282846852</v>
      </c>
      <c r="P286">
        <f t="shared" si="221"/>
        <v>1.5604913986935285</v>
      </c>
      <c r="Q286">
        <f t="shared" si="222"/>
        <v>91.917382361368226</v>
      </c>
      <c r="R286">
        <f t="shared" si="223"/>
        <v>1.5599167771165297</v>
      </c>
      <c r="S286">
        <f t="shared" si="224"/>
        <v>0.393133492181511</v>
      </c>
      <c r="T286">
        <f t="shared" si="225"/>
        <v>-1.1667593159379317</v>
      </c>
      <c r="U286">
        <f t="shared" si="226"/>
        <v>0.94339112609510267</v>
      </c>
      <c r="V286">
        <f t="shared" si="227"/>
        <v>-0.33808632108015391</v>
      </c>
      <c r="X286">
        <f t="shared" si="244"/>
        <v>-24.645457243921452</v>
      </c>
      <c r="Y286">
        <f t="shared" si="228"/>
        <v>-160.17783904596433</v>
      </c>
      <c r="Z286">
        <f t="shared" si="245"/>
        <v>19.822160954035667</v>
      </c>
      <c r="AC286">
        <v>1</v>
      </c>
      <c r="AD286">
        <f t="shared" si="229"/>
        <v>97.037513773200004</v>
      </c>
      <c r="AE286">
        <f t="shared" si="230"/>
        <v>-2.6339242179815332E-3</v>
      </c>
      <c r="AF286">
        <f t="shared" si="231"/>
        <v>7.4915674968960002E-3</v>
      </c>
      <c r="AG286">
        <f t="shared" si="246"/>
        <v>11486.141163379152</v>
      </c>
      <c r="AH286">
        <f t="shared" si="247"/>
        <v>-4171.8405920160658</v>
      </c>
      <c r="AJ286">
        <f t="shared" si="232"/>
        <v>18000</v>
      </c>
      <c r="AK286">
        <f t="shared" si="233"/>
        <v>42099.352129295999</v>
      </c>
      <c r="AL286">
        <v>1</v>
      </c>
      <c r="AM286">
        <f t="shared" si="234"/>
        <v>91.911942532872004</v>
      </c>
      <c r="AN286">
        <f t="shared" si="248"/>
        <v>460.11633014156365</v>
      </c>
      <c r="AO286">
        <f t="shared" si="249"/>
        <v>-190.83356511136031</v>
      </c>
      <c r="AQ286">
        <f t="shared" si="235"/>
        <v>1.9290086245975606E-2</v>
      </c>
      <c r="AR286">
        <f t="shared" si="236"/>
        <v>-13.888862097102436</v>
      </c>
      <c r="AT286">
        <f t="shared" si="261"/>
        <v>-57720.550019930284</v>
      </c>
      <c r="AU286">
        <f t="shared" si="262"/>
        <v>-159609.90581084925</v>
      </c>
      <c r="AV286">
        <f t="shared" si="250"/>
        <v>-1.9177986879805899</v>
      </c>
      <c r="AW286">
        <f t="shared" si="251"/>
        <v>10645.087788245031</v>
      </c>
      <c r="AX286">
        <f t="shared" si="252"/>
        <v>-11984.579206717415</v>
      </c>
      <c r="AY286">
        <f t="shared" si="260"/>
        <v>-0.84452100949645859</v>
      </c>
      <c r="BA286">
        <f t="shared" si="237"/>
        <v>10.588300216980702</v>
      </c>
      <c r="BB286">
        <f t="shared" si="253"/>
        <v>20.496524932770694</v>
      </c>
      <c r="BC286">
        <f t="shared" si="254"/>
        <v>-1.0732776784841314</v>
      </c>
      <c r="BD286">
        <f t="shared" si="238"/>
        <v>-241.49428129300711</v>
      </c>
      <c r="BF286">
        <f t="shared" si="239"/>
        <v>-31.943872261348019</v>
      </c>
      <c r="BG286">
        <f t="shared" si="240"/>
        <v>-224.23703545696262</v>
      </c>
      <c r="BH286">
        <f t="shared" si="255"/>
        <v>-44.237035456962616</v>
      </c>
      <c r="BI286">
        <f t="shared" si="256"/>
        <v>-44.237035456962616</v>
      </c>
      <c r="BJ286">
        <f t="shared" si="241"/>
        <v>0</v>
      </c>
      <c r="BK286">
        <f t="shared" si="257"/>
        <v>0</v>
      </c>
      <c r="BM286">
        <f t="shared" si="258"/>
        <v>-52.440397194118717</v>
      </c>
      <c r="BN286">
        <f t="shared" si="242"/>
        <v>-162.74275416395551</v>
      </c>
      <c r="BQ286" s="56">
        <f t="shared" si="259"/>
        <v>37.398485733055828</v>
      </c>
      <c r="BR286" s="59"/>
      <c r="BS286" s="59"/>
      <c r="BT286" s="59">
        <v>57543.993999999999</v>
      </c>
      <c r="BU286" s="59">
        <v>1.78169</v>
      </c>
      <c r="BV286" s="59">
        <v>-134.52199999999999</v>
      </c>
      <c r="BY286" s="59"/>
      <c r="BZ286" s="59"/>
      <c r="CA286" s="59"/>
      <c r="CC286" s="59"/>
    </row>
    <row r="287" spans="1:81" x14ac:dyDescent="0.25">
      <c r="A287">
        <f t="shared" si="211"/>
        <v>365000</v>
      </c>
      <c r="B287">
        <f t="shared" si="243"/>
        <v>365</v>
      </c>
      <c r="C287">
        <f t="shared" si="212"/>
        <v>1.0468307453255141</v>
      </c>
      <c r="D287">
        <f t="shared" si="213"/>
        <v>0.30024430822230097</v>
      </c>
      <c r="F287">
        <f t="shared" si="214"/>
        <v>1.4809739302408992E-4</v>
      </c>
      <c r="G287">
        <f t="shared" si="215"/>
        <v>4.7601182819649555E-3</v>
      </c>
      <c r="H287">
        <f t="shared" si="216"/>
        <v>-3.1368325317180354</v>
      </c>
      <c r="J287">
        <f t="shared" si="217"/>
        <v>15</v>
      </c>
      <c r="M287">
        <f t="shared" si="218"/>
        <v>7.3141596295632876E-3</v>
      </c>
      <c r="N287">
        <f t="shared" si="219"/>
        <v>-1.5707963250000001</v>
      </c>
      <c r="O287">
        <f t="shared" si="220"/>
        <v>98.390338951043859</v>
      </c>
      <c r="P287">
        <f t="shared" si="221"/>
        <v>1.5606325523032052</v>
      </c>
      <c r="Q287">
        <f t="shared" si="222"/>
        <v>93.193862604890555</v>
      </c>
      <c r="R287">
        <f t="shared" si="223"/>
        <v>1.5600658005241212</v>
      </c>
      <c r="S287">
        <f t="shared" si="224"/>
        <v>0.38856599107754475</v>
      </c>
      <c r="T287">
        <f t="shared" si="225"/>
        <v>-1.1717215474705254</v>
      </c>
      <c r="U287">
        <f t="shared" si="226"/>
        <v>0.94194299242074342</v>
      </c>
      <c r="V287">
        <f t="shared" si="227"/>
        <v>-0.34242558286420449</v>
      </c>
      <c r="X287">
        <f t="shared" si="244"/>
        <v>-24.869824965652416</v>
      </c>
      <c r="Y287">
        <f t="shared" si="228"/>
        <v>-160.47592888293929</v>
      </c>
      <c r="Z287">
        <f t="shared" si="245"/>
        <v>19.524071117060714</v>
      </c>
      <c r="AC287">
        <v>1</v>
      </c>
      <c r="AD287">
        <f t="shared" si="229"/>
        <v>98.385257020050005</v>
      </c>
      <c r="AE287">
        <f t="shared" si="230"/>
        <v>-2.707596866825538E-3</v>
      </c>
      <c r="AF287">
        <f t="shared" si="231"/>
        <v>7.5956170454639996E-3</v>
      </c>
      <c r="AG287">
        <f t="shared" si="246"/>
        <v>11450.905085974149</v>
      </c>
      <c r="AH287">
        <f t="shared" si="247"/>
        <v>-4213.5398008530246</v>
      </c>
      <c r="AJ287">
        <f t="shared" si="232"/>
        <v>18000</v>
      </c>
      <c r="AK287">
        <f t="shared" si="233"/>
        <v>42684.065353314007</v>
      </c>
      <c r="AL287">
        <v>1</v>
      </c>
      <c r="AM287">
        <f t="shared" si="234"/>
        <v>93.188497290273006</v>
      </c>
      <c r="AN287">
        <f t="shared" si="248"/>
        <v>460.05984228529758</v>
      </c>
      <c r="AO287">
        <f t="shared" si="249"/>
        <v>-188.22001285286868</v>
      </c>
      <c r="AQ287">
        <f t="shared" si="235"/>
        <v>1.8765211549612405E-2</v>
      </c>
      <c r="AR287">
        <f t="shared" si="236"/>
        <v>-13.698604431217055</v>
      </c>
      <c r="AT287">
        <f t="shared" si="261"/>
        <v>-57504.736330701831</v>
      </c>
      <c r="AU287">
        <f t="shared" si="262"/>
        <v>-156940.48711790709</v>
      </c>
      <c r="AV287">
        <f t="shared" si="250"/>
        <v>-1.9220158219939534</v>
      </c>
      <c r="AW287">
        <f t="shared" si="251"/>
        <v>10677.539949980623</v>
      </c>
      <c r="AX287">
        <f t="shared" si="252"/>
        <v>-11929.914792220727</v>
      </c>
      <c r="AY287">
        <f t="shared" si="260"/>
        <v>-0.84073814411627856</v>
      </c>
      <c r="BA287">
        <f t="shared" si="237"/>
        <v>10.439716853555348</v>
      </c>
      <c r="BB287">
        <f t="shared" si="253"/>
        <v>20.373774397451207</v>
      </c>
      <c r="BC287">
        <f t="shared" si="254"/>
        <v>-1.0812776778776749</v>
      </c>
      <c r="BD287">
        <f t="shared" si="238"/>
        <v>-241.95264749488814</v>
      </c>
      <c r="BF287">
        <f t="shared" si="239"/>
        <v>-32.295922761500783</v>
      </c>
      <c r="BG287">
        <f t="shared" si="240"/>
        <v>-224.47718110341697</v>
      </c>
      <c r="BH287">
        <f t="shared" si="255"/>
        <v>-44.477181103416967</v>
      </c>
      <c r="BI287">
        <f t="shared" si="256"/>
        <v>-44.477181103416967</v>
      </c>
      <c r="BJ287">
        <f t="shared" si="241"/>
        <v>0</v>
      </c>
      <c r="BK287">
        <f t="shared" si="257"/>
        <v>0</v>
      </c>
      <c r="BM287">
        <f t="shared" si="258"/>
        <v>-52.66969715895199</v>
      </c>
      <c r="BN287">
        <f t="shared" si="242"/>
        <v>-162.52453360852886</v>
      </c>
      <c r="BQ287" s="56">
        <f t="shared" si="259"/>
        <v>37.275735197736338</v>
      </c>
      <c r="BR287" s="59"/>
      <c r="BS287" s="59"/>
      <c r="BT287" s="59">
        <v>58884.366000000002</v>
      </c>
      <c r="BU287" s="59">
        <v>1.9421999999999999</v>
      </c>
      <c r="BV287" s="59">
        <v>-134.059</v>
      </c>
      <c r="BY287" s="59"/>
      <c r="BZ287" s="59"/>
      <c r="CA287" s="59"/>
      <c r="CC287" s="59"/>
    </row>
    <row r="288" spans="1:81" x14ac:dyDescent="0.25">
      <c r="A288">
        <f t="shared" si="211"/>
        <v>370000</v>
      </c>
      <c r="B288">
        <f t="shared" si="243"/>
        <v>370</v>
      </c>
      <c r="C288">
        <f t="shared" si="212"/>
        <v>1.0480929111456738</v>
      </c>
      <c r="D288">
        <f t="shared" si="213"/>
        <v>0.30410983307020878</v>
      </c>
      <c r="F288">
        <f t="shared" si="214"/>
        <v>1.4412126298162065E-4</v>
      </c>
      <c r="G288">
        <f t="shared" si="215"/>
        <v>4.6957742036476766E-3</v>
      </c>
      <c r="H288">
        <f t="shared" si="216"/>
        <v>-3.1368968757963525</v>
      </c>
      <c r="J288">
        <f t="shared" si="217"/>
        <v>15</v>
      </c>
      <c r="M288">
        <f t="shared" si="218"/>
        <v>7.2153196345691893E-3</v>
      </c>
      <c r="N288">
        <f t="shared" si="219"/>
        <v>-1.5707963250000001</v>
      </c>
      <c r="O288">
        <f t="shared" si="220"/>
        <v>99.738013526626233</v>
      </c>
      <c r="P288">
        <f t="shared" si="221"/>
        <v>1.5607698913392629</v>
      </c>
      <c r="Q288">
        <f t="shared" si="222"/>
        <v>94.47034486212992</v>
      </c>
      <c r="R288">
        <f t="shared" si="223"/>
        <v>1.5602107967295831</v>
      </c>
      <c r="S288">
        <f t="shared" si="224"/>
        <v>0.38409426895366972</v>
      </c>
      <c r="T288">
        <f t="shared" si="225"/>
        <v>-1.1765696827101548</v>
      </c>
      <c r="U288">
        <f t="shared" si="226"/>
        <v>0.94048167081278056</v>
      </c>
      <c r="V288">
        <f t="shared" si="227"/>
        <v>-0.34675146211089281</v>
      </c>
      <c r="X288">
        <f t="shared" si="244"/>
        <v>-25.091618903392714</v>
      </c>
      <c r="Y288">
        <f t="shared" si="228"/>
        <v>-160.76759296151977</v>
      </c>
      <c r="Z288">
        <f t="shared" si="245"/>
        <v>19.232407038480233</v>
      </c>
      <c r="AC288">
        <v>1</v>
      </c>
      <c r="AD288">
        <f t="shared" si="229"/>
        <v>99.733000266900007</v>
      </c>
      <c r="AE288">
        <f t="shared" si="230"/>
        <v>-2.7822856901363571E-3</v>
      </c>
      <c r="AF288">
        <f t="shared" si="231"/>
        <v>7.6996665940319998E-3</v>
      </c>
      <c r="AG288">
        <f t="shared" si="246"/>
        <v>11415.402990615807</v>
      </c>
      <c r="AH288">
        <f t="shared" si="247"/>
        <v>-4254.8481791825989</v>
      </c>
      <c r="AJ288">
        <f t="shared" si="232"/>
        <v>18000</v>
      </c>
      <c r="AK288">
        <f t="shared" si="233"/>
        <v>43268.778577331999</v>
      </c>
      <c r="AL288">
        <v>1</v>
      </c>
      <c r="AM288">
        <f t="shared" si="234"/>
        <v>94.465052047673993</v>
      </c>
      <c r="AN288">
        <f t="shared" si="248"/>
        <v>460.00562862622581</v>
      </c>
      <c r="AO288">
        <f t="shared" si="249"/>
        <v>-185.67707306742184</v>
      </c>
      <c r="AQ288">
        <f t="shared" si="235"/>
        <v>1.8261471399796569E-2</v>
      </c>
      <c r="AR288">
        <f t="shared" si="236"/>
        <v>-13.51348883584946</v>
      </c>
      <c r="AT288">
        <f t="shared" si="261"/>
        <v>-57289.38131238817</v>
      </c>
      <c r="AU288">
        <f t="shared" si="262"/>
        <v>-154339.62065874386</v>
      </c>
      <c r="AV288">
        <f t="shared" si="250"/>
        <v>-1.926222873832661</v>
      </c>
      <c r="AW288">
        <f t="shared" si="251"/>
        <v>10706.804504041398</v>
      </c>
      <c r="AX288">
        <f t="shared" si="252"/>
        <v>-11877.584465969085</v>
      </c>
      <c r="AY288">
        <f t="shared" si="260"/>
        <v>-0.8371920314052107</v>
      </c>
      <c r="BA288">
        <f t="shared" si="237"/>
        <v>10.295107497800293</v>
      </c>
      <c r="BB288">
        <f t="shared" si="253"/>
        <v>20.25261771448216</v>
      </c>
      <c r="BC288">
        <f t="shared" si="254"/>
        <v>-1.0890308424274502</v>
      </c>
      <c r="BD288">
        <f t="shared" si="238"/>
        <v>-242.39687110196832</v>
      </c>
      <c r="BF288">
        <f t="shared" si="239"/>
        <v>-32.64300024556109</v>
      </c>
      <c r="BG288">
        <f t="shared" si="240"/>
        <v>-224.70361309498443</v>
      </c>
      <c r="BH288">
        <f t="shared" si="255"/>
        <v>-44.703613094984433</v>
      </c>
      <c r="BI288">
        <f t="shared" si="256"/>
        <v>-44.703613094984433</v>
      </c>
      <c r="BJ288">
        <f t="shared" si="241"/>
        <v>0</v>
      </c>
      <c r="BK288">
        <f t="shared" si="257"/>
        <v>0</v>
      </c>
      <c r="BM288">
        <f t="shared" si="258"/>
        <v>-52.895617960043253</v>
      </c>
      <c r="BN288">
        <f t="shared" si="242"/>
        <v>-162.30674199301612</v>
      </c>
      <c r="BQ288" s="56">
        <f t="shared" si="259"/>
        <v>37.154578514767294</v>
      </c>
      <c r="BR288" s="59"/>
      <c r="BS288" s="59"/>
      <c r="BT288" s="59">
        <v>60255.959000000003</v>
      </c>
      <c r="BU288" s="59">
        <v>2.1075200000000001</v>
      </c>
      <c r="BV288" s="59">
        <v>-133.65100000000001</v>
      </c>
      <c r="BY288" s="59"/>
      <c r="BZ288" s="59"/>
      <c r="CA288" s="59"/>
      <c r="CC288" s="59"/>
    </row>
    <row r="289" spans="1:81" x14ac:dyDescent="0.25">
      <c r="A289">
        <f t="shared" si="211"/>
        <v>375000</v>
      </c>
      <c r="B289">
        <f t="shared" si="243"/>
        <v>375</v>
      </c>
      <c r="C289">
        <f t="shared" si="212"/>
        <v>1.049370700056379</v>
      </c>
      <c r="D289">
        <f t="shared" si="213"/>
        <v>0.30796600154210058</v>
      </c>
      <c r="F289">
        <f t="shared" si="214"/>
        <v>1.4030314361386485E-4</v>
      </c>
      <c r="G289">
        <f t="shared" si="215"/>
        <v>4.6331466792950936E-3</v>
      </c>
      <c r="H289">
        <f t="shared" si="216"/>
        <v>-3.1369595033207052</v>
      </c>
      <c r="J289">
        <f t="shared" si="217"/>
        <v>15</v>
      </c>
      <c r="M289">
        <f t="shared" si="218"/>
        <v>7.1191153727749321E-3</v>
      </c>
      <c r="N289">
        <f t="shared" si="219"/>
        <v>-1.5707963250000001</v>
      </c>
      <c r="O289">
        <f t="shared" si="220"/>
        <v>101.08568993330616</v>
      </c>
      <c r="P289">
        <f t="shared" si="221"/>
        <v>1.5609035683643255</v>
      </c>
      <c r="Q289">
        <f t="shared" si="222"/>
        <v>95.746829052546602</v>
      </c>
      <c r="R289">
        <f t="shared" si="223"/>
        <v>1.560351926797088</v>
      </c>
      <c r="S289">
        <f t="shared" si="224"/>
        <v>0.37971567683725532</v>
      </c>
      <c r="T289">
        <f t="shared" si="225"/>
        <v>-1.1813073918031007</v>
      </c>
      <c r="U289">
        <f t="shared" si="226"/>
        <v>0.93900738624225266</v>
      </c>
      <c r="V289">
        <f t="shared" si="227"/>
        <v>-0.35106385948363505</v>
      </c>
      <c r="X289">
        <f t="shared" si="244"/>
        <v>-25.310895167048088</v>
      </c>
      <c r="Y289">
        <f t="shared" si="228"/>
        <v>-161.05302669418543</v>
      </c>
      <c r="Z289">
        <f t="shared" si="245"/>
        <v>18.946973305814566</v>
      </c>
      <c r="AC289">
        <v>1</v>
      </c>
      <c r="AD289">
        <f t="shared" si="229"/>
        <v>101.08074351374999</v>
      </c>
      <c r="AE289">
        <f t="shared" si="230"/>
        <v>-2.85799068791399E-3</v>
      </c>
      <c r="AF289">
        <f t="shared" si="231"/>
        <v>7.8037161425999991E-3</v>
      </c>
      <c r="AG289">
        <f t="shared" si="246"/>
        <v>11379.641822389423</v>
      </c>
      <c r="AH289">
        <f t="shared" si="247"/>
        <v>-4295.7623967363561</v>
      </c>
      <c r="AJ289">
        <f t="shared" si="232"/>
        <v>18000</v>
      </c>
      <c r="AK289">
        <f t="shared" si="233"/>
        <v>43853.491801350006</v>
      </c>
      <c r="AL289">
        <v>1</v>
      </c>
      <c r="AM289">
        <f t="shared" si="234"/>
        <v>95.741606805074994</v>
      </c>
      <c r="AN289">
        <f t="shared" si="248"/>
        <v>459.9535687083328</v>
      </c>
      <c r="AO289">
        <f t="shared" si="249"/>
        <v>-183.20192251423464</v>
      </c>
      <c r="AQ289">
        <f t="shared" si="235"/>
        <v>1.7777746172895691E-2</v>
      </c>
      <c r="AR289">
        <f t="shared" si="236"/>
        <v>-13.333309629671769</v>
      </c>
      <c r="AT289">
        <f t="shared" si="261"/>
        <v>-57074.425747329828</v>
      </c>
      <c r="AU289">
        <f t="shared" si="262"/>
        <v>-151804.65686618874</v>
      </c>
      <c r="AV289">
        <f t="shared" si="250"/>
        <v>-1.9304196121658919</v>
      </c>
      <c r="AW289">
        <f t="shared" si="251"/>
        <v>10733.042303861663</v>
      </c>
      <c r="AX289">
        <f t="shared" si="252"/>
        <v>-11827.471879747482</v>
      </c>
      <c r="AY289">
        <f t="shared" si="260"/>
        <v>-0.83387100711886752</v>
      </c>
      <c r="BA289">
        <f t="shared" si="237"/>
        <v>10.154327505204057</v>
      </c>
      <c r="BB289">
        <f t="shared" si="253"/>
        <v>20.133023329902699</v>
      </c>
      <c r="BC289">
        <f t="shared" si="254"/>
        <v>-1.0965486050470243</v>
      </c>
      <c r="BD289">
        <f t="shared" si="238"/>
        <v>-242.8276071719433</v>
      </c>
      <c r="BF289">
        <f t="shared" si="239"/>
        <v>-32.985224773265884</v>
      </c>
      <c r="BG289">
        <f t="shared" si="240"/>
        <v>-224.91699527900701</v>
      </c>
      <c r="BH289">
        <f t="shared" si="255"/>
        <v>-44.916995279007011</v>
      </c>
      <c r="BI289">
        <f t="shared" si="256"/>
        <v>-44.916995279007011</v>
      </c>
      <c r="BJ289">
        <f t="shared" si="241"/>
        <v>0</v>
      </c>
      <c r="BK289">
        <f t="shared" si="257"/>
        <v>0</v>
      </c>
      <c r="BM289">
        <f t="shared" si="258"/>
        <v>-53.118248103168575</v>
      </c>
      <c r="BN289">
        <f t="shared" si="242"/>
        <v>-162.08938810706371</v>
      </c>
      <c r="BQ289" s="56">
        <f t="shared" si="259"/>
        <v>37.034984130187837</v>
      </c>
      <c r="BR289" s="59"/>
      <c r="BS289" s="59"/>
      <c r="BT289" s="59">
        <v>61659.5</v>
      </c>
      <c r="BU289" s="59">
        <v>2.2781099999999999</v>
      </c>
      <c r="BV289" s="59">
        <v>-133.24799999999999</v>
      </c>
      <c r="BY289" s="59"/>
      <c r="BZ289" s="59"/>
      <c r="CA289" s="59"/>
      <c r="CC289" s="59"/>
    </row>
    <row r="290" spans="1:81" x14ac:dyDescent="0.25">
      <c r="A290">
        <f t="shared" si="211"/>
        <v>380000</v>
      </c>
      <c r="B290">
        <f t="shared" si="243"/>
        <v>380</v>
      </c>
      <c r="C290">
        <f t="shared" si="212"/>
        <v>1.0506640550565043</v>
      </c>
      <c r="D290">
        <f t="shared" si="213"/>
        <v>0.3118127333029882</v>
      </c>
      <c r="F290">
        <f t="shared" si="214"/>
        <v>1.3663477172306924E-4</v>
      </c>
      <c r="G290">
        <f t="shared" si="215"/>
        <v>4.5721679134604317E-3</v>
      </c>
      <c r="H290">
        <f t="shared" si="216"/>
        <v>-3.1370204820865397</v>
      </c>
      <c r="J290">
        <f t="shared" si="217"/>
        <v>15</v>
      </c>
      <c r="M290">
        <f t="shared" si="218"/>
        <v>7.0254428020805251E-3</v>
      </c>
      <c r="N290">
        <f t="shared" si="219"/>
        <v>-1.5707963250000001</v>
      </c>
      <c r="O290">
        <f t="shared" si="220"/>
        <v>102.43336809881052</v>
      </c>
      <c r="P290">
        <f t="shared" si="221"/>
        <v>1.561033727912716</v>
      </c>
      <c r="Q290">
        <f t="shared" si="222"/>
        <v>97.023315099839252</v>
      </c>
      <c r="R290">
        <f t="shared" si="223"/>
        <v>1.5604893433152884</v>
      </c>
      <c r="S290">
        <f t="shared" si="224"/>
        <v>0.37542764562427111</v>
      </c>
      <c r="T290">
        <f t="shared" si="225"/>
        <v>-1.1859381994388689</v>
      </c>
      <c r="U290">
        <f t="shared" si="226"/>
        <v>0.93752036368296932</v>
      </c>
      <c r="V290">
        <f t="shared" si="227"/>
        <v>-0.35536267826971019</v>
      </c>
      <c r="X290">
        <f t="shared" si="244"/>
        <v>-25.527708127856691</v>
      </c>
      <c r="Y290">
        <f t="shared" si="228"/>
        <v>-161.33241795289487</v>
      </c>
      <c r="Z290">
        <f t="shared" si="245"/>
        <v>18.667582047105128</v>
      </c>
      <c r="AC290">
        <v>1</v>
      </c>
      <c r="AD290">
        <f t="shared" si="229"/>
        <v>102.42848676060001</v>
      </c>
      <c r="AE290">
        <f t="shared" si="230"/>
        <v>-2.9347118601584371E-3</v>
      </c>
      <c r="AF290">
        <f t="shared" si="231"/>
        <v>7.9077656911680002E-3</v>
      </c>
      <c r="AG290">
        <f t="shared" si="246"/>
        <v>11343.628505367082</v>
      </c>
      <c r="AH290">
        <f t="shared" si="247"/>
        <v>-4336.2793551445411</v>
      </c>
      <c r="AJ290">
        <f t="shared" si="232"/>
        <v>18000</v>
      </c>
      <c r="AK290">
        <f t="shared" si="233"/>
        <v>44438.205025368006</v>
      </c>
      <c r="AL290">
        <v>1</v>
      </c>
      <c r="AM290">
        <f t="shared" si="234"/>
        <v>97.018161562475996</v>
      </c>
      <c r="AN290">
        <f t="shared" si="248"/>
        <v>459.90354994614171</v>
      </c>
      <c r="AO290">
        <f t="shared" si="249"/>
        <v>-180.79188646301759</v>
      </c>
      <c r="AQ290">
        <f t="shared" si="235"/>
        <v>1.7312989416569571E-2</v>
      </c>
      <c r="AR290">
        <f t="shared" si="236"/>
        <v>-13.157871956592873</v>
      </c>
      <c r="AT290">
        <f t="shared" si="261"/>
        <v>-56859.816402750061</v>
      </c>
      <c r="AU290">
        <f t="shared" si="262"/>
        <v>-149333.08535535997</v>
      </c>
      <c r="AV290">
        <f t="shared" si="250"/>
        <v>-1.9346058152324455</v>
      </c>
      <c r="AW290">
        <f t="shared" si="251"/>
        <v>10756.404176372169</v>
      </c>
      <c r="AX290">
        <f t="shared" si="252"/>
        <v>-11779.466988794418</v>
      </c>
      <c r="AY290">
        <f t="shared" si="260"/>
        <v>-0.83076409863501643</v>
      </c>
      <c r="BA290">
        <f t="shared" si="237"/>
        <v>10.017237976740295</v>
      </c>
      <c r="BB290">
        <f t="shared" si="253"/>
        <v>20.01495982619938</v>
      </c>
      <c r="BC290">
        <f t="shared" si="254"/>
        <v>-1.103841716597429</v>
      </c>
      <c r="BD290">
        <f t="shared" si="238"/>
        <v>-243.24547168377708</v>
      </c>
      <c r="BF290">
        <f t="shared" si="239"/>
        <v>-33.322712789973622</v>
      </c>
      <c r="BG290">
        <f t="shared" si="240"/>
        <v>-225.11795212169739</v>
      </c>
      <c r="BH290">
        <f t="shared" si="255"/>
        <v>-45.117952121697385</v>
      </c>
      <c r="BI290">
        <f t="shared" si="256"/>
        <v>-45.117952121697385</v>
      </c>
      <c r="BJ290">
        <f t="shared" si="241"/>
        <v>0</v>
      </c>
      <c r="BK290">
        <f t="shared" si="257"/>
        <v>0</v>
      </c>
      <c r="BM290">
        <f t="shared" si="258"/>
        <v>-53.337672616173002</v>
      </c>
      <c r="BN290">
        <f t="shared" si="242"/>
        <v>-161.8724804379203</v>
      </c>
      <c r="BQ290" s="56">
        <f t="shared" si="259"/>
        <v>36.916920626484519</v>
      </c>
      <c r="BR290" s="59"/>
      <c r="BS290" s="59"/>
      <c r="BT290" s="59">
        <v>63095.733999999997</v>
      </c>
      <c r="BU290" s="59">
        <v>2.4499300000000002</v>
      </c>
      <c r="BV290" s="59">
        <v>-132.86600000000001</v>
      </c>
      <c r="BY290" s="59"/>
      <c r="BZ290" s="59"/>
      <c r="CA290" s="59"/>
      <c r="CC290" s="59"/>
    </row>
    <row r="291" spans="1:81" x14ac:dyDescent="0.25">
      <c r="A291">
        <f t="shared" si="211"/>
        <v>385000</v>
      </c>
      <c r="B291">
        <f t="shared" si="243"/>
        <v>385</v>
      </c>
      <c r="C291">
        <f t="shared" si="212"/>
        <v>1.0519729187325586</v>
      </c>
      <c r="D291">
        <f t="shared" si="213"/>
        <v>0.31564994952764541</v>
      </c>
      <c r="F291">
        <f t="shared" si="214"/>
        <v>1.3310841731225054E-4</v>
      </c>
      <c r="G291">
        <f t="shared" si="215"/>
        <v>4.5127736348780801E-3</v>
      </c>
      <c r="H291">
        <f t="shared" si="216"/>
        <v>-3.1370798763651222</v>
      </c>
      <c r="J291">
        <f t="shared" si="217"/>
        <v>15</v>
      </c>
      <c r="M291">
        <f t="shared" si="218"/>
        <v>6.9342032851703889E-3</v>
      </c>
      <c r="N291">
        <f t="shared" si="219"/>
        <v>-1.5707963250000001</v>
      </c>
      <c r="O291">
        <f t="shared" si="220"/>
        <v>103.78104795462015</v>
      </c>
      <c r="P291">
        <f t="shared" si="221"/>
        <v>1.5611605070116732</v>
      </c>
      <c r="Q291">
        <f t="shared" si="222"/>
        <v>98.29980293166966</v>
      </c>
      <c r="R291">
        <f t="shared" si="223"/>
        <v>1.5606231909475587</v>
      </c>
      <c r="S291">
        <f t="shared" si="224"/>
        <v>0.37122768425937791</v>
      </c>
      <c r="T291">
        <f t="shared" si="225"/>
        <v>-1.1904654913789277</v>
      </c>
      <c r="U291">
        <f t="shared" si="226"/>
        <v>0.93602082803621267</v>
      </c>
      <c r="V291">
        <f t="shared" si="227"/>
        <v>-0.3596478243718223</v>
      </c>
      <c r="X291">
        <f t="shared" si="244"/>
        <v>-25.742110486920502</v>
      </c>
      <c r="Y291">
        <f t="shared" si="228"/>
        <v>-161.60594739525479</v>
      </c>
      <c r="Z291">
        <f t="shared" si="245"/>
        <v>18.394052604745212</v>
      </c>
      <c r="AC291">
        <v>1</v>
      </c>
      <c r="AD291">
        <f t="shared" si="229"/>
        <v>103.77623000745001</v>
      </c>
      <c r="AE291">
        <f t="shared" si="230"/>
        <v>-3.0124492068696962E-3</v>
      </c>
      <c r="AF291">
        <f t="shared" si="231"/>
        <v>8.0118152397359987E-3</v>
      </c>
      <c r="AG291">
        <f t="shared" si="246"/>
        <v>11307.369940041657</v>
      </c>
      <c r="AH291">
        <f t="shared" si="247"/>
        <v>-4376.3961797022312</v>
      </c>
      <c r="AJ291">
        <f t="shared" si="232"/>
        <v>18000</v>
      </c>
      <c r="AK291">
        <f t="shared" si="233"/>
        <v>45022.918249385999</v>
      </c>
      <c r="AL291">
        <v>1</v>
      </c>
      <c r="AM291">
        <f t="shared" si="234"/>
        <v>98.294716319876997</v>
      </c>
      <c r="AN291">
        <f t="shared" si="248"/>
        <v>459.85546701559673</v>
      </c>
      <c r="AO291">
        <f t="shared" si="249"/>
        <v>-178.44442905663553</v>
      </c>
      <c r="AQ291">
        <f t="shared" si="235"/>
        <v>1.6866222185491338E-2</v>
      </c>
      <c r="AR291">
        <f t="shared" si="236"/>
        <v>-12.986991082828331</v>
      </c>
      <c r="AT291">
        <f t="shared" si="261"/>
        <v>-56645.505546974557</v>
      </c>
      <c r="AU291">
        <f t="shared" si="262"/>
        <v>-146922.52585190072</v>
      </c>
      <c r="AV291">
        <f t="shared" si="250"/>
        <v>-1.9387812703813809</v>
      </c>
      <c r="AW291">
        <f t="shared" si="251"/>
        <v>10777.031693264797</v>
      </c>
      <c r="AX291">
        <f t="shared" si="252"/>
        <v>-11733.465641197963</v>
      </c>
      <c r="AY291">
        <f t="shared" si="260"/>
        <v>-0.82786097614541709</v>
      </c>
      <c r="BA291">
        <f t="shared" si="237"/>
        <v>9.8837056107680485</v>
      </c>
      <c r="BB291">
        <f t="shared" si="253"/>
        <v>19.898396026541349</v>
      </c>
      <c r="BC291">
        <f t="shared" si="254"/>
        <v>-1.1109202942359637</v>
      </c>
      <c r="BD291">
        <f t="shared" si="238"/>
        <v>-243.65104430788423</v>
      </c>
      <c r="BF291">
        <f t="shared" si="239"/>
        <v>-33.65557720444275</v>
      </c>
      <c r="BG291">
        <f t="shared" si="240"/>
        <v>-225.30707149229522</v>
      </c>
      <c r="BH291">
        <f t="shared" si="255"/>
        <v>-45.307071492295222</v>
      </c>
      <c r="BI291">
        <f t="shared" si="256"/>
        <v>-45.307071492295222</v>
      </c>
      <c r="BJ291">
        <f t="shared" si="241"/>
        <v>0</v>
      </c>
      <c r="BK291">
        <f t="shared" si="257"/>
        <v>0</v>
      </c>
      <c r="BM291">
        <f t="shared" si="258"/>
        <v>-53.553973230984091</v>
      </c>
      <c r="BN291">
        <f t="shared" si="242"/>
        <v>-161.65602718441102</v>
      </c>
      <c r="BQ291" s="56">
        <f t="shared" si="259"/>
        <v>36.800356826826487</v>
      </c>
      <c r="BR291" s="59"/>
      <c r="BS291" s="59"/>
      <c r="BT291" s="59">
        <v>64565.423000000003</v>
      </c>
      <c r="BU291" s="59">
        <v>2.6258699999999999</v>
      </c>
      <c r="BV291" s="59">
        <v>-132.49799999999999</v>
      </c>
      <c r="BY291" s="59"/>
      <c r="BZ291" s="59"/>
      <c r="CA291" s="59"/>
      <c r="CC291" s="59"/>
    </row>
    <row r="292" spans="1:81" x14ac:dyDescent="0.25">
      <c r="A292">
        <f t="shared" si="211"/>
        <v>390000</v>
      </c>
      <c r="B292">
        <f t="shared" si="243"/>
        <v>390</v>
      </c>
      <c r="C292">
        <f t="shared" si="212"/>
        <v>1.0532972332696879</v>
      </c>
      <c r="D292">
        <f t="shared" si="213"/>
        <v>0.31947757290115958</v>
      </c>
      <c r="F292">
        <f t="shared" si="214"/>
        <v>1.2971684282301563E-4</v>
      </c>
      <c r="G292">
        <f t="shared" si="215"/>
        <v>4.4549028703779669E-3</v>
      </c>
      <c r="H292">
        <f t="shared" si="216"/>
        <v>-3.1371377471296222</v>
      </c>
      <c r="J292">
        <f t="shared" si="217"/>
        <v>15</v>
      </c>
      <c r="M292">
        <f t="shared" si="218"/>
        <v>6.8453032430528197E-3</v>
      </c>
      <c r="N292">
        <f t="shared" si="219"/>
        <v>-1.5707963250000001</v>
      </c>
      <c r="O292">
        <f t="shared" si="220"/>
        <v>105.12872943572934</v>
      </c>
      <c r="P292">
        <f t="shared" si="221"/>
        <v>1.5612840356624871</v>
      </c>
      <c r="Q292">
        <f t="shared" si="222"/>
        <v>99.576292479408863</v>
      </c>
      <c r="R292">
        <f t="shared" si="223"/>
        <v>1.5607536069399177</v>
      </c>
      <c r="S292">
        <f t="shared" si="224"/>
        <v>0.36711337785168158</v>
      </c>
      <c r="T292">
        <f t="shared" si="225"/>
        <v>-1.1948925206808882</v>
      </c>
      <c r="U292">
        <f t="shared" si="226"/>
        <v>0.9345090040567714</v>
      </c>
      <c r="V292">
        <f t="shared" si="227"/>
        <v>-0.36391920629870328</v>
      </c>
      <c r="X292">
        <f t="shared" si="244"/>
        <v>-25.954153340358491</v>
      </c>
      <c r="Y292">
        <f t="shared" si="228"/>
        <v>-161.87378877685396</v>
      </c>
      <c r="Z292">
        <f t="shared" si="245"/>
        <v>18.126211223146043</v>
      </c>
      <c r="AC292">
        <v>1</v>
      </c>
      <c r="AD292">
        <f t="shared" si="229"/>
        <v>105.1239732543</v>
      </c>
      <c r="AE292">
        <f t="shared" si="230"/>
        <v>-3.0912027280477713E-3</v>
      </c>
      <c r="AF292">
        <f t="shared" si="231"/>
        <v>8.1158647883040006E-3</v>
      </c>
      <c r="AG292">
        <f t="shared" si="246"/>
        <v>11270.873000823587</v>
      </c>
      <c r="AH292">
        <f t="shared" si="247"/>
        <v>-4416.1102116039028</v>
      </c>
      <c r="AJ292">
        <f t="shared" si="232"/>
        <v>18000</v>
      </c>
      <c r="AK292">
        <f t="shared" si="233"/>
        <v>45607.631473404006</v>
      </c>
      <c r="AL292">
        <v>1</v>
      </c>
      <c r="AM292">
        <f t="shared" si="234"/>
        <v>99.571271077277999</v>
      </c>
      <c r="AN292">
        <f t="shared" si="248"/>
        <v>459.80922129923823</v>
      </c>
      <c r="AO292">
        <f t="shared" si="249"/>
        <v>-176.15714441455395</v>
      </c>
      <c r="AQ292">
        <f t="shared" si="235"/>
        <v>1.6436527882104073E-2</v>
      </c>
      <c r="AR292">
        <f t="shared" si="236"/>
        <v>-12.820491748041176</v>
      </c>
      <c r="AT292">
        <f t="shared" si="261"/>
        <v>-56431.450507974521</v>
      </c>
      <c r="AU292">
        <f t="shared" si="262"/>
        <v>-144570.71981890235</v>
      </c>
      <c r="AV292">
        <f t="shared" si="250"/>
        <v>-1.9429457736463742</v>
      </c>
      <c r="AW292">
        <f t="shared" si="251"/>
        <v>10795.057873326468</v>
      </c>
      <c r="AX292">
        <f t="shared" si="252"/>
        <v>-11689.369199476434</v>
      </c>
      <c r="AY292">
        <f t="shared" si="260"/>
        <v>-0.82515190772345559</v>
      </c>
      <c r="BA292">
        <f t="shared" si="237"/>
        <v>9.7536025387324869</v>
      </c>
      <c r="BB292">
        <f t="shared" si="253"/>
        <v>19.783301080570752</v>
      </c>
      <c r="BC292">
        <f t="shared" si="254"/>
        <v>-1.1177938659229185</v>
      </c>
      <c r="BD292">
        <f t="shared" si="238"/>
        <v>-244.04487095617736</v>
      </c>
      <c r="BF292">
        <f t="shared" si="239"/>
        <v>-33.983927473288574</v>
      </c>
      <c r="BG292">
        <f t="shared" si="240"/>
        <v>-225.48490722603663</v>
      </c>
      <c r="BH292">
        <f t="shared" si="255"/>
        <v>-45.484907226036626</v>
      </c>
      <c r="BI292">
        <f t="shared" si="256"/>
        <v>-45.484907226036626</v>
      </c>
      <c r="BJ292">
        <f t="shared" si="241"/>
        <v>0</v>
      </c>
      <c r="BK292">
        <f t="shared" si="257"/>
        <v>0</v>
      </c>
      <c r="BM292">
        <f t="shared" si="258"/>
        <v>-53.767228553859326</v>
      </c>
      <c r="BN292">
        <f t="shared" si="242"/>
        <v>-161.44003626985926</v>
      </c>
      <c r="BQ292" s="56">
        <f t="shared" si="259"/>
        <v>36.68526188085589</v>
      </c>
      <c r="BR292" s="59"/>
      <c r="BS292" s="59"/>
      <c r="BT292" s="59">
        <v>66069.345000000001</v>
      </c>
      <c r="BU292" s="59">
        <v>2.7940900000000002</v>
      </c>
      <c r="BV292" s="59">
        <v>-132.279</v>
      </c>
      <c r="BY292" s="59"/>
      <c r="BZ292" s="59"/>
      <c r="CA292" s="59"/>
      <c r="CC292" s="59"/>
    </row>
    <row r="293" spans="1:81" x14ac:dyDescent="0.25">
      <c r="A293">
        <f t="shared" si="211"/>
        <v>395000</v>
      </c>
      <c r="B293">
        <f t="shared" si="243"/>
        <v>395</v>
      </c>
      <c r="C293">
        <f t="shared" si="212"/>
        <v>1.0546369404626506</v>
      </c>
      <c r="D293">
        <f t="shared" si="213"/>
        <v>0.32329552761898828</v>
      </c>
      <c r="F293">
        <f t="shared" si="214"/>
        <v>1.2645326596329273E-4</v>
      </c>
      <c r="G293">
        <f t="shared" si="215"/>
        <v>4.398497735986346E-3</v>
      </c>
      <c r="H293">
        <f t="shared" si="216"/>
        <v>-3.1371941522640139</v>
      </c>
      <c r="J293">
        <f t="shared" si="217"/>
        <v>15</v>
      </c>
      <c r="M293">
        <f t="shared" si="218"/>
        <v>6.7586538349129113E-3</v>
      </c>
      <c r="N293">
        <f t="shared" si="219"/>
        <v>-1.5707963250000001</v>
      </c>
      <c r="O293">
        <f t="shared" si="220"/>
        <v>106.47641248042338</v>
      </c>
      <c r="P293">
        <f t="shared" si="221"/>
        <v>1.5614044372850964</v>
      </c>
      <c r="Q293">
        <f t="shared" si="222"/>
        <v>100.85278367790227</v>
      </c>
      <c r="R293">
        <f t="shared" si="223"/>
        <v>1.5608807215903886</v>
      </c>
      <c r="S293">
        <f t="shared" si="224"/>
        <v>0.36308238574447405</v>
      </c>
      <c r="T293">
        <f t="shared" si="225"/>
        <v>-1.1992224136306735</v>
      </c>
      <c r="U293">
        <f t="shared" si="226"/>
        <v>0.93298511628033343</v>
      </c>
      <c r="V293">
        <f t="shared" si="227"/>
        <v>-0.36817673515478061</v>
      </c>
      <c r="X293">
        <f t="shared" si="244"/>
        <v>-26.163886241298144</v>
      </c>
      <c r="Y293">
        <f t="shared" si="228"/>
        <v>-162.13610925015976</v>
      </c>
      <c r="Z293">
        <f t="shared" si="245"/>
        <v>17.863890749840238</v>
      </c>
      <c r="AC293">
        <v>1</v>
      </c>
      <c r="AD293">
        <f t="shared" si="229"/>
        <v>106.47171650115</v>
      </c>
      <c r="AE293">
        <f t="shared" si="230"/>
        <v>-3.1709724236926597E-3</v>
      </c>
      <c r="AF293">
        <f t="shared" si="231"/>
        <v>8.2199143368719991E-3</v>
      </c>
      <c r="AG293">
        <f t="shared" si="246"/>
        <v>11234.144533601351</v>
      </c>
      <c r="AH293">
        <f t="shared" si="247"/>
        <v>-4455.4190006028794</v>
      </c>
      <c r="AJ293">
        <f t="shared" si="232"/>
        <v>18000</v>
      </c>
      <c r="AK293">
        <f t="shared" si="233"/>
        <v>46192.344697421999</v>
      </c>
      <c r="AL293">
        <v>1</v>
      </c>
      <c r="AM293">
        <f t="shared" si="234"/>
        <v>100.847825834679</v>
      </c>
      <c r="AN293">
        <f t="shared" si="248"/>
        <v>459.76472038021171</v>
      </c>
      <c r="AO293">
        <f t="shared" si="249"/>
        <v>-173.92774841148977</v>
      </c>
      <c r="AQ293">
        <f t="shared" si="235"/>
        <v>1.6023047551598221E-2</v>
      </c>
      <c r="AR293">
        <f t="shared" si="236"/>
        <v>-12.658207565762593</v>
      </c>
      <c r="AT293">
        <f t="shared" si="261"/>
        <v>-56217.613270010355</v>
      </c>
      <c r="AU293">
        <f t="shared" si="262"/>
        <v>-142275.52272061206</v>
      </c>
      <c r="AV293">
        <f t="shared" si="250"/>
        <v>-1.9470991293507456</v>
      </c>
      <c r="AW293">
        <f t="shared" si="251"/>
        <v>10810.607822783526</v>
      </c>
      <c r="AX293">
        <f t="shared" si="252"/>
        <v>-11647.084191411879</v>
      </c>
      <c r="AY293">
        <f t="shared" si="260"/>
        <v>-0.82262771794047429</v>
      </c>
      <c r="BA293">
        <f t="shared" si="237"/>
        <v>9.6268061496160673</v>
      </c>
      <c r="BB293">
        <f t="shared" si="253"/>
        <v>19.669644534465419</v>
      </c>
      <c r="BC293">
        <f t="shared" si="254"/>
        <v>-1.1244714114102714</v>
      </c>
      <c r="BD293">
        <f t="shared" si="238"/>
        <v>-244.42746613054652</v>
      </c>
      <c r="BF293">
        <f t="shared" si="239"/>
        <v>-34.307869690302283</v>
      </c>
      <c r="BG293">
        <f t="shared" si="240"/>
        <v>-225.65198148459933</v>
      </c>
      <c r="BH293">
        <f t="shared" si="255"/>
        <v>-45.651981484599332</v>
      </c>
      <c r="BI293">
        <f t="shared" si="256"/>
        <v>-45.651981484599332</v>
      </c>
      <c r="BJ293">
        <f t="shared" si="241"/>
        <v>0</v>
      </c>
      <c r="BK293">
        <f t="shared" si="257"/>
        <v>0</v>
      </c>
      <c r="BM293">
        <f t="shared" si="258"/>
        <v>-53.977514224767702</v>
      </c>
      <c r="BN293">
        <f t="shared" si="242"/>
        <v>-161.22451535405284</v>
      </c>
      <c r="BQ293" s="56">
        <f t="shared" si="259"/>
        <v>36.571605334750558</v>
      </c>
      <c r="BR293" s="59"/>
      <c r="BS293" s="59"/>
      <c r="BT293" s="59">
        <v>67608.297999999995</v>
      </c>
      <c r="BU293" s="59">
        <v>2.9581400000000002</v>
      </c>
      <c r="BV293" s="59">
        <v>-132.03399999999999</v>
      </c>
      <c r="BY293" s="59"/>
      <c r="BZ293" s="59"/>
      <c r="CA293" s="59"/>
      <c r="CC293" s="59"/>
    </row>
    <row r="294" spans="1:81" x14ac:dyDescent="0.25">
      <c r="A294">
        <f t="shared" si="211"/>
        <v>400000</v>
      </c>
      <c r="B294">
        <f t="shared" si="243"/>
        <v>400</v>
      </c>
      <c r="C294">
        <f t="shared" si="212"/>
        <v>1.0559919817267651</v>
      </c>
      <c r="D294">
        <f t="shared" si="213"/>
        <v>0.32710373938652676</v>
      </c>
      <c r="F294">
        <f t="shared" si="214"/>
        <v>1.233113257681255E-4</v>
      </c>
      <c r="G294">
        <f t="shared" si="215"/>
        <v>4.3435032437076819E-3</v>
      </c>
      <c r="H294">
        <f t="shared" si="216"/>
        <v>-3.1372491467562926</v>
      </c>
      <c r="J294">
        <f t="shared" si="217"/>
        <v>15</v>
      </c>
      <c r="M294">
        <f t="shared" si="218"/>
        <v>6.6741706619764998E-3</v>
      </c>
      <c r="N294">
        <f t="shared" si="219"/>
        <v>-1.5707963250000001</v>
      </c>
      <c r="O294">
        <f t="shared" si="220"/>
        <v>107.82409703007299</v>
      </c>
      <c r="P294">
        <f t="shared" si="221"/>
        <v>1.5615218291293504</v>
      </c>
      <c r="Q294">
        <f t="shared" si="222"/>
        <v>102.12927646525263</v>
      </c>
      <c r="R294">
        <f t="shared" si="223"/>
        <v>1.5610046586831607</v>
      </c>
      <c r="S294">
        <f t="shared" si="224"/>
        <v>0.35913243955473151</v>
      </c>
      <c r="T294">
        <f t="shared" si="225"/>
        <v>-1.2034581753950668</v>
      </c>
      <c r="U294">
        <f t="shared" si="226"/>
        <v>0.9314493889522677</v>
      </c>
      <c r="V294">
        <f t="shared" si="227"/>
        <v>-0.37242032462893471</v>
      </c>
      <c r="X294">
        <f t="shared" si="244"/>
        <v>-26.371357258903046</v>
      </c>
      <c r="Y294">
        <f t="shared" si="228"/>
        <v>-162.39306965039725</v>
      </c>
      <c r="Z294">
        <f t="shared" si="245"/>
        <v>17.606930349602749</v>
      </c>
      <c r="AC294">
        <v>1</v>
      </c>
      <c r="AD294">
        <f t="shared" si="229"/>
        <v>107.81945974800001</v>
      </c>
      <c r="AE294">
        <f t="shared" si="230"/>
        <v>-3.2517582938043619E-3</v>
      </c>
      <c r="AF294">
        <f t="shared" si="231"/>
        <v>8.3239638854399993E-3</v>
      </c>
      <c r="AG294">
        <f t="shared" si="246"/>
        <v>11197.191353366192</v>
      </c>
      <c r="AH294">
        <f t="shared" si="247"/>
        <v>-4494.3202980565911</v>
      </c>
      <c r="AJ294">
        <f t="shared" si="232"/>
        <v>18000</v>
      </c>
      <c r="AK294">
        <f t="shared" si="233"/>
        <v>46777.057921440006</v>
      </c>
      <c r="AL294">
        <v>1</v>
      </c>
      <c r="AM294">
        <f t="shared" si="234"/>
        <v>102.12438059208</v>
      </c>
      <c r="AN294">
        <f t="shared" si="248"/>
        <v>459.72187758026155</v>
      </c>
      <c r="AO294">
        <f t="shared" si="249"/>
        <v>-171.75407107223162</v>
      </c>
      <c r="AQ294">
        <f t="shared" si="235"/>
        <v>1.5624975585975647E-2</v>
      </c>
      <c r="AR294">
        <f t="shared" si="236"/>
        <v>-12.499980468780517</v>
      </c>
      <c r="AT294">
        <f t="shared" si="261"/>
        <v>-56003.96010462338</v>
      </c>
      <c r="AU294">
        <f t="shared" si="262"/>
        <v>-140034.89686720818</v>
      </c>
      <c r="AV294">
        <f t="shared" si="250"/>
        <v>-1.9512411497404185</v>
      </c>
      <c r="AW294">
        <f t="shared" si="251"/>
        <v>10823.799319821821</v>
      </c>
      <c r="AX294">
        <f t="shared" si="252"/>
        <v>-11606.521987506319</v>
      </c>
      <c r="AY294">
        <f t="shared" si="260"/>
        <v>-0.82027974973088946</v>
      </c>
      <c r="BA294">
        <f t="shared" si="237"/>
        <v>9.503198907130141</v>
      </c>
      <c r="BB294">
        <f t="shared" si="253"/>
        <v>19.557396387598459</v>
      </c>
      <c r="BC294">
        <f t="shared" si="254"/>
        <v>-1.1309614000095292</v>
      </c>
      <c r="BD294">
        <f t="shared" si="238"/>
        <v>-244.7993150867969</v>
      </c>
      <c r="BF294">
        <f t="shared" si="239"/>
        <v>-34.627506679128118</v>
      </c>
      <c r="BG294">
        <f t="shared" si="240"/>
        <v>-225.80878693113604</v>
      </c>
      <c r="BH294">
        <f t="shared" si="255"/>
        <v>-45.808786931136041</v>
      </c>
      <c r="BI294">
        <f t="shared" si="256"/>
        <v>-45.808786931136041</v>
      </c>
      <c r="BJ294">
        <f t="shared" si="241"/>
        <v>0</v>
      </c>
      <c r="BK294">
        <f t="shared" si="257"/>
        <v>0</v>
      </c>
      <c r="BM294">
        <f t="shared" si="258"/>
        <v>-54.184903066726584</v>
      </c>
      <c r="BN294">
        <f t="shared" si="242"/>
        <v>-161.00947184433915</v>
      </c>
      <c r="BQ294" s="56">
        <f t="shared" si="259"/>
        <v>36.459357187883597</v>
      </c>
      <c r="BR294" s="59"/>
      <c r="BS294" s="59"/>
      <c r="BT294" s="59">
        <v>69183.096999999994</v>
      </c>
      <c r="BU294" s="59">
        <v>3.15646</v>
      </c>
      <c r="BV294" s="59">
        <v>-131.40799999999999</v>
      </c>
      <c r="BY294" s="59"/>
      <c r="BZ294" s="59"/>
      <c r="CA294" s="59"/>
      <c r="CC294" s="59"/>
    </row>
    <row r="295" spans="1:81" x14ac:dyDescent="0.25">
      <c r="A295">
        <f t="shared" si="211"/>
        <v>405000</v>
      </c>
      <c r="B295">
        <f t="shared" si="243"/>
        <v>405</v>
      </c>
      <c r="C295">
        <f t="shared" si="212"/>
        <v>1.0573622981088275</v>
      </c>
      <c r="D295">
        <f t="shared" si="213"/>
        <v>0.33090213541819452</v>
      </c>
      <c r="F295">
        <f t="shared" si="214"/>
        <v>1.2028505157609899E-4</v>
      </c>
      <c r="G295">
        <f t="shared" si="215"/>
        <v>4.2898671226311545E-3</v>
      </c>
      <c r="H295">
        <f t="shared" si="216"/>
        <v>-3.1373027828773692</v>
      </c>
      <c r="J295">
        <f t="shared" si="217"/>
        <v>15</v>
      </c>
      <c r="M295">
        <f t="shared" si="218"/>
        <v>6.5917734933101223E-3</v>
      </c>
      <c r="N295">
        <f t="shared" si="219"/>
        <v>-1.5707963250000001</v>
      </c>
      <c r="O295">
        <f t="shared" si="220"/>
        <v>109.17178302894385</v>
      </c>
      <c r="P295">
        <f t="shared" si="221"/>
        <v>1.5616363226558136</v>
      </c>
      <c r="Q295">
        <f t="shared" si="222"/>
        <v>103.40577078261904</v>
      </c>
      <c r="R295">
        <f t="shared" si="223"/>
        <v>1.5611255358906013</v>
      </c>
      <c r="S295">
        <f t="shared" si="224"/>
        <v>0.35526134119590136</v>
      </c>
      <c r="T295">
        <f t="shared" si="225"/>
        <v>-1.2076026954068242</v>
      </c>
      <c r="U295">
        <f t="shared" si="226"/>
        <v>0.92990204595781523</v>
      </c>
      <c r="V295">
        <f t="shared" si="227"/>
        <v>-0.37664989098236917</v>
      </c>
      <c r="X295">
        <f t="shared" si="244"/>
        <v>-26.576613034617964</v>
      </c>
      <c r="Y295">
        <f t="shared" si="228"/>
        <v>-162.64482476884822</v>
      </c>
      <c r="Z295">
        <f t="shared" si="245"/>
        <v>17.355175231151776</v>
      </c>
      <c r="AC295">
        <v>1</v>
      </c>
      <c r="AD295">
        <f t="shared" si="229"/>
        <v>109.16720299485002</v>
      </c>
      <c r="AE295">
        <f t="shared" si="230"/>
        <v>-3.3335603383828779E-3</v>
      </c>
      <c r="AF295">
        <f t="shared" si="231"/>
        <v>8.4280134340080012E-3</v>
      </c>
      <c r="AG295">
        <f t="shared" si="246"/>
        <v>11160.020241901835</v>
      </c>
      <c r="AH295">
        <f t="shared" si="247"/>
        <v>-4532.8120503228165</v>
      </c>
      <c r="AJ295">
        <f t="shared" si="232"/>
        <v>18000</v>
      </c>
      <c r="AK295">
        <f t="shared" si="233"/>
        <v>47361.771145457999</v>
      </c>
      <c r="AL295">
        <v>1</v>
      </c>
      <c r="AM295">
        <f t="shared" si="234"/>
        <v>103.400935349481</v>
      </c>
      <c r="AN295">
        <f t="shared" si="248"/>
        <v>459.6806115373887</v>
      </c>
      <c r="AO295">
        <f t="shared" si="249"/>
        <v>-169.63404952942383</v>
      </c>
      <c r="AQ295">
        <f t="shared" si="235"/>
        <v>1.524155579704954E-2</v>
      </c>
      <c r="AR295">
        <f t="shared" si="236"/>
        <v>-12.345660195610128</v>
      </c>
      <c r="AT295">
        <f t="shared" si="261"/>
        <v>-55790.46123263918</v>
      </c>
      <c r="AU295">
        <f t="shared" si="262"/>
        <v>-137846.90479043333</v>
      </c>
      <c r="AV295">
        <f t="shared" si="250"/>
        <v>-1.955371654642339</v>
      </c>
      <c r="AW295">
        <f t="shared" si="251"/>
        <v>10834.743348767583</v>
      </c>
      <c r="AX295">
        <f t="shared" si="252"/>
        <v>-11567.598502698285</v>
      </c>
      <c r="AY295">
        <f t="shared" si="260"/>
        <v>-0.81809982923152202</v>
      </c>
      <c r="BA295">
        <f t="shared" si="237"/>
        <v>9.3826681628472564</v>
      </c>
      <c r="BB295">
        <f t="shared" si="253"/>
        <v>19.446527137784795</v>
      </c>
      <c r="BC295">
        <f t="shared" si="254"/>
        <v>-1.1372718254108169</v>
      </c>
      <c r="BD295">
        <f t="shared" si="238"/>
        <v>-245.16087582963598</v>
      </c>
      <c r="BF295">
        <f t="shared" si="239"/>
        <v>-34.942938088058526</v>
      </c>
      <c r="BG295">
        <f t="shared" si="240"/>
        <v>-225.95578873556326</v>
      </c>
      <c r="BH295">
        <f t="shared" si="255"/>
        <v>-45.95578873556326</v>
      </c>
      <c r="BI295">
        <f t="shared" si="256"/>
        <v>-45.95578873556326</v>
      </c>
      <c r="BJ295">
        <f t="shared" si="241"/>
        <v>0</v>
      </c>
      <c r="BK295">
        <f t="shared" si="257"/>
        <v>0</v>
      </c>
      <c r="BM295">
        <f t="shared" si="258"/>
        <v>-54.389465225843317</v>
      </c>
      <c r="BN295">
        <f t="shared" si="242"/>
        <v>-160.79491290592733</v>
      </c>
      <c r="BQ295" s="56">
        <f t="shared" si="259"/>
        <v>36.348487938069937</v>
      </c>
      <c r="BR295" s="59"/>
      <c r="BS295" s="59"/>
      <c r="BT295" s="59">
        <v>70794.577999999994</v>
      </c>
      <c r="BU295" s="59">
        <v>3.32565</v>
      </c>
      <c r="BV295" s="59">
        <v>-131.172</v>
      </c>
      <c r="BY295" s="59"/>
      <c r="BZ295" s="59"/>
      <c r="CA295" s="59"/>
      <c r="CC295" s="59"/>
    </row>
    <row r="296" spans="1:81" x14ac:dyDescent="0.25">
      <c r="A296">
        <f t="shared" si="211"/>
        <v>410000</v>
      </c>
      <c r="B296">
        <f t="shared" si="243"/>
        <v>410</v>
      </c>
      <c r="C296">
        <f t="shared" si="212"/>
        <v>1.05874783029799</v>
      </c>
      <c r="D296">
        <f t="shared" si="213"/>
        <v>0.33469064443604873</v>
      </c>
      <c r="F296">
        <f t="shared" si="214"/>
        <v>1.1736883463860478E-4</v>
      </c>
      <c r="G296">
        <f t="shared" si="215"/>
        <v>4.2375396531377663E-3</v>
      </c>
      <c r="H296">
        <f t="shared" si="216"/>
        <v>-3.1373551103468627</v>
      </c>
      <c r="J296">
        <f t="shared" si="217"/>
        <v>15</v>
      </c>
      <c r="M296">
        <f t="shared" si="218"/>
        <v>6.5113860116843897E-3</v>
      </c>
      <c r="N296">
        <f t="shared" si="219"/>
        <v>-1.5707963250000001</v>
      </c>
      <c r="O296">
        <f t="shared" si="220"/>
        <v>110.51947042402004</v>
      </c>
      <c r="P296">
        <f t="shared" si="221"/>
        <v>1.5617480238887096</v>
      </c>
      <c r="Q296">
        <f t="shared" si="222"/>
        <v>104.68226657403048</v>
      </c>
      <c r="R296">
        <f t="shared" si="223"/>
        <v>1.5612434651458575</v>
      </c>
      <c r="S296">
        <f t="shared" si="224"/>
        <v>0.35146696089554152</v>
      </c>
      <c r="T296">
        <f t="shared" si="225"/>
        <v>-1.2116587524942517</v>
      </c>
      <c r="U296">
        <f t="shared" si="226"/>
        <v>0.92834331075371368</v>
      </c>
      <c r="V296">
        <f t="shared" si="227"/>
        <v>-0.38086535303561964</v>
      </c>
      <c r="X296">
        <f t="shared" si="244"/>
        <v>-26.779698835797706</v>
      </c>
      <c r="Y296">
        <f t="shared" si="228"/>
        <v>-162.89152361401827</v>
      </c>
      <c r="Z296">
        <f t="shared" si="245"/>
        <v>17.108476385981731</v>
      </c>
      <c r="AC296">
        <v>1</v>
      </c>
      <c r="AD296">
        <f t="shared" si="229"/>
        <v>110.5149462417</v>
      </c>
      <c r="AE296">
        <f t="shared" si="230"/>
        <v>-3.4163785574282081E-3</v>
      </c>
      <c r="AF296">
        <f t="shared" si="231"/>
        <v>8.5320629825759997E-3</v>
      </c>
      <c r="AG296">
        <f t="shared" si="246"/>
        <v>11122.637945539727</v>
      </c>
      <c r="AH296">
        <f t="shared" si="247"/>
        <v>-4570.8923924755936</v>
      </c>
      <c r="AJ296">
        <f t="shared" si="232"/>
        <v>18000</v>
      </c>
      <c r="AK296">
        <f t="shared" si="233"/>
        <v>47946.484369476006</v>
      </c>
      <c r="AL296">
        <v>1</v>
      </c>
      <c r="AM296">
        <f t="shared" si="234"/>
        <v>104.677490106882</v>
      </c>
      <c r="AN296">
        <f t="shared" si="248"/>
        <v>459.64084581933486</v>
      </c>
      <c r="AO296">
        <f t="shared" si="249"/>
        <v>-167.56572149629216</v>
      </c>
      <c r="AQ296">
        <f t="shared" si="235"/>
        <v>1.4872077822608831E-2</v>
      </c>
      <c r="AR296">
        <f t="shared" si="236"/>
        <v>-12.195103814539241</v>
      </c>
      <c r="AT296">
        <f t="shared" si="261"/>
        <v>-55577.090514208736</v>
      </c>
      <c r="AU296">
        <f t="shared" si="262"/>
        <v>-135709.7031047701</v>
      </c>
      <c r="AV296">
        <f t="shared" si="250"/>
        <v>-1.9594904711461376</v>
      </c>
      <c r="AW296">
        <f t="shared" si="251"/>
        <v>10843.544588815932</v>
      </c>
      <c r="AX296">
        <f t="shared" si="252"/>
        <v>-11530.233920214439</v>
      </c>
      <c r="AY296">
        <f t="shared" si="260"/>
        <v>-0.81608023334406943</v>
      </c>
      <c r="BA296">
        <f t="shared" si="237"/>
        <v>9.2651059678247787</v>
      </c>
      <c r="BB296">
        <f t="shared" si="253"/>
        <v>19.33700781681852</v>
      </c>
      <c r="BC296">
        <f t="shared" si="254"/>
        <v>-1.1434102378020681</v>
      </c>
      <c r="BD296">
        <f t="shared" si="238"/>
        <v>-245.51258095296737</v>
      </c>
      <c r="BF296">
        <f t="shared" si="239"/>
        <v>-35.254260485928356</v>
      </c>
      <c r="BG296">
        <f t="shared" si="240"/>
        <v>-226.09342642443434</v>
      </c>
      <c r="BH296">
        <f t="shared" si="255"/>
        <v>-46.093426424434341</v>
      </c>
      <c r="BI296">
        <f t="shared" si="256"/>
        <v>-46.093426424434341</v>
      </c>
      <c r="BJ296">
        <f t="shared" si="241"/>
        <v>0</v>
      </c>
      <c r="BK296">
        <f t="shared" si="257"/>
        <v>0</v>
      </c>
      <c r="BM296">
        <f t="shared" si="258"/>
        <v>-54.591268302746883</v>
      </c>
      <c r="BN296">
        <f t="shared" si="242"/>
        <v>-160.580845471467</v>
      </c>
      <c r="BQ296" s="56">
        <f t="shared" si="259"/>
        <v>36.238968617103659</v>
      </c>
      <c r="BR296" s="59"/>
      <c r="BS296" s="59"/>
      <c r="BT296" s="59">
        <v>72443.596000000005</v>
      </c>
      <c r="BU296" s="59">
        <v>3.4992100000000002</v>
      </c>
      <c r="BV296" s="59">
        <v>-130.929</v>
      </c>
      <c r="BY296" s="59"/>
      <c r="BZ296" s="59"/>
      <c r="CA296" s="59"/>
      <c r="CC296" s="59"/>
    </row>
    <row r="297" spans="1:81" x14ac:dyDescent="0.25">
      <c r="A297">
        <f t="shared" si="211"/>
        <v>415000</v>
      </c>
      <c r="B297">
        <f t="shared" si="243"/>
        <v>415</v>
      </c>
      <c r="C297">
        <f t="shared" si="212"/>
        <v>1.060148518636602</v>
      </c>
      <c r="D297">
        <f t="shared" si="213"/>
        <v>0.33846919666793202</v>
      </c>
      <c r="F297">
        <f t="shared" si="214"/>
        <v>1.1455740210964018E-4</v>
      </c>
      <c r="G297">
        <f t="shared" si="215"/>
        <v>4.1864735131021888E-3</v>
      </c>
      <c r="H297">
        <f t="shared" si="216"/>
        <v>-3.1374061764868979</v>
      </c>
      <c r="J297">
        <f t="shared" si="217"/>
        <v>15</v>
      </c>
      <c r="M297">
        <f t="shared" si="218"/>
        <v>6.432935577808674E-3</v>
      </c>
      <c r="N297">
        <f t="shared" si="219"/>
        <v>-1.5707963250000001</v>
      </c>
      <c r="O297">
        <f t="shared" si="220"/>
        <v>111.86715916484049</v>
      </c>
      <c r="P297">
        <f t="shared" si="221"/>
        <v>1.5618570337433586</v>
      </c>
      <c r="Q297">
        <f t="shared" si="222"/>
        <v>105.95876378621304</v>
      </c>
      <c r="R297">
        <f t="shared" si="223"/>
        <v>1.5613585529885285</v>
      </c>
      <c r="S297">
        <f t="shared" si="224"/>
        <v>0.34774723521765</v>
      </c>
      <c r="T297">
        <f t="shared" si="225"/>
        <v>-1.2156290197668422</v>
      </c>
      <c r="U297">
        <f t="shared" si="226"/>
        <v>0.92677340630127458</v>
      </c>
      <c r="V297">
        <f t="shared" si="227"/>
        <v>-0.3850666321547257</v>
      </c>
      <c r="X297">
        <f t="shared" si="244"/>
        <v>-26.980658606873131</v>
      </c>
      <c r="Y297">
        <f t="shared" si="228"/>
        <v>-163.13330966112244</v>
      </c>
      <c r="Z297">
        <f t="shared" si="245"/>
        <v>16.866690338877561</v>
      </c>
      <c r="AC297">
        <v>1</v>
      </c>
      <c r="AD297">
        <f t="shared" si="229"/>
        <v>111.86268948855</v>
      </c>
      <c r="AE297">
        <f t="shared" si="230"/>
        <v>-3.500212950940352E-3</v>
      </c>
      <c r="AF297">
        <f t="shared" si="231"/>
        <v>8.6361125311439999E-3</v>
      </c>
      <c r="AG297">
        <f t="shared" si="246"/>
        <v>11085.0511729801</v>
      </c>
      <c r="AH297">
        <f t="shared" si="247"/>
        <v>-4608.5596423127317</v>
      </c>
      <c r="AJ297">
        <f t="shared" si="232"/>
        <v>18000</v>
      </c>
      <c r="AK297">
        <f t="shared" si="233"/>
        <v>48531.197593494006</v>
      </c>
      <c r="AL297">
        <v>1</v>
      </c>
      <c r="AM297">
        <f t="shared" si="234"/>
        <v>105.95404486428301</v>
      </c>
      <c r="AN297">
        <f t="shared" si="248"/>
        <v>459.60250856945379</v>
      </c>
      <c r="AO297">
        <f t="shared" si="249"/>
        <v>-165.54721921091468</v>
      </c>
      <c r="AQ297">
        <f t="shared" si="235"/>
        <v>1.4515873833830985E-2</v>
      </c>
      <c r="AR297">
        <f t="shared" si="236"/>
        <v>-12.048175282079718</v>
      </c>
      <c r="AT297">
        <f t="shared" si="261"/>
        <v>-55363.825164233866</v>
      </c>
      <c r="AU297">
        <f t="shared" si="262"/>
        <v>-133621.53681321113</v>
      </c>
      <c r="AV297">
        <f t="shared" si="250"/>
        <v>-1.963597433307019</v>
      </c>
      <c r="AW297">
        <f t="shared" si="251"/>
        <v>10850.3018616672</v>
      </c>
      <c r="AX297">
        <f t="shared" si="252"/>
        <v>-11494.352435641566</v>
      </c>
      <c r="AY297">
        <f t="shared" si="260"/>
        <v>-0.81421365979134064</v>
      </c>
      <c r="BA297">
        <f t="shared" si="237"/>
        <v>9.1504088847372902</v>
      </c>
      <c r="BB297">
        <f t="shared" si="253"/>
        <v>19.228810017760864</v>
      </c>
      <c r="BC297">
        <f t="shared" si="254"/>
        <v>-1.1493837735156784</v>
      </c>
      <c r="BD297">
        <f t="shared" si="238"/>
        <v>-245.85483933851899</v>
      </c>
      <c r="BF297">
        <f t="shared" si="239"/>
        <v>-35.561567458275384</v>
      </c>
      <c r="BG297">
        <f t="shared" si="240"/>
        <v>-226.22211558848531</v>
      </c>
      <c r="BH297">
        <f t="shared" si="255"/>
        <v>-46.222115588485309</v>
      </c>
      <c r="BI297">
        <f t="shared" si="256"/>
        <v>-46.222115588485309</v>
      </c>
      <c r="BJ297">
        <f t="shared" si="241"/>
        <v>0</v>
      </c>
      <c r="BK297">
        <f t="shared" si="257"/>
        <v>0</v>
      </c>
      <c r="BM297">
        <f t="shared" si="258"/>
        <v>-54.790377476036241</v>
      </c>
      <c r="BN297">
        <f t="shared" si="242"/>
        <v>-160.36727624996635</v>
      </c>
      <c r="BQ297" s="56">
        <f t="shared" si="259"/>
        <v>36.130770818046003</v>
      </c>
      <c r="BR297" s="59"/>
      <c r="BS297" s="59"/>
      <c r="BT297" s="59">
        <v>74131.024000000005</v>
      </c>
      <c r="BU297" s="59">
        <v>3.6540400000000002</v>
      </c>
      <c r="BV297" s="59">
        <v>-130.88900000000001</v>
      </c>
      <c r="BY297" s="59"/>
      <c r="BZ297" s="59"/>
      <c r="CA297" s="59"/>
      <c r="CC297" s="59"/>
    </row>
    <row r="298" spans="1:81" x14ac:dyDescent="0.25">
      <c r="A298">
        <f t="shared" si="211"/>
        <v>420000</v>
      </c>
      <c r="B298">
        <f t="shared" si="243"/>
        <v>420</v>
      </c>
      <c r="C298">
        <f t="shared" si="212"/>
        <v>1.0615643031310074</v>
      </c>
      <c r="D298">
        <f t="shared" si="213"/>
        <v>0.34223772384516288</v>
      </c>
      <c r="F298">
        <f t="shared" si="214"/>
        <v>1.1184579319071616E-4</v>
      </c>
      <c r="G298">
        <f t="shared" si="215"/>
        <v>4.1366236350888408E-3</v>
      </c>
      <c r="H298">
        <f t="shared" si="216"/>
        <v>-3.1374560263649114</v>
      </c>
      <c r="J298">
        <f t="shared" si="217"/>
        <v>15</v>
      </c>
      <c r="M298">
        <f t="shared" si="218"/>
        <v>6.3563530114061897E-3</v>
      </c>
      <c r="N298">
        <f t="shared" si="219"/>
        <v>-1.5707963250000001</v>
      </c>
      <c r="O298">
        <f t="shared" si="220"/>
        <v>113.21484920334667</v>
      </c>
      <c r="P298">
        <f t="shared" si="221"/>
        <v>1.5619634483302303</v>
      </c>
      <c r="Q298">
        <f t="shared" si="222"/>
        <v>107.23526236842942</v>
      </c>
      <c r="R298">
        <f t="shared" si="223"/>
        <v>1.5614709008856527</v>
      </c>
      <c r="S298">
        <f t="shared" si="224"/>
        <v>0.34410016509801056</v>
      </c>
      <c r="T298">
        <f t="shared" si="225"/>
        <v>-1.2195160692682177</v>
      </c>
      <c r="U298">
        <f t="shared" si="226"/>
        <v>0.92519255500093123</v>
      </c>
      <c r="V298">
        <f t="shared" si="227"/>
        <v>-0.38925365223659103</v>
      </c>
      <c r="X298">
        <f t="shared" si="244"/>
        <v>-27.179535018195693</v>
      </c>
      <c r="Y298">
        <f t="shared" si="228"/>
        <v>-163.37032109034297</v>
      </c>
      <c r="Z298">
        <f t="shared" si="245"/>
        <v>16.629678909657031</v>
      </c>
      <c r="AC298">
        <v>1</v>
      </c>
      <c r="AD298">
        <f t="shared" si="229"/>
        <v>113.2104327354</v>
      </c>
      <c r="AE298">
        <f t="shared" si="230"/>
        <v>-3.5850635189193097E-3</v>
      </c>
      <c r="AF298">
        <f t="shared" si="231"/>
        <v>8.7401620797120001E-3</v>
      </c>
      <c r="AG298">
        <f t="shared" si="246"/>
        <v>11047.266593179402</v>
      </c>
      <c r="AH298">
        <f t="shared" si="247"/>
        <v>-4645.8122946298345</v>
      </c>
      <c r="AJ298">
        <f t="shared" si="232"/>
        <v>18000</v>
      </c>
      <c r="AK298">
        <f t="shared" si="233"/>
        <v>49115.910817512005</v>
      </c>
      <c r="AL298">
        <v>1</v>
      </c>
      <c r="AM298">
        <f t="shared" si="234"/>
        <v>107.23059962168401</v>
      </c>
      <c r="AN298">
        <f t="shared" si="248"/>
        <v>459.56553218191232</v>
      </c>
      <c r="AO298">
        <f t="shared" si="249"/>
        <v>-163.57676381277165</v>
      </c>
      <c r="AQ298">
        <f t="shared" si="235"/>
        <v>1.4172315515425856E-2</v>
      </c>
      <c r="AR298">
        <f t="shared" si="236"/>
        <v>-11.90474503295772</v>
      </c>
      <c r="AT298">
        <f t="shared" si="261"/>
        <v>-55150.64549080687</v>
      </c>
      <c r="AU298">
        <f t="shared" si="262"/>
        <v>-131580.73402057719</v>
      </c>
      <c r="AV298">
        <f t="shared" si="250"/>
        <v>-1.9676923818680714</v>
      </c>
      <c r="AW298">
        <f t="shared" si="251"/>
        <v>10855.108541967345</v>
      </c>
      <c r="AX298">
        <f t="shared" si="252"/>
        <v>-11459.882019492008</v>
      </c>
      <c r="AY298">
        <f t="shared" si="260"/>
        <v>-0.81249319945783072</v>
      </c>
      <c r="BA298">
        <f t="shared" si="237"/>
        <v>9.0384778020977805</v>
      </c>
      <c r="BB298">
        <f t="shared" si="253"/>
        <v>19.121905915229359</v>
      </c>
      <c r="BC298">
        <f t="shared" si="254"/>
        <v>-1.1551991824102408</v>
      </c>
      <c r="BD298">
        <f t="shared" si="238"/>
        <v>-246.18803772470096</v>
      </c>
      <c r="BF298">
        <f t="shared" si="239"/>
        <v>-35.864949703090751</v>
      </c>
      <c r="BG298">
        <f t="shared" si="240"/>
        <v>-226.34224945980759</v>
      </c>
      <c r="BH298">
        <f t="shared" si="255"/>
        <v>-46.34224945980759</v>
      </c>
      <c r="BI298">
        <f t="shared" si="256"/>
        <v>-46.34224945980759</v>
      </c>
      <c r="BJ298">
        <f t="shared" si="241"/>
        <v>0</v>
      </c>
      <c r="BK298">
        <f t="shared" si="257"/>
        <v>0</v>
      </c>
      <c r="BM298">
        <f t="shared" si="258"/>
        <v>-54.986855618320114</v>
      </c>
      <c r="BN298">
        <f t="shared" si="242"/>
        <v>-160.15421173510663</v>
      </c>
      <c r="BQ298" s="56">
        <f t="shared" si="259"/>
        <v>36.023866715514494</v>
      </c>
      <c r="BR298" s="59"/>
      <c r="BS298" s="59"/>
      <c r="BT298" s="59">
        <v>75857.758000000002</v>
      </c>
      <c r="BU298" s="59">
        <v>3.8307899999999999</v>
      </c>
      <c r="BV298" s="59">
        <v>-130.62200000000001</v>
      </c>
      <c r="BY298" s="59"/>
      <c r="BZ298" s="59"/>
      <c r="CA298" s="59"/>
      <c r="CC298" s="59"/>
    </row>
    <row r="299" spans="1:81" x14ac:dyDescent="0.25">
      <c r="A299">
        <f t="shared" si="211"/>
        <v>425000</v>
      </c>
      <c r="B299">
        <f t="shared" si="243"/>
        <v>425</v>
      </c>
      <c r="C299">
        <f t="shared" si="212"/>
        <v>1.0629951234622954</v>
      </c>
      <c r="D299">
        <f t="shared" si="213"/>
        <v>0.34599615919977711</v>
      </c>
      <c r="F299">
        <f t="shared" si="214"/>
        <v>1.0922933722918341E-4</v>
      </c>
      <c r="G299">
        <f t="shared" si="215"/>
        <v>4.0879470736360241E-3</v>
      </c>
      <c r="H299">
        <f t="shared" si="216"/>
        <v>-3.1375047029263641</v>
      </c>
      <c r="J299">
        <f t="shared" si="217"/>
        <v>15</v>
      </c>
      <c r="M299">
        <f t="shared" si="218"/>
        <v>6.2815723877425881E-3</v>
      </c>
      <c r="N299">
        <f t="shared" si="219"/>
        <v>-1.5707963250000001</v>
      </c>
      <c r="O299">
        <f t="shared" si="220"/>
        <v>114.56254049374151</v>
      </c>
      <c r="P299">
        <f t="shared" si="221"/>
        <v>1.5620673592375363</v>
      </c>
      <c r="Q299">
        <f t="shared" si="222"/>
        <v>108.51176227232965</v>
      </c>
      <c r="R299">
        <f t="shared" si="223"/>
        <v>1.5615806055300416</v>
      </c>
      <c r="S299">
        <f t="shared" si="224"/>
        <v>0.34052381389955971</v>
      </c>
      <c r="T299">
        <f t="shared" si="225"/>
        <v>-1.2233223764072538</v>
      </c>
      <c r="U299">
        <f t="shared" si="226"/>
        <v>0.92360097862827495</v>
      </c>
      <c r="V299">
        <f t="shared" si="227"/>
        <v>-0.39342633969355645</v>
      </c>
      <c r="X299">
        <f t="shared" si="244"/>
        <v>-27.376369512691273</v>
      </c>
      <c r="Y299">
        <f t="shared" si="228"/>
        <v>-163.6026910143068</v>
      </c>
      <c r="Z299">
        <f t="shared" si="245"/>
        <v>16.397308985693201</v>
      </c>
      <c r="AC299">
        <v>1</v>
      </c>
      <c r="AD299">
        <f t="shared" si="229"/>
        <v>114.55817598224999</v>
      </c>
      <c r="AE299">
        <f t="shared" si="230"/>
        <v>-3.6709302613650808E-3</v>
      </c>
      <c r="AF299">
        <f t="shared" si="231"/>
        <v>8.8442116282800003E-3</v>
      </c>
      <c r="AG299">
        <f t="shared" si="246"/>
        <v>11009.290833304185</v>
      </c>
      <c r="AH299">
        <f t="shared" si="247"/>
        <v>-4682.6490157381822</v>
      </c>
      <c r="AJ299">
        <f t="shared" si="232"/>
        <v>18000</v>
      </c>
      <c r="AK299">
        <f t="shared" si="233"/>
        <v>49700.624041530005</v>
      </c>
      <c r="AL299">
        <v>1</v>
      </c>
      <c r="AM299">
        <f t="shared" si="234"/>
        <v>108.50715437908499</v>
      </c>
      <c r="AN299">
        <f t="shared" si="248"/>
        <v>459.52985300347223</v>
      </c>
      <c r="AO299">
        <f t="shared" si="249"/>
        <v>-161.65266011599962</v>
      </c>
      <c r="AQ299">
        <f t="shared" si="235"/>
        <v>1.384081129299475E-2</v>
      </c>
      <c r="AR299">
        <f t="shared" si="236"/>
        <v>-11.764689599045537</v>
      </c>
      <c r="AT299">
        <f t="shared" si="261"/>
        <v>-54937.53465454236</v>
      </c>
      <c r="AU299">
        <f t="shared" si="262"/>
        <v>-129585.70102081928</v>
      </c>
      <c r="AV299">
        <f t="shared" si="250"/>
        <v>-1.9717751640003556</v>
      </c>
      <c r="AW299">
        <f t="shared" si="251"/>
        <v>10858.052934038469</v>
      </c>
      <c r="AX299">
        <f t="shared" si="252"/>
        <v>-11426.754196702366</v>
      </c>
      <c r="AY299">
        <f t="shared" si="260"/>
        <v>-0.81091231082351967</v>
      </c>
      <c r="BA299">
        <f t="shared" si="237"/>
        <v>8.9292177517896398</v>
      </c>
      <c r="BB299">
        <f t="shared" si="253"/>
        <v>19.016268279760329</v>
      </c>
      <c r="BC299">
        <f t="shared" si="254"/>
        <v>-1.1608628531768359</v>
      </c>
      <c r="BD299">
        <f t="shared" si="238"/>
        <v>-246.5125421565493</v>
      </c>
      <c r="BF299">
        <f t="shared" si="239"/>
        <v>-36.164495125614096</v>
      </c>
      <c r="BG299">
        <f t="shared" si="240"/>
        <v>-226.45420036955332</v>
      </c>
      <c r="BH299">
        <f t="shared" si="255"/>
        <v>-46.45420036955332</v>
      </c>
      <c r="BI299">
        <f t="shared" si="256"/>
        <v>-46.45420036955332</v>
      </c>
      <c r="BJ299">
        <f t="shared" si="241"/>
        <v>0</v>
      </c>
      <c r="BK299">
        <f t="shared" si="257"/>
        <v>0</v>
      </c>
      <c r="BM299">
        <f t="shared" si="258"/>
        <v>-55.180763405374421</v>
      </c>
      <c r="BN299">
        <f t="shared" si="242"/>
        <v>-159.94165821300402</v>
      </c>
      <c r="BQ299" s="56">
        <f t="shared" si="259"/>
        <v>35.918229080045464</v>
      </c>
      <c r="BR299" s="59"/>
      <c r="BS299" s="59"/>
      <c r="BT299" s="59">
        <v>77624.712</v>
      </c>
      <c r="BU299" s="59">
        <v>4.0309799999999996</v>
      </c>
      <c r="BV299" s="59">
        <v>-130.36099999999999</v>
      </c>
      <c r="BY299" s="59"/>
      <c r="BZ299" s="59"/>
      <c r="CA299" s="59"/>
      <c r="CC299" s="59"/>
    </row>
    <row r="300" spans="1:81" x14ac:dyDescent="0.25">
      <c r="A300">
        <f t="shared" ref="A300:A363" si="263">A299+5000</f>
        <v>430000</v>
      </c>
      <c r="B300">
        <f t="shared" si="243"/>
        <v>430</v>
      </c>
      <c r="C300">
        <f t="shared" si="212"/>
        <v>1.0644409189970008</v>
      </c>
      <c r="D300">
        <f t="shared" si="213"/>
        <v>0.34974443746132872</v>
      </c>
      <c r="F300">
        <f t="shared" si="214"/>
        <v>1.0670363358927555E-4</v>
      </c>
      <c r="G300">
        <f t="shared" si="215"/>
        <v>4.0404028818062567E-3</v>
      </c>
      <c r="H300">
        <f t="shared" si="216"/>
        <v>-3.1375522471181938</v>
      </c>
      <c r="J300">
        <f t="shared" si="217"/>
        <v>15</v>
      </c>
      <c r="M300">
        <f t="shared" si="218"/>
        <v>6.2085308483502324E-3</v>
      </c>
      <c r="N300">
        <f t="shared" si="219"/>
        <v>-1.5707963250000001</v>
      </c>
      <c r="O300">
        <f t="shared" si="220"/>
        <v>115.91023299235773</v>
      </c>
      <c r="P300">
        <f t="shared" si="221"/>
        <v>1.5621688537941127</v>
      </c>
      <c r="Q300">
        <f t="shared" si="222"/>
        <v>109.78826345181237</v>
      </c>
      <c r="R300">
        <f t="shared" si="223"/>
        <v>1.5616877591178036</v>
      </c>
      <c r="S300">
        <f t="shared" si="224"/>
        <v>0.33701630549362072</v>
      </c>
      <c r="T300">
        <f t="shared" si="225"/>
        <v>-1.2270503241778818</v>
      </c>
      <c r="U300">
        <f t="shared" si="226"/>
        <v>0.92199889827159265</v>
      </c>
      <c r="V300">
        <f t="shared" si="227"/>
        <v>-0.39758462343721196</v>
      </c>
      <c r="X300">
        <f t="shared" si="244"/>
        <v>-27.571202350444651</v>
      </c>
      <c r="Y300">
        <f t="shared" si="228"/>
        <v>-163.83054769522954</v>
      </c>
      <c r="Z300">
        <f t="shared" si="245"/>
        <v>16.169452304770459</v>
      </c>
      <c r="AC300">
        <v>1</v>
      </c>
      <c r="AD300">
        <f t="shared" si="229"/>
        <v>115.90591922910001</v>
      </c>
      <c r="AE300">
        <f t="shared" si="230"/>
        <v>-3.7578131782776652E-3</v>
      </c>
      <c r="AF300">
        <f t="shared" si="231"/>
        <v>8.9482611768479988E-3</v>
      </c>
      <c r="AG300">
        <f t="shared" si="246"/>
        <v>10971.130476751787</v>
      </c>
      <c r="AH300">
        <f t="shared" si="247"/>
        <v>-4719.0686382062095</v>
      </c>
      <c r="AJ300">
        <f t="shared" si="232"/>
        <v>18000</v>
      </c>
      <c r="AK300">
        <f t="shared" si="233"/>
        <v>50285.337265548005</v>
      </c>
      <c r="AL300">
        <v>1</v>
      </c>
      <c r="AM300">
        <f t="shared" si="234"/>
        <v>109.783709136486</v>
      </c>
      <c r="AN300">
        <f t="shared" si="248"/>
        <v>459.49541105939863</v>
      </c>
      <c r="AO300">
        <f t="shared" si="249"/>
        <v>-159.77329174708231</v>
      </c>
      <c r="AQ300">
        <f t="shared" si="235"/>
        <v>1.3520803784743395E-2</v>
      </c>
      <c r="AR300">
        <f t="shared" si="236"/>
        <v>-11.627891254879319</v>
      </c>
      <c r="AT300">
        <f t="shared" si="261"/>
        <v>-54724.478446900262</v>
      </c>
      <c r="AU300">
        <f t="shared" si="262"/>
        <v>-127634.91772786599</v>
      </c>
      <c r="AV300">
        <f t="shared" si="250"/>
        <v>-1.9758456330592802</v>
      </c>
      <c r="AW300">
        <f t="shared" si="251"/>
        <v>10859.21861802294</v>
      </c>
      <c r="AX300">
        <f t="shared" si="252"/>
        <v>-11394.903841654559</v>
      </c>
      <c r="AY300">
        <f t="shared" si="260"/>
        <v>-0.80946479631654988</v>
      </c>
      <c r="BA300">
        <f t="shared" si="237"/>
        <v>8.8225377308390662</v>
      </c>
      <c r="BB300">
        <f t="shared" si="253"/>
        <v>18.911870487163604</v>
      </c>
      <c r="BC300">
        <f t="shared" si="254"/>
        <v>-1.1663808367427304</v>
      </c>
      <c r="BD300">
        <f t="shared" si="238"/>
        <v>-246.82869932665886</v>
      </c>
      <c r="BF300">
        <f t="shared" si="239"/>
        <v>-36.460288931737836</v>
      </c>
      <c r="BG300">
        <f t="shared" si="240"/>
        <v>-226.55832109612527</v>
      </c>
      <c r="BH300">
        <f t="shared" si="255"/>
        <v>-46.558321096125269</v>
      </c>
      <c r="BI300">
        <f t="shared" si="256"/>
        <v>-46.558321096125269</v>
      </c>
      <c r="BJ300">
        <f t="shared" si="241"/>
        <v>0</v>
      </c>
      <c r="BK300">
        <f t="shared" si="257"/>
        <v>0</v>
      </c>
      <c r="BM300">
        <f t="shared" si="258"/>
        <v>-55.372159418901433</v>
      </c>
      <c r="BN300">
        <f t="shared" si="242"/>
        <v>-159.72962176946641</v>
      </c>
      <c r="BQ300" s="56">
        <f t="shared" si="259"/>
        <v>35.813831287448743</v>
      </c>
      <c r="BR300" s="59"/>
      <c r="BS300" s="59"/>
      <c r="BT300" s="59">
        <v>79432.823000000004</v>
      </c>
      <c r="BU300" s="59">
        <v>4.23407</v>
      </c>
      <c r="BV300" s="59">
        <v>-130.17400000000001</v>
      </c>
      <c r="BY300" s="59"/>
      <c r="BZ300" s="59"/>
      <c r="CA300" s="59"/>
      <c r="CC300" s="59"/>
    </row>
    <row r="301" spans="1:81" x14ac:dyDescent="0.25">
      <c r="A301">
        <f t="shared" si="263"/>
        <v>435000</v>
      </c>
      <c r="B301">
        <f t="shared" si="243"/>
        <v>435</v>
      </c>
      <c r="C301">
        <f t="shared" si="212"/>
        <v>1.065901628797751</v>
      </c>
      <c r="D301">
        <f t="shared" si="213"/>
        <v>0.35348249485325783</v>
      </c>
      <c r="F301">
        <f t="shared" si="214"/>
        <v>1.0426453313375931E-4</v>
      </c>
      <c r="G301">
        <f t="shared" si="215"/>
        <v>3.9939519962566448E-3</v>
      </c>
      <c r="H301">
        <f t="shared" si="216"/>
        <v>-3.1375986980037434</v>
      </c>
      <c r="J301">
        <f t="shared" si="217"/>
        <v>15</v>
      </c>
      <c r="M301">
        <f t="shared" si="218"/>
        <v>6.137168424805977E-3</v>
      </c>
      <c r="N301">
        <f t="shared" si="219"/>
        <v>-1.5707963250000001</v>
      </c>
      <c r="O301">
        <f t="shared" si="220"/>
        <v>117.25792665753563</v>
      </c>
      <c r="P301">
        <f t="shared" si="221"/>
        <v>1.5622680153141759</v>
      </c>
      <c r="Q301">
        <f t="shared" si="222"/>
        <v>111.0647658628956</v>
      </c>
      <c r="R301">
        <f t="shared" si="223"/>
        <v>1.5617924496067312</v>
      </c>
      <c r="S301">
        <f t="shared" si="224"/>
        <v>0.33357582237184374</v>
      </c>
      <c r="T301">
        <f t="shared" si="225"/>
        <v>-1.2307022071776696</v>
      </c>
      <c r="U301">
        <f t="shared" si="226"/>
        <v>0.92038653427091777</v>
      </c>
      <c r="V301">
        <f t="shared" si="227"/>
        <v>-0.40172843486147186</v>
      </c>
      <c r="X301">
        <f t="shared" si="244"/>
        <v>-27.76407265132714</v>
      </c>
      <c r="Y301">
        <f t="shared" si="228"/>
        <v>-164.05401475215749</v>
      </c>
      <c r="Z301">
        <f t="shared" si="245"/>
        <v>15.945985247842515</v>
      </c>
      <c r="AC301">
        <v>1</v>
      </c>
      <c r="AD301">
        <f t="shared" si="229"/>
        <v>117.25366247595001</v>
      </c>
      <c r="AE301">
        <f t="shared" si="230"/>
        <v>-3.8457122696570647E-3</v>
      </c>
      <c r="AF301">
        <f t="shared" si="231"/>
        <v>9.0523107254160008E-3</v>
      </c>
      <c r="AG301">
        <f t="shared" si="246"/>
        <v>10932.792061237749</v>
      </c>
      <c r="AH301">
        <f t="shared" si="247"/>
        <v>-4755.0701558063511</v>
      </c>
      <c r="AJ301">
        <f t="shared" si="232"/>
        <v>18000</v>
      </c>
      <c r="AK301">
        <f t="shared" si="233"/>
        <v>50870.050489566005</v>
      </c>
      <c r="AL301">
        <v>1</v>
      </c>
      <c r="AM301">
        <f t="shared" si="234"/>
        <v>111.060263893887</v>
      </c>
      <c r="AN301">
        <f t="shared" si="248"/>
        <v>459.46214980128792</v>
      </c>
      <c r="AO301">
        <f t="shared" si="249"/>
        <v>-157.93711661767611</v>
      </c>
      <c r="AQ301">
        <f t="shared" si="235"/>
        <v>1.3211767457038635E-2</v>
      </c>
      <c r="AR301">
        <f t="shared" si="236"/>
        <v>-11.494237687623613</v>
      </c>
      <c r="AT301">
        <f t="shared" si="261"/>
        <v>-54511.465085794422</v>
      </c>
      <c r="AU301">
        <f t="shared" si="262"/>
        <v>-125726.9334223716</v>
      </c>
      <c r="AV301">
        <f t="shared" si="250"/>
        <v>-1.9799036483559311</v>
      </c>
      <c r="AW301">
        <f t="shared" si="251"/>
        <v>10858.684768243449</v>
      </c>
      <c r="AX301">
        <f t="shared" si="252"/>
        <v>-11364.268987441474</v>
      </c>
      <c r="AY301">
        <f t="shared" si="260"/>
        <v>-0.80814478042574245</v>
      </c>
      <c r="BA301">
        <f t="shared" si="237"/>
        <v>8.7183505281188687</v>
      </c>
      <c r="BB301">
        <f t="shared" si="253"/>
        <v>18.808686523657215</v>
      </c>
      <c r="BC301">
        <f t="shared" si="254"/>
        <v>-1.1717588679301887</v>
      </c>
      <c r="BD301">
        <f t="shared" si="238"/>
        <v>-247.13683781614208</v>
      </c>
      <c r="BF301">
        <f t="shared" si="239"/>
        <v>-36.752413719677385</v>
      </c>
      <c r="BG301">
        <f t="shared" si="240"/>
        <v>-226.65494611292817</v>
      </c>
      <c r="BH301">
        <f t="shared" si="255"/>
        <v>-46.654946112928172</v>
      </c>
      <c r="BI301">
        <f t="shared" si="256"/>
        <v>-46.654946112928172</v>
      </c>
      <c r="BJ301">
        <f t="shared" si="241"/>
        <v>0</v>
      </c>
      <c r="BK301">
        <f t="shared" si="257"/>
        <v>0</v>
      </c>
      <c r="BM301">
        <f t="shared" si="258"/>
        <v>-55.5611002433346</v>
      </c>
      <c r="BN301">
        <f t="shared" si="242"/>
        <v>-159.51810829678612</v>
      </c>
      <c r="BQ301" s="56">
        <f t="shared" si="259"/>
        <v>35.710647323942354</v>
      </c>
      <c r="BR301" s="59"/>
      <c r="BS301" s="59"/>
      <c r="BT301" s="59">
        <v>81283.051999999996</v>
      </c>
      <c r="BU301" s="59">
        <v>4.4202000000000004</v>
      </c>
      <c r="BV301" s="59">
        <v>-130.05699999999999</v>
      </c>
      <c r="BY301" s="59"/>
      <c r="BZ301" s="59"/>
      <c r="CA301" s="59"/>
      <c r="CC301" s="59"/>
    </row>
    <row r="302" spans="1:81" x14ac:dyDescent="0.25">
      <c r="A302">
        <f t="shared" si="263"/>
        <v>440000</v>
      </c>
      <c r="B302">
        <f t="shared" si="243"/>
        <v>440</v>
      </c>
      <c r="C302">
        <f t="shared" si="212"/>
        <v>1.0673771916338559</v>
      </c>
      <c r="D302">
        <f t="shared" si="213"/>
        <v>0.35721026908883591</v>
      </c>
      <c r="F302">
        <f t="shared" si="214"/>
        <v>1.0190812117057157E-4</v>
      </c>
      <c r="G302">
        <f t="shared" si="215"/>
        <v>3.9485571301509804E-3</v>
      </c>
      <c r="H302">
        <f t="shared" si="216"/>
        <v>-3.137644092869849</v>
      </c>
      <c r="J302">
        <f t="shared" si="217"/>
        <v>15</v>
      </c>
      <c r="M302">
        <f t="shared" si="218"/>
        <v>6.0674278745240897E-3</v>
      </c>
      <c r="N302">
        <f t="shared" si="219"/>
        <v>-1.5707963250000001</v>
      </c>
      <c r="O302">
        <f t="shared" si="220"/>
        <v>118.60562144950896</v>
      </c>
      <c r="P302">
        <f t="shared" si="221"/>
        <v>1.5623649233253902</v>
      </c>
      <c r="Q302">
        <f t="shared" si="222"/>
        <v>112.34126946359636</v>
      </c>
      <c r="R302">
        <f t="shared" si="223"/>
        <v>1.5618947609570766</v>
      </c>
      <c r="S302">
        <f t="shared" si="224"/>
        <v>0.33020060379281346</v>
      </c>
      <c r="T302">
        <f t="shared" si="225"/>
        <v>-1.2342802354348803</v>
      </c>
      <c r="U302">
        <f t="shared" si="226"/>
        <v>0.91876410615860749</v>
      </c>
      <c r="V302">
        <f t="shared" si="227"/>
        <v>-0.40585770782493946</v>
      </c>
      <c r="X302">
        <f t="shared" si="244"/>
        <v>-27.955018435772022</v>
      </c>
      <c r="Y302">
        <f t="shared" si="228"/>
        <v>-164.2732113587374</v>
      </c>
      <c r="Z302">
        <f t="shared" si="245"/>
        <v>15.726788641262601</v>
      </c>
      <c r="AC302">
        <v>1</v>
      </c>
      <c r="AD302">
        <f t="shared" si="229"/>
        <v>118.60140572280001</v>
      </c>
      <c r="AE302">
        <f t="shared" si="230"/>
        <v>-3.9346275355032776E-3</v>
      </c>
      <c r="AF302">
        <f t="shared" si="231"/>
        <v>9.1563602739839992E-3</v>
      </c>
      <c r="AG302">
        <f t="shared" si="246"/>
        <v>10894.282076950203</v>
      </c>
      <c r="AH302">
        <f t="shared" si="247"/>
        <v>-4790.652718650852</v>
      </c>
      <c r="AJ302">
        <f t="shared" si="232"/>
        <v>18000</v>
      </c>
      <c r="AK302">
        <f t="shared" si="233"/>
        <v>51454.763713584005</v>
      </c>
      <c r="AL302">
        <v>1</v>
      </c>
      <c r="AM302">
        <f t="shared" si="234"/>
        <v>112.336818651288</v>
      </c>
      <c r="AN302">
        <f t="shared" si="248"/>
        <v>459.43001587483701</v>
      </c>
      <c r="AO302">
        <f t="shared" si="249"/>
        <v>-156.14266270592887</v>
      </c>
      <c r="AQ302">
        <f t="shared" si="235"/>
        <v>1.2913206465384214E-2</v>
      </c>
      <c r="AR302">
        <f t="shared" si="236"/>
        <v>-11.363621689538107</v>
      </c>
      <c r="AT302">
        <f t="shared" si="261"/>
        <v>-54298.485026953727</v>
      </c>
      <c r="AU302">
        <f t="shared" si="262"/>
        <v>-123860.36278923746</v>
      </c>
      <c r="AV302">
        <f t="shared" si="250"/>
        <v>-1.9839490749421156</v>
      </c>
      <c r="AW302">
        <f t="shared" si="251"/>
        <v>10856.526446296404</v>
      </c>
      <c r="AX302">
        <f t="shared" si="252"/>
        <v>-11334.790648218757</v>
      </c>
      <c r="AY302">
        <f t="shared" si="260"/>
        <v>-0.80694668942789693</v>
      </c>
      <c r="BA302">
        <f t="shared" si="237"/>
        <v>8.6165725564812163</v>
      </c>
      <c r="BB302">
        <f t="shared" si="253"/>
        <v>18.706690987457591</v>
      </c>
      <c r="BC302">
        <f t="shared" si="254"/>
        <v>-1.1770023855142187</v>
      </c>
      <c r="BD302">
        <f t="shared" si="238"/>
        <v>-247.43726924385291</v>
      </c>
      <c r="BF302">
        <f t="shared" si="239"/>
        <v>-37.040949569640532</v>
      </c>
      <c r="BG302">
        <f t="shared" si="240"/>
        <v>-226.74439274396113</v>
      </c>
      <c r="BH302">
        <f t="shared" si="255"/>
        <v>-46.744392743961129</v>
      </c>
      <c r="BI302">
        <f t="shared" si="256"/>
        <v>-46.744392743961129</v>
      </c>
      <c r="BJ302">
        <f t="shared" si="241"/>
        <v>0</v>
      </c>
      <c r="BK302">
        <f t="shared" si="257"/>
        <v>0</v>
      </c>
      <c r="BM302">
        <f t="shared" si="258"/>
        <v>-55.747640557098123</v>
      </c>
      <c r="BN302">
        <f t="shared" si="242"/>
        <v>-159.30712350010825</v>
      </c>
      <c r="BQ302" s="56">
        <f t="shared" si="259"/>
        <v>35.608651787742723</v>
      </c>
      <c r="BR302" s="59"/>
      <c r="BS302" s="59"/>
      <c r="BT302" s="59">
        <v>83176.376999999993</v>
      </c>
      <c r="BU302" s="59">
        <v>4.5639399999999997</v>
      </c>
      <c r="BV302" s="59">
        <v>-130.11600000000001</v>
      </c>
      <c r="BY302" s="59"/>
      <c r="BZ302" s="59"/>
      <c r="CA302" s="59"/>
      <c r="CC302" s="59"/>
    </row>
    <row r="303" spans="1:81" x14ac:dyDescent="0.25">
      <c r="A303">
        <f t="shared" si="263"/>
        <v>445000</v>
      </c>
      <c r="B303">
        <f t="shared" si="243"/>
        <v>445</v>
      </c>
      <c r="C303">
        <f t="shared" si="212"/>
        <v>1.0688675459918389</v>
      </c>
      <c r="D303">
        <f t="shared" si="213"/>
        <v>0.36092769936669589</v>
      </c>
      <c r="F303">
        <f t="shared" si="214"/>
        <v>9.9630701733468432E-5</v>
      </c>
      <c r="G303">
        <f t="shared" si="215"/>
        <v>3.9041826732963167E-3</v>
      </c>
      <c r="H303">
        <f t="shared" si="216"/>
        <v>-3.1376884673267038</v>
      </c>
      <c r="J303">
        <f t="shared" si="217"/>
        <v>15</v>
      </c>
      <c r="M303">
        <f t="shared" si="218"/>
        <v>5.9992545276193248E-3</v>
      </c>
      <c r="N303">
        <f t="shared" si="219"/>
        <v>-1.5707963250000001</v>
      </c>
      <c r="O303">
        <f t="shared" si="220"/>
        <v>119.9533173302985</v>
      </c>
      <c r="P303">
        <f t="shared" si="221"/>
        <v>1.562459653781568</v>
      </c>
      <c r="Q303">
        <f t="shared" si="222"/>
        <v>113.61777421381832</v>
      </c>
      <c r="R303">
        <f t="shared" si="223"/>
        <v>1.5619947733560959</v>
      </c>
      <c r="S303">
        <f t="shared" si="224"/>
        <v>0.3268889439665163</v>
      </c>
      <c r="T303">
        <f t="shared" si="225"/>
        <v>-1.2377865380533162</v>
      </c>
      <c r="U303">
        <f t="shared" si="226"/>
        <v>0.91713183260145259</v>
      </c>
      <c r="V303">
        <f t="shared" si="227"/>
        <v>-0.4099723786325859</v>
      </c>
      <c r="X303">
        <f t="shared" si="244"/>
        <v>-28.144076663795666</v>
      </c>
      <c r="Y303">
        <f t="shared" si="228"/>
        <v>-164.4882524319263</v>
      </c>
      <c r="Z303">
        <f t="shared" si="245"/>
        <v>15.511747568073702</v>
      </c>
      <c r="AC303">
        <v>1</v>
      </c>
      <c r="AD303">
        <f t="shared" si="229"/>
        <v>119.94914896965</v>
      </c>
      <c r="AE303">
        <f t="shared" si="230"/>
        <v>-4.0245589758163046E-3</v>
      </c>
      <c r="AF303">
        <f t="shared" si="231"/>
        <v>9.2604098225519994E-3</v>
      </c>
      <c r="AG303">
        <f t="shared" si="246"/>
        <v>10855.606964770923</v>
      </c>
      <c r="AH303">
        <f t="shared" si="247"/>
        <v>-4825.8156285017776</v>
      </c>
      <c r="AJ303">
        <f t="shared" si="232"/>
        <v>18000</v>
      </c>
      <c r="AK303">
        <f t="shared" si="233"/>
        <v>52039.476937602005</v>
      </c>
      <c r="AL303">
        <v>1</v>
      </c>
      <c r="AM303">
        <f t="shared" si="234"/>
        <v>113.613373408689</v>
      </c>
      <c r="AN303">
        <f t="shared" si="248"/>
        <v>459.3989589057685</v>
      </c>
      <c r="AO303">
        <f t="shared" si="249"/>
        <v>-154.38852412204449</v>
      </c>
      <c r="AQ303">
        <f t="shared" si="235"/>
        <v>1.2624652664243575E-2</v>
      </c>
      <c r="AR303">
        <f t="shared" si="236"/>
        <v>-11.235940871176782</v>
      </c>
      <c r="AT303">
        <f t="shared" si="261"/>
        <v>-54085.530789657016</v>
      </c>
      <c r="AU303">
        <f t="shared" si="262"/>
        <v>-122033.88222303246</v>
      </c>
      <c r="AV303">
        <f t="shared" si="250"/>
        <v>-1.9879817834080269</v>
      </c>
      <c r="AW303">
        <f t="shared" si="251"/>
        <v>10852.81487114274</v>
      </c>
      <c r="AX303">
        <f t="shared" si="252"/>
        <v>-11306.412653590967</v>
      </c>
      <c r="AY303">
        <f t="shared" si="260"/>
        <v>-0.80586523259755527</v>
      </c>
      <c r="BA303">
        <f t="shared" si="237"/>
        <v>8.5171236906598971</v>
      </c>
      <c r="BB303">
        <f t="shared" si="253"/>
        <v>18.605859087404209</v>
      </c>
      <c r="BC303">
        <f t="shared" si="254"/>
        <v>-1.1821165508104716</v>
      </c>
      <c r="BD303">
        <f t="shared" si="238"/>
        <v>-247.73028933139528</v>
      </c>
      <c r="BF303">
        <f t="shared" si="239"/>
        <v>-37.3259741312934</v>
      </c>
      <c r="BG303">
        <f t="shared" si="240"/>
        <v>-226.82696223480349</v>
      </c>
      <c r="BH303">
        <f t="shared" si="255"/>
        <v>-46.826962234803489</v>
      </c>
      <c r="BI303">
        <f t="shared" si="256"/>
        <v>-46.826962234803489</v>
      </c>
      <c r="BJ303">
        <f t="shared" si="241"/>
        <v>0</v>
      </c>
      <c r="BK303">
        <f t="shared" si="257"/>
        <v>0</v>
      </c>
      <c r="BM303">
        <f t="shared" si="258"/>
        <v>-55.931833218697605</v>
      </c>
      <c r="BN303">
        <f t="shared" si="242"/>
        <v>-159.09667290340821</v>
      </c>
      <c r="BQ303" s="56">
        <f t="shared" si="259"/>
        <v>35.507819887689344</v>
      </c>
      <c r="BR303" s="59"/>
      <c r="BS303" s="59"/>
      <c r="BT303" s="59">
        <v>85113.804000000004</v>
      </c>
      <c r="BU303" s="59">
        <v>4.7605300000000002</v>
      </c>
      <c r="BV303" s="59">
        <v>-129.97300000000001</v>
      </c>
      <c r="BY303" s="59"/>
      <c r="BZ303" s="59"/>
      <c r="CA303" s="59"/>
      <c r="CC303" s="59"/>
    </row>
    <row r="304" spans="1:81" x14ac:dyDescent="0.25">
      <c r="A304">
        <f t="shared" si="263"/>
        <v>450000</v>
      </c>
      <c r="B304">
        <f t="shared" si="243"/>
        <v>450</v>
      </c>
      <c r="C304">
        <f t="shared" si="212"/>
        <v>1.0703726300859033</v>
      </c>
      <c r="D304">
        <f t="shared" si="213"/>
        <v>0.36463472636595601</v>
      </c>
      <c r="F304">
        <f t="shared" si="214"/>
        <v>9.7428783078740865E-5</v>
      </c>
      <c r="G304">
        <f t="shared" si="215"/>
        <v>3.8607945989416709E-3</v>
      </c>
      <c r="H304">
        <f t="shared" si="216"/>
        <v>-3.1377318554010585</v>
      </c>
      <c r="J304">
        <f t="shared" si="217"/>
        <v>15</v>
      </c>
      <c r="M304">
        <f t="shared" si="218"/>
        <v>5.9325961439791108E-3</v>
      </c>
      <c r="N304">
        <f t="shared" si="219"/>
        <v>-1.5707963250000001</v>
      </c>
      <c r="O304">
        <f t="shared" si="220"/>
        <v>121.3010142636129</v>
      </c>
      <c r="P304">
        <f t="shared" si="221"/>
        <v>1.5625522792611868</v>
      </c>
      <c r="Q304">
        <f t="shared" si="222"/>
        <v>114.8942800752471</v>
      </c>
      <c r="R304">
        <f t="shared" si="223"/>
        <v>1.5620925634276273</v>
      </c>
      <c r="S304">
        <f t="shared" si="224"/>
        <v>0.32363919027920141</v>
      </c>
      <c r="T304">
        <f t="shared" si="225"/>
        <v>-1.2412231666838516</v>
      </c>
      <c r="U304">
        <f t="shared" si="226"/>
        <v>0.91548993134432877</v>
      </c>
      <c r="V304">
        <f t="shared" si="227"/>
        <v>-0.41407238601676832</v>
      </c>
      <c r="X304">
        <f t="shared" si="244"/>
        <v>-28.331283272355144</v>
      </c>
      <c r="Y304">
        <f t="shared" si="228"/>
        <v>-164.69924881204551</v>
      </c>
      <c r="Z304">
        <f t="shared" si="245"/>
        <v>15.300751187954489</v>
      </c>
      <c r="AC304">
        <v>1</v>
      </c>
      <c r="AD304">
        <f t="shared" si="229"/>
        <v>121.29689221650001</v>
      </c>
      <c r="AE304">
        <f t="shared" si="230"/>
        <v>-4.1155065905961455E-3</v>
      </c>
      <c r="AF304">
        <f t="shared" si="231"/>
        <v>9.3644593711199996E-3</v>
      </c>
      <c r="AG304">
        <f t="shared" si="246"/>
        <v>10816.773114563179</v>
      </c>
      <c r="AH304">
        <f t="shared" si="247"/>
        <v>-4860.5583342420041</v>
      </c>
      <c r="AJ304">
        <f t="shared" si="232"/>
        <v>18000</v>
      </c>
      <c r="AK304">
        <f t="shared" si="233"/>
        <v>52624.190161620005</v>
      </c>
      <c r="AL304">
        <v>1</v>
      </c>
      <c r="AM304">
        <f t="shared" si="234"/>
        <v>114.88992816609</v>
      </c>
      <c r="AN304">
        <f t="shared" si="248"/>
        <v>459.36893130231061</v>
      </c>
      <c r="AO304">
        <f t="shared" si="249"/>
        <v>-152.67335743599884</v>
      </c>
      <c r="AQ304">
        <f t="shared" si="235"/>
        <v>1.2345663770785468E-2</v>
      </c>
      <c r="AR304">
        <f t="shared" si="236"/>
        <v>-11.111097393706922</v>
      </c>
      <c r="AT304">
        <f t="shared" si="261"/>
        <v>-53872.596795599522</v>
      </c>
      <c r="AU304">
        <f t="shared" si="262"/>
        <v>-120246.22638047489</v>
      </c>
      <c r="AV304">
        <f t="shared" si="250"/>
        <v>-1.9920016496915105</v>
      </c>
      <c r="AW304">
        <f t="shared" si="251"/>
        <v>10847.617668235473</v>
      </c>
      <c r="AX304">
        <f t="shared" si="252"/>
        <v>-11279.081494076447</v>
      </c>
      <c r="AY304">
        <f t="shared" si="260"/>
        <v>-0.80489538477850742</v>
      </c>
      <c r="BA304">
        <f t="shared" si="237"/>
        <v>8.419927111156241</v>
      </c>
      <c r="BB304">
        <f t="shared" si="253"/>
        <v>18.506166639114959</v>
      </c>
      <c r="BC304">
        <f t="shared" si="254"/>
        <v>-1.1871062649130031</v>
      </c>
      <c r="BD304">
        <f t="shared" si="238"/>
        <v>-248.01617889077392</v>
      </c>
      <c r="BF304">
        <f t="shared" si="239"/>
        <v>-37.607562708873907</v>
      </c>
      <c r="BG304">
        <f t="shared" si="240"/>
        <v>-226.90294074588536</v>
      </c>
      <c r="BH304">
        <f t="shared" si="255"/>
        <v>-46.90294074588536</v>
      </c>
      <c r="BI304">
        <f t="shared" si="256"/>
        <v>-46.90294074588536</v>
      </c>
      <c r="BJ304">
        <f t="shared" si="241"/>
        <v>0</v>
      </c>
      <c r="BK304">
        <f t="shared" si="257"/>
        <v>0</v>
      </c>
      <c r="BM304">
        <f t="shared" si="258"/>
        <v>-56.113729347988865</v>
      </c>
      <c r="BN304">
        <f t="shared" si="242"/>
        <v>-158.88676185511142</v>
      </c>
      <c r="BQ304" s="56">
        <f t="shared" si="259"/>
        <v>35.408127439400097</v>
      </c>
      <c r="BR304" s="59"/>
      <c r="BS304" s="59"/>
      <c r="BT304" s="59">
        <v>87096.358999999997</v>
      </c>
      <c r="BU304" s="59">
        <v>4.9475499999999997</v>
      </c>
      <c r="BV304" s="59">
        <v>-129.96199999999999</v>
      </c>
      <c r="BY304" s="59"/>
      <c r="BZ304" s="59"/>
      <c r="CA304" s="59"/>
      <c r="CC304" s="59"/>
    </row>
    <row r="305" spans="1:81" x14ac:dyDescent="0.25">
      <c r="A305">
        <f t="shared" si="263"/>
        <v>455000</v>
      </c>
      <c r="B305">
        <f t="shared" si="243"/>
        <v>455</v>
      </c>
      <c r="C305">
        <f t="shared" si="212"/>
        <v>1.0718923818683348</v>
      </c>
      <c r="D305">
        <f t="shared" si="213"/>
        <v>0.36833129224094741</v>
      </c>
      <c r="F305">
        <f t="shared" si="214"/>
        <v>9.529906429165373E-5</v>
      </c>
      <c r="G305">
        <f t="shared" si="215"/>
        <v>3.8183603767259888E-3</v>
      </c>
      <c r="H305">
        <f t="shared" si="216"/>
        <v>-3.1377742896232741</v>
      </c>
      <c r="J305">
        <f t="shared" si="217"/>
        <v>15</v>
      </c>
      <c r="M305">
        <f t="shared" si="218"/>
        <v>5.8674027797595597E-3</v>
      </c>
      <c r="N305">
        <f t="shared" si="219"/>
        <v>-1.5707963250000001</v>
      </c>
      <c r="O305">
        <f t="shared" si="220"/>
        <v>122.64871221475589</v>
      </c>
      <c r="P305">
        <f t="shared" si="221"/>
        <v>1.5626428691528234</v>
      </c>
      <c r="Q305">
        <f t="shared" si="222"/>
        <v>116.17078701125222</v>
      </c>
      <c r="R305">
        <f t="shared" si="223"/>
        <v>1.5621882044278537</v>
      </c>
      <c r="S305">
        <f t="shared" si="224"/>
        <v>0.32044974156058909</v>
      </c>
      <c r="T305">
        <f t="shared" si="225"/>
        <v>-1.2445920988311754</v>
      </c>
      <c r="U305">
        <f t="shared" si="226"/>
        <v>0.91383861915539488</v>
      </c>
      <c r="V305">
        <f t="shared" si="227"/>
        <v>-0.41815767111761298</v>
      </c>
      <c r="X305">
        <f t="shared" si="244"/>
        <v>-28.516673211127809</v>
      </c>
      <c r="Y305">
        <f t="shared" si="228"/>
        <v>-164.90630743456785</v>
      </c>
      <c r="Z305">
        <f t="shared" si="245"/>
        <v>15.09369256543215</v>
      </c>
      <c r="AC305">
        <v>1</v>
      </c>
      <c r="AD305">
        <f t="shared" si="229"/>
        <v>122.64463546335001</v>
      </c>
      <c r="AE305">
        <f t="shared" si="230"/>
        <v>-4.2074703798428001E-3</v>
      </c>
      <c r="AF305">
        <f t="shared" si="231"/>
        <v>9.4685089196879998E-3</v>
      </c>
      <c r="AG305">
        <f t="shared" si="246"/>
        <v>10777.786863525967</v>
      </c>
      <c r="AH305">
        <f t="shared" si="247"/>
        <v>-4894.8804274951808</v>
      </c>
      <c r="AJ305">
        <f t="shared" si="232"/>
        <v>18000</v>
      </c>
      <c r="AK305">
        <f t="shared" si="233"/>
        <v>53208.903385637997</v>
      </c>
      <c r="AL305">
        <v>1</v>
      </c>
      <c r="AM305">
        <f t="shared" si="234"/>
        <v>116.166482923491</v>
      </c>
      <c r="AN305">
        <f t="shared" si="248"/>
        <v>459.33988807278337</v>
      </c>
      <c r="AO305">
        <f t="shared" si="249"/>
        <v>-150.9958782472545</v>
      </c>
      <c r="AQ305">
        <f t="shared" si="235"/>
        <v>1.207582166909592E-2</v>
      </c>
      <c r="AR305">
        <f t="shared" si="236"/>
        <v>-10.988997718877286</v>
      </c>
      <c r="AT305">
        <f t="shared" si="261"/>
        <v>-53659.679219770158</v>
      </c>
      <c r="AU305">
        <f t="shared" si="262"/>
        <v>-118496.18496096641</v>
      </c>
      <c r="AV305">
        <f t="shared" si="250"/>
        <v>-1.9960085548980198</v>
      </c>
      <c r="AW305">
        <f t="shared" si="251"/>
        <v>10840.99909952224</v>
      </c>
      <c r="AX305">
        <f t="shared" si="252"/>
        <v>-11252.74617678118</v>
      </c>
      <c r="AY305">
        <f t="shared" si="260"/>
        <v>-0.80403237020688578</v>
      </c>
      <c r="BA305">
        <f t="shared" si="237"/>
        <v>8.3249091542215528</v>
      </c>
      <c r="BB305">
        <f t="shared" si="253"/>
        <v>18.407590059097352</v>
      </c>
      <c r="BC305">
        <f t="shared" si="254"/>
        <v>-1.1919761846911339</v>
      </c>
      <c r="BD305">
        <f t="shared" si="238"/>
        <v>-248.29520474094693</v>
      </c>
      <c r="BF305">
        <f t="shared" si="239"/>
        <v>-37.885788343847494</v>
      </c>
      <c r="BG305">
        <f t="shared" si="240"/>
        <v>-226.97260027432989</v>
      </c>
      <c r="BH305">
        <f t="shared" si="255"/>
        <v>-46.972600274329892</v>
      </c>
      <c r="BI305">
        <f t="shared" si="256"/>
        <v>-46.972600274329892</v>
      </c>
      <c r="BJ305">
        <f t="shared" si="241"/>
        <v>0</v>
      </c>
      <c r="BK305">
        <f t="shared" si="257"/>
        <v>0</v>
      </c>
      <c r="BM305">
        <f t="shared" si="258"/>
        <v>-56.293378402944839</v>
      </c>
      <c r="BN305">
        <f t="shared" si="242"/>
        <v>-158.67739553338296</v>
      </c>
      <c r="BQ305" s="56">
        <f t="shared" si="259"/>
        <v>35.30955085938249</v>
      </c>
      <c r="BR305" s="59"/>
      <c r="BS305" s="59"/>
      <c r="BT305" s="59">
        <v>89125.093999999997</v>
      </c>
      <c r="BU305" s="59">
        <v>5.2143100000000002</v>
      </c>
      <c r="BV305" s="59">
        <v>-129.73099999999999</v>
      </c>
      <c r="BY305" s="59"/>
      <c r="BZ305" s="59"/>
      <c r="CA305" s="59"/>
      <c r="CC305" s="59"/>
    </row>
    <row r="306" spans="1:81" x14ac:dyDescent="0.25">
      <c r="A306">
        <f t="shared" si="263"/>
        <v>460000</v>
      </c>
      <c r="B306">
        <f t="shared" si="243"/>
        <v>460</v>
      </c>
      <c r="C306">
        <f t="shared" si="212"/>
        <v>1.0734267390398329</v>
      </c>
      <c r="D306">
        <f t="shared" si="213"/>
        <v>0.37201734061555319</v>
      </c>
      <c r="F306">
        <f t="shared" si="214"/>
        <v>9.3238422906615019E-5</v>
      </c>
      <c r="G306">
        <f t="shared" si="215"/>
        <v>3.7768488913071351E-3</v>
      </c>
      <c r="H306">
        <f t="shared" si="216"/>
        <v>-3.137815801108693</v>
      </c>
      <c r="J306">
        <f t="shared" si="217"/>
        <v>15</v>
      </c>
      <c r="M306">
        <f t="shared" si="218"/>
        <v>5.8036266625882604E-3</v>
      </c>
      <c r="N306">
        <f t="shared" si="219"/>
        <v>-1.5707963250000001</v>
      </c>
      <c r="O306">
        <f t="shared" si="220"/>
        <v>123.9964111505396</v>
      </c>
      <c r="P306">
        <f t="shared" si="221"/>
        <v>1.5627314898284939</v>
      </c>
      <c r="Q306">
        <f t="shared" si="222"/>
        <v>117.44729498679574</v>
      </c>
      <c r="R306">
        <f t="shared" si="223"/>
        <v>1.5622817664282997</v>
      </c>
      <c r="S306">
        <f t="shared" si="224"/>
        <v>0.31731904639488651</v>
      </c>
      <c r="T306">
        <f t="shared" si="225"/>
        <v>-1.2478952410038722</v>
      </c>
      <c r="U306">
        <f t="shared" si="226"/>
        <v>0.91217811177284069</v>
      </c>
      <c r="V306">
        <f t="shared" si="227"/>
        <v>-0.4222281774627884</v>
      </c>
      <c r="X306">
        <f t="shared" si="244"/>
        <v>-28.700280476792432</v>
      </c>
      <c r="Y306">
        <f t="shared" si="228"/>
        <v>-165.10953149401507</v>
      </c>
      <c r="Z306">
        <f t="shared" si="245"/>
        <v>14.890468505984927</v>
      </c>
      <c r="AC306">
        <v>1</v>
      </c>
      <c r="AD306">
        <f t="shared" si="229"/>
        <v>123.9923787102</v>
      </c>
      <c r="AE306">
        <f t="shared" si="230"/>
        <v>-4.3004503435562693E-3</v>
      </c>
      <c r="AF306">
        <f t="shared" si="231"/>
        <v>9.5725584682560001E-3</v>
      </c>
      <c r="AG306">
        <f t="shared" si="246"/>
        <v>10738.654494614544</v>
      </c>
      <c r="AH306">
        <f t="shared" si="247"/>
        <v>-4928.7816383839736</v>
      </c>
      <c r="AJ306">
        <f t="shared" si="232"/>
        <v>18000</v>
      </c>
      <c r="AK306">
        <f t="shared" si="233"/>
        <v>53793.616609656005</v>
      </c>
      <c r="AL306">
        <v>1</v>
      </c>
      <c r="AM306">
        <f t="shared" si="234"/>
        <v>117.443037680892</v>
      </c>
      <c r="AN306">
        <f t="shared" si="248"/>
        <v>459.31178665698462</v>
      </c>
      <c r="AO306">
        <f t="shared" si="249"/>
        <v>-149.35485797807229</v>
      </c>
      <c r="AQ306">
        <f t="shared" si="235"/>
        <v>1.1814730842709308E-2</v>
      </c>
      <c r="AR306">
        <f t="shared" si="236"/>
        <v>-10.869552375292562</v>
      </c>
      <c r="AT306">
        <f t="shared" si="261"/>
        <v>-53446.775852328159</v>
      </c>
      <c r="AU306">
        <f t="shared" si="262"/>
        <v>-116782.59969782367</v>
      </c>
      <c r="AV306">
        <f t="shared" si="250"/>
        <v>-2.0000023851304185</v>
      </c>
      <c r="AW306">
        <f t="shared" si="251"/>
        <v>10833.020275982635</v>
      </c>
      <c r="AX306">
        <f t="shared" si="252"/>
        <v>-11227.358090489615</v>
      </c>
      <c r="AY306">
        <f t="shared" si="260"/>
        <v>-0.80327164748528534</v>
      </c>
      <c r="BA306">
        <f t="shared" si="237"/>
        <v>8.2319991679682367</v>
      </c>
      <c r="BB306">
        <f t="shared" si="253"/>
        <v>18.310106357179802</v>
      </c>
      <c r="BC306">
        <f t="shared" si="254"/>
        <v>-1.196730737645133</v>
      </c>
      <c r="BD306">
        <f t="shared" si="238"/>
        <v>-248.56762055899384</v>
      </c>
      <c r="BF306">
        <f t="shared" si="239"/>
        <v>-38.16072189503663</v>
      </c>
      <c r="BG306">
        <f t="shared" si="240"/>
        <v>-227.03619951010805</v>
      </c>
      <c r="BH306">
        <f t="shared" si="255"/>
        <v>-47.036199510108048</v>
      </c>
      <c r="BI306">
        <f t="shared" si="256"/>
        <v>-47.036199510108048</v>
      </c>
      <c r="BJ306">
        <f t="shared" si="241"/>
        <v>0</v>
      </c>
      <c r="BK306">
        <f t="shared" si="257"/>
        <v>0</v>
      </c>
      <c r="BM306">
        <f t="shared" si="258"/>
        <v>-56.470828252216421</v>
      </c>
      <c r="BN306">
        <f t="shared" si="242"/>
        <v>-158.46857895111421</v>
      </c>
      <c r="BQ306" s="56">
        <f t="shared" si="259"/>
        <v>35.212067157464936</v>
      </c>
      <c r="BR306" s="59"/>
      <c r="BS306" s="59"/>
      <c r="BT306" s="59">
        <v>91201.084000000003</v>
      </c>
      <c r="BU306" s="59">
        <v>5.4050900000000004</v>
      </c>
      <c r="BV306" s="59">
        <v>-129.68299999999999</v>
      </c>
      <c r="BY306" s="59"/>
      <c r="BZ306" s="59"/>
      <c r="CA306" s="59"/>
      <c r="CC306" s="59"/>
    </row>
    <row r="307" spans="1:81" x14ac:dyDescent="0.25">
      <c r="A307">
        <f t="shared" si="263"/>
        <v>465000</v>
      </c>
      <c r="B307">
        <f t="shared" si="243"/>
        <v>465</v>
      </c>
      <c r="C307">
        <f t="shared" si="212"/>
        <v>1.0749756390597729</v>
      </c>
      <c r="D307">
        <f t="shared" si="213"/>
        <v>0.37569281657716924</v>
      </c>
      <c r="F307">
        <f t="shared" si="214"/>
        <v>9.1243903454323405E-5</v>
      </c>
      <c r="G307">
        <f t="shared" si="215"/>
        <v>3.7362303662439966E-3</v>
      </c>
      <c r="H307">
        <f t="shared" si="216"/>
        <v>-3.1378564196337564</v>
      </c>
      <c r="J307">
        <f t="shared" si="217"/>
        <v>15</v>
      </c>
      <c r="M307">
        <f t="shared" si="218"/>
        <v>5.7412220748184941E-3</v>
      </c>
      <c r="N307">
        <f t="shared" si="219"/>
        <v>-1.5707963250000001</v>
      </c>
      <c r="O307">
        <f t="shared" si="220"/>
        <v>125.34411103920348</v>
      </c>
      <c r="P307">
        <f t="shared" si="221"/>
        <v>1.5628182048058141</v>
      </c>
      <c r="Q307">
        <f t="shared" si="222"/>
        <v>118.7238039683466</v>
      </c>
      <c r="R307">
        <f t="shared" si="223"/>
        <v>1.5623733164870262</v>
      </c>
      <c r="S307">
        <f t="shared" si="224"/>
        <v>0.31424560147664005</v>
      </c>
      <c r="T307">
        <f t="shared" si="225"/>
        <v>-1.2511344317156048</v>
      </c>
      <c r="U307">
        <f t="shared" si="226"/>
        <v>0.91050862385318743</v>
      </c>
      <c r="V307">
        <f t="shared" si="227"/>
        <v>-0.42628385094669291</v>
      </c>
      <c r="X307">
        <f t="shared" si="244"/>
        <v>-28.882138145886827</v>
      </c>
      <c r="Y307">
        <f t="shared" si="228"/>
        <v>-165.30902060032764</v>
      </c>
      <c r="Z307">
        <f t="shared" si="245"/>
        <v>14.690979399672358</v>
      </c>
      <c r="AC307">
        <v>1</v>
      </c>
      <c r="AD307">
        <f t="shared" si="229"/>
        <v>125.34012195705</v>
      </c>
      <c r="AE307">
        <f t="shared" si="230"/>
        <v>-4.3944464817365515E-3</v>
      </c>
      <c r="AF307">
        <f t="shared" si="231"/>
        <v>9.6766080168240003E-3</v>
      </c>
      <c r="AG307">
        <f t="shared" si="246"/>
        <v>10699.3822350268</v>
      </c>
      <c r="AH307">
        <f t="shared" si="247"/>
        <v>-4962.2618314168558</v>
      </c>
      <c r="AJ307">
        <f t="shared" si="232"/>
        <v>18000</v>
      </c>
      <c r="AK307">
        <f t="shared" si="233"/>
        <v>54378.329833674004</v>
      </c>
      <c r="AL307">
        <v>1</v>
      </c>
      <c r="AM307">
        <f t="shared" si="234"/>
        <v>118.71959243829301</v>
      </c>
      <c r="AN307">
        <f t="shared" si="248"/>
        <v>459.284586770197</v>
      </c>
      <c r="AO307">
        <f t="shared" si="249"/>
        <v>-147.74912087359934</v>
      </c>
      <c r="AQ307">
        <f t="shared" si="235"/>
        <v>1.1562016924480374E-2</v>
      </c>
      <c r="AR307">
        <f t="shared" si="236"/>
        <v>-10.752675739766747</v>
      </c>
      <c r="AT307">
        <f t="shared" si="261"/>
        <v>-53233.885970563671</v>
      </c>
      <c r="AU307">
        <f t="shared" si="262"/>
        <v>-115104.36154434254</v>
      </c>
      <c r="AV307">
        <f t="shared" si="250"/>
        <v>-2.003983031327877</v>
      </c>
      <c r="AW307">
        <f t="shared" si="251"/>
        <v>10823.739354199992</v>
      </c>
      <c r="AX307">
        <f t="shared" si="252"/>
        <v>-11202.870879450071</v>
      </c>
      <c r="AY307">
        <f t="shared" si="260"/>
        <v>-0.80260889561609372</v>
      </c>
      <c r="BA307">
        <f t="shared" si="237"/>
        <v>8.1411293745778845</v>
      </c>
      <c r="BB307">
        <f t="shared" si="253"/>
        <v>18.213693127574476</v>
      </c>
      <c r="BC307">
        <f t="shared" si="254"/>
        <v>-1.2013741357117833</v>
      </c>
      <c r="BD307">
        <f t="shared" si="238"/>
        <v>-248.8336676711161</v>
      </c>
      <c r="BF307">
        <f t="shared" si="239"/>
        <v>-38.432432116185836</v>
      </c>
      <c r="BG307">
        <f t="shared" si="240"/>
        <v>-227.09398463174614</v>
      </c>
      <c r="BH307">
        <f t="shared" si="255"/>
        <v>-47.093984631746139</v>
      </c>
      <c r="BI307">
        <f t="shared" si="256"/>
        <v>-47.093984631746139</v>
      </c>
      <c r="BJ307">
        <f t="shared" si="241"/>
        <v>0</v>
      </c>
      <c r="BK307">
        <f t="shared" si="257"/>
        <v>0</v>
      </c>
      <c r="BM307">
        <f t="shared" si="258"/>
        <v>-56.646125243760316</v>
      </c>
      <c r="BN307">
        <f t="shared" si="242"/>
        <v>-158.26031696063004</v>
      </c>
      <c r="BQ307" s="56">
        <f t="shared" si="259"/>
        <v>35.115653927859611</v>
      </c>
      <c r="BR307" s="59"/>
      <c r="BS307" s="59"/>
      <c r="BT307" s="59">
        <v>93325.43</v>
      </c>
      <c r="BU307" s="59">
        <v>5.6014999999999997</v>
      </c>
      <c r="BV307" s="59">
        <v>-129.64400000000001</v>
      </c>
      <c r="BY307" s="59"/>
      <c r="BZ307" s="59"/>
      <c r="CA307" s="59"/>
      <c r="CC307" s="59"/>
    </row>
    <row r="308" spans="1:81" x14ac:dyDescent="0.25">
      <c r="A308">
        <f t="shared" si="263"/>
        <v>470000</v>
      </c>
      <c r="B308">
        <f t="shared" si="243"/>
        <v>470</v>
      </c>
      <c r="C308">
        <f t="shared" si="212"/>
        <v>1.0765390191563911</v>
      </c>
      <c r="D308">
        <f t="shared" si="213"/>
        <v>0.37935766667029508</v>
      </c>
      <c r="F308">
        <f t="shared" si="214"/>
        <v>8.9312706857406051E-5</v>
      </c>
      <c r="G308">
        <f t="shared" si="215"/>
        <v>3.6964762927402281E-3</v>
      </c>
      <c r="H308">
        <f t="shared" si="216"/>
        <v>-3.1378961737072602</v>
      </c>
      <c r="J308">
        <f t="shared" si="217"/>
        <v>15</v>
      </c>
      <c r="M308">
        <f t="shared" si="218"/>
        <v>5.6801452442353179E-3</v>
      </c>
      <c r="N308">
        <f t="shared" si="219"/>
        <v>-1.5707963250000001</v>
      </c>
      <c r="O308">
        <f t="shared" si="220"/>
        <v>126.69181185033837</v>
      </c>
      <c r="P308">
        <f t="shared" si="221"/>
        <v>1.5629030748998094</v>
      </c>
      <c r="Q308">
        <f t="shared" si="222"/>
        <v>120.00031392380046</v>
      </c>
      <c r="R308">
        <f t="shared" si="223"/>
        <v>1.5624629188088957</v>
      </c>
      <c r="S308">
        <f t="shared" si="224"/>
        <v>0.31122795001208614</v>
      </c>
      <c r="T308">
        <f t="shared" si="225"/>
        <v>-1.2543114443447954</v>
      </c>
      <c r="U308">
        <f t="shared" si="226"/>
        <v>0.90883036892114277</v>
      </c>
      <c r="V308">
        <f t="shared" si="227"/>
        <v>-0.43032463980908237</v>
      </c>
      <c r="X308">
        <f t="shared" si="244"/>
        <v>-29.062278406312032</v>
      </c>
      <c r="Y308">
        <f t="shared" si="228"/>
        <v>-165.50487092805767</v>
      </c>
      <c r="Z308">
        <f t="shared" si="245"/>
        <v>14.49512907194233</v>
      </c>
      <c r="AC308">
        <v>1</v>
      </c>
      <c r="AD308">
        <f t="shared" si="229"/>
        <v>126.6878652039</v>
      </c>
      <c r="AE308">
        <f t="shared" si="230"/>
        <v>-4.4894587943836465E-3</v>
      </c>
      <c r="AF308">
        <f t="shared" si="231"/>
        <v>9.7806575653920005E-3</v>
      </c>
      <c r="AG308">
        <f t="shared" si="246"/>
        <v>10659.976254755145</v>
      </c>
      <c r="AH308">
        <f t="shared" si="247"/>
        <v>-4995.3210014947672</v>
      </c>
      <c r="AJ308">
        <f t="shared" si="232"/>
        <v>18000</v>
      </c>
      <c r="AK308">
        <f t="shared" si="233"/>
        <v>54963.043057691997</v>
      </c>
      <c r="AL308">
        <v>1</v>
      </c>
      <c r="AM308">
        <f t="shared" si="234"/>
        <v>119.99614719569401</v>
      </c>
      <c r="AN308">
        <f t="shared" si="248"/>
        <v>459.25825025874587</v>
      </c>
      <c r="AO308">
        <f t="shared" si="249"/>
        <v>-146.17754119334504</v>
      </c>
      <c r="AQ308">
        <f t="shared" si="235"/>
        <v>1.131732535386447E-2</v>
      </c>
      <c r="AR308">
        <f t="shared" si="236"/>
        <v>-10.638285832632603</v>
      </c>
      <c r="AT308">
        <f t="shared" si="261"/>
        <v>-53021.010220114353</v>
      </c>
      <c r="AU308">
        <f t="shared" si="262"/>
        <v>-113460.40804018252</v>
      </c>
      <c r="AV308">
        <f t="shared" si="250"/>
        <v>-2.007950389113156</v>
      </c>
      <c r="AW308">
        <f t="shared" si="251"/>
        <v>10813.21171832459</v>
      </c>
      <c r="AX308">
        <f t="shared" si="252"/>
        <v>-11179.240325195511</v>
      </c>
      <c r="AY308">
        <f t="shared" si="260"/>
        <v>-0.80204000101015516</v>
      </c>
      <c r="BA308">
        <f t="shared" si="237"/>
        <v>8.0522347385249375</v>
      </c>
      <c r="BB308">
        <f t="shared" si="253"/>
        <v>18.118328538838291</v>
      </c>
      <c r="BC308">
        <f t="shared" si="254"/>
        <v>-1.2059103881030009</v>
      </c>
      <c r="BD308">
        <f t="shared" si="238"/>
        <v>-249.093575788236</v>
      </c>
      <c r="BF308">
        <f t="shared" si="239"/>
        <v>-38.700985730948368</v>
      </c>
      <c r="BG308">
        <f t="shared" si="240"/>
        <v>-227.14619004637464</v>
      </c>
      <c r="BH308">
        <f t="shared" si="255"/>
        <v>-47.146190046374642</v>
      </c>
      <c r="BI308">
        <f t="shared" si="256"/>
        <v>-47.146190046374642</v>
      </c>
      <c r="BJ308">
        <f t="shared" si="241"/>
        <v>0</v>
      </c>
      <c r="BK308">
        <f t="shared" si="257"/>
        <v>0</v>
      </c>
      <c r="BM308">
        <f t="shared" si="258"/>
        <v>-56.819314269786652</v>
      </c>
      <c r="BN308">
        <f t="shared" si="242"/>
        <v>-158.05261425813868</v>
      </c>
      <c r="BQ308" s="56">
        <f t="shared" si="259"/>
        <v>35.02028933912343</v>
      </c>
      <c r="BR308" s="59"/>
      <c r="BS308" s="59"/>
      <c r="BT308" s="59">
        <v>95499.259000000005</v>
      </c>
      <c r="BU308" s="59">
        <v>5.7946099999999996</v>
      </c>
      <c r="BV308" s="59">
        <v>-129.63</v>
      </c>
      <c r="BY308" s="59"/>
      <c r="BZ308" s="59"/>
      <c r="CA308" s="59"/>
      <c r="CC308" s="59"/>
    </row>
    <row r="309" spans="1:81" x14ac:dyDescent="0.25">
      <c r="A309">
        <f t="shared" si="263"/>
        <v>475000</v>
      </c>
      <c r="B309">
        <f t="shared" si="243"/>
        <v>475</v>
      </c>
      <c r="C309">
        <f t="shared" si="212"/>
        <v>1.0781168163368946</v>
      </c>
      <c r="D309">
        <f t="shared" si="213"/>
        <v>0.38301183888976481</v>
      </c>
      <c r="F309">
        <f t="shared" si="214"/>
        <v>8.7442180603456866E-5</v>
      </c>
      <c r="G309">
        <f t="shared" si="215"/>
        <v>3.6575593628911511E-3</v>
      </c>
      <c r="H309">
        <f t="shared" si="216"/>
        <v>-3.1379350906371091</v>
      </c>
      <c r="J309">
        <f t="shared" si="217"/>
        <v>15</v>
      </c>
      <c r="M309">
        <f t="shared" si="218"/>
        <v>5.6203542416644204E-3</v>
      </c>
      <c r="N309">
        <f t="shared" si="219"/>
        <v>-1.5707963250000001</v>
      </c>
      <c r="O309">
        <f t="shared" si="220"/>
        <v>128.03951355481544</v>
      </c>
      <c r="P309">
        <f t="shared" si="221"/>
        <v>1.5629861583651377</v>
      </c>
      <c r="Q309">
        <f t="shared" si="222"/>
        <v>121.27682482240459</v>
      </c>
      <c r="R309">
        <f t="shared" si="223"/>
        <v>1.5625506348957221</v>
      </c>
      <c r="S309">
        <f t="shared" si="224"/>
        <v>0.30826468016634639</v>
      </c>
      <c r="T309">
        <f t="shared" si="225"/>
        <v>-1.2574279898598424</v>
      </c>
      <c r="U309">
        <f t="shared" si="226"/>
        <v>0.90714355932100632</v>
      </c>
      <c r="V309">
        <f t="shared" si="227"/>
        <v>-0.43435049461316205</v>
      </c>
      <c r="X309">
        <f t="shared" si="244"/>
        <v>-29.240732587549196</v>
      </c>
      <c r="Y309">
        <f t="shared" si="228"/>
        <v>-165.69717535871752</v>
      </c>
      <c r="Z309">
        <f t="shared" si="245"/>
        <v>14.302824641282484</v>
      </c>
      <c r="AC309">
        <v>1</v>
      </c>
      <c r="AD309">
        <f t="shared" si="229"/>
        <v>128.03560845075</v>
      </c>
      <c r="AE309">
        <f t="shared" si="230"/>
        <v>-4.5854872814975562E-3</v>
      </c>
      <c r="AF309">
        <f t="shared" si="231"/>
        <v>9.8847071139599989E-3</v>
      </c>
      <c r="AG309">
        <f t="shared" si="246"/>
        <v>10620.442665203444</v>
      </c>
      <c r="AH309">
        <f t="shared" si="247"/>
        <v>-5027.9592700297699</v>
      </c>
      <c r="AJ309">
        <f t="shared" si="232"/>
        <v>18000</v>
      </c>
      <c r="AK309">
        <f t="shared" si="233"/>
        <v>55547.756281710012</v>
      </c>
      <c r="AL309">
        <v>1</v>
      </c>
      <c r="AM309">
        <f t="shared" si="234"/>
        <v>121.27270195309501</v>
      </c>
      <c r="AN309">
        <f t="shared" si="248"/>
        <v>459.23274096614313</v>
      </c>
      <c r="AO309">
        <f t="shared" si="249"/>
        <v>-144.63904057994969</v>
      </c>
      <c r="AQ309">
        <f t="shared" si="235"/>
        <v>1.1080320132609272E-2</v>
      </c>
      <c r="AR309">
        <f t="shared" si="236"/>
        <v>-10.526304125978807</v>
      </c>
      <c r="AT309">
        <f t="shared" si="261"/>
        <v>-52808.150504687284</v>
      </c>
      <c r="AU309">
        <f t="shared" si="262"/>
        <v>-111849.72084477803</v>
      </c>
      <c r="AV309">
        <f t="shared" si="250"/>
        <v>-2.0119043586476533</v>
      </c>
      <c r="AW309">
        <f t="shared" si="251"/>
        <v>10801.490148657249</v>
      </c>
      <c r="AX309">
        <f t="shared" si="252"/>
        <v>-11156.424235797163</v>
      </c>
      <c r="AY309">
        <f t="shared" si="260"/>
        <v>-0.80156104539410722</v>
      </c>
      <c r="BA309">
        <f t="shared" si="237"/>
        <v>7.9652528406961132</v>
      </c>
      <c r="BB309">
        <f t="shared" si="253"/>
        <v>18.023991322959702</v>
      </c>
      <c r="BC309">
        <f t="shared" si="254"/>
        <v>-1.2103433132535462</v>
      </c>
      <c r="BD309">
        <f t="shared" si="238"/>
        <v>-249.34756369054986</v>
      </c>
      <c r="BF309">
        <f t="shared" si="239"/>
        <v>-38.966447505300891</v>
      </c>
      <c r="BG309">
        <f t="shared" si="240"/>
        <v>-227.19303907849419</v>
      </c>
      <c r="BH309">
        <f t="shared" si="255"/>
        <v>-47.193039078494195</v>
      </c>
      <c r="BI309">
        <f t="shared" si="256"/>
        <v>-47.193039078494195</v>
      </c>
      <c r="BJ309">
        <f t="shared" si="241"/>
        <v>0</v>
      </c>
      <c r="BK309">
        <f t="shared" si="257"/>
        <v>0</v>
      </c>
      <c r="BM309">
        <f t="shared" si="258"/>
        <v>-56.990438828260601</v>
      </c>
      <c r="BN309">
        <f t="shared" si="242"/>
        <v>-157.84547538794436</v>
      </c>
      <c r="BQ309" s="56">
        <f t="shared" si="259"/>
        <v>34.925952123244841</v>
      </c>
      <c r="BR309" s="59"/>
      <c r="BS309" s="59"/>
      <c r="BT309" s="59">
        <v>97723.721999999994</v>
      </c>
      <c r="BU309" s="59">
        <v>5.9855799999999997</v>
      </c>
      <c r="BV309" s="59">
        <v>-129.62100000000001</v>
      </c>
      <c r="BY309" s="59"/>
      <c r="BZ309" s="59"/>
      <c r="CA309" s="59"/>
      <c r="CC309" s="59"/>
    </row>
    <row r="310" spans="1:81" x14ac:dyDescent="0.25">
      <c r="A310">
        <f t="shared" si="263"/>
        <v>480000</v>
      </c>
      <c r="B310">
        <f t="shared" si="243"/>
        <v>480</v>
      </c>
      <c r="C310">
        <f t="shared" si="212"/>
        <v>1.0797089673974918</v>
      </c>
      <c r="D310">
        <f t="shared" si="213"/>
        <v>0.3866552826736272</v>
      </c>
      <c r="F310">
        <f t="shared" si="214"/>
        <v>8.562980963101676E-5</v>
      </c>
      <c r="G310">
        <f t="shared" si="215"/>
        <v>3.6194534071052348E-3</v>
      </c>
      <c r="H310">
        <f t="shared" si="216"/>
        <v>-3.137973196592895</v>
      </c>
      <c r="J310">
        <f t="shared" si="217"/>
        <v>15</v>
      </c>
      <c r="M310">
        <f t="shared" si="218"/>
        <v>5.5618088849804159E-3</v>
      </c>
      <c r="N310">
        <f t="shared" si="219"/>
        <v>-1.5707963250000001</v>
      </c>
      <c r="O310">
        <f t="shared" si="220"/>
        <v>129.38721612471943</v>
      </c>
      <c r="P310">
        <f t="shared" si="221"/>
        <v>1.5630675110294274</v>
      </c>
      <c r="Q310">
        <f t="shared" si="222"/>
        <v>122.55333663468754</v>
      </c>
      <c r="R310">
        <f t="shared" si="223"/>
        <v>1.5626365236870339</v>
      </c>
      <c r="S310">
        <f t="shared" si="224"/>
        <v>0.3053544235565438</v>
      </c>
      <c r="T310">
        <f t="shared" si="225"/>
        <v>-1.2604857194165866</v>
      </c>
      <c r="U310">
        <f t="shared" si="226"/>
        <v>0.90544840616962607</v>
      </c>
      <c r="V310">
        <f t="shared" si="227"/>
        <v>-0.4383613682231674</v>
      </c>
      <c r="X310">
        <f t="shared" si="244"/>
        <v>-29.417531189651115</v>
      </c>
      <c r="Y310">
        <f t="shared" si="228"/>
        <v>-165.88602361660759</v>
      </c>
      <c r="Z310">
        <f t="shared" si="245"/>
        <v>14.113976383392412</v>
      </c>
      <c r="AC310">
        <v>1</v>
      </c>
      <c r="AD310">
        <f t="shared" si="229"/>
        <v>129.38335169760001</v>
      </c>
      <c r="AE310">
        <f t="shared" si="230"/>
        <v>-4.6825319430782806E-3</v>
      </c>
      <c r="AF310">
        <f t="shared" si="231"/>
        <v>9.9887566625280009E-3</v>
      </c>
      <c r="AG310">
        <f t="shared" si="246"/>
        <v>10580.787517868468</v>
      </c>
      <c r="AH310">
        <f t="shared" si="247"/>
        <v>-5060.1768811686043</v>
      </c>
      <c r="AJ310">
        <f t="shared" si="232"/>
        <v>18000</v>
      </c>
      <c r="AK310">
        <f t="shared" si="233"/>
        <v>56132.469505728004</v>
      </c>
      <c r="AL310">
        <v>1</v>
      </c>
      <c r="AM310">
        <f t="shared" si="234"/>
        <v>122.54925671049601</v>
      </c>
      <c r="AN310">
        <f t="shared" si="248"/>
        <v>459.20802460893651</v>
      </c>
      <c r="AO310">
        <f t="shared" si="249"/>
        <v>-143.13258559232651</v>
      </c>
      <c r="AQ310">
        <f t="shared" si="235"/>
        <v>1.0850682670700227E-2</v>
      </c>
      <c r="AR310">
        <f t="shared" si="236"/>
        <v>-10.416655363872218</v>
      </c>
      <c r="AT310">
        <f t="shared" si="261"/>
        <v>-52595.309883604641</v>
      </c>
      <c r="AU310">
        <f t="shared" si="262"/>
        <v>-110271.32342559197</v>
      </c>
      <c r="AV310">
        <f t="shared" si="250"/>
        <v>-2.0158448444936266</v>
      </c>
      <c r="AW310">
        <f t="shared" si="251"/>
        <v>10788.624977967605</v>
      </c>
      <c r="AX310">
        <f t="shared" si="252"/>
        <v>-11134.382341999939</v>
      </c>
      <c r="AY310">
        <f t="shared" si="260"/>
        <v>-0.80116829454630234</v>
      </c>
      <c r="BA310">
        <f t="shared" si="237"/>
        <v>7.8801237582566177</v>
      </c>
      <c r="BB310">
        <f t="shared" si="253"/>
        <v>17.930660763765424</v>
      </c>
      <c r="BC310">
        <f t="shared" si="254"/>
        <v>-1.2146765499473242</v>
      </c>
      <c r="BD310">
        <f t="shared" si="238"/>
        <v>-249.59583986501826</v>
      </c>
      <c r="BF310">
        <f t="shared" si="239"/>
        <v>-39.228880317408979</v>
      </c>
      <c r="BG310">
        <f t="shared" si="240"/>
        <v>-227.23474461145889</v>
      </c>
      <c r="BH310">
        <f t="shared" si="255"/>
        <v>-47.234744611458893</v>
      </c>
      <c r="BI310">
        <f t="shared" si="256"/>
        <v>-47.234744611458893</v>
      </c>
      <c r="BJ310">
        <f t="shared" si="241"/>
        <v>0</v>
      </c>
      <c r="BK310">
        <f t="shared" si="257"/>
        <v>0</v>
      </c>
      <c r="BM310">
        <f t="shared" si="258"/>
        <v>-57.159541081174403</v>
      </c>
      <c r="BN310">
        <f t="shared" si="242"/>
        <v>-157.63890474644069</v>
      </c>
      <c r="BQ310" s="56">
        <f t="shared" si="259"/>
        <v>34.832621564050562</v>
      </c>
      <c r="BR310" s="59"/>
      <c r="BS310" s="59"/>
      <c r="BT310" s="59">
        <v>100000</v>
      </c>
      <c r="BU310" s="59">
        <v>6.1811499999999997</v>
      </c>
      <c r="BV310" s="59">
        <v>-129.59</v>
      </c>
      <c r="BY310" s="59"/>
      <c r="BZ310" s="59"/>
      <c r="CA310" s="59"/>
      <c r="CC310" s="59"/>
    </row>
    <row r="311" spans="1:81" x14ac:dyDescent="0.25">
      <c r="A311">
        <f t="shared" si="263"/>
        <v>485000</v>
      </c>
      <c r="B311">
        <f t="shared" si="243"/>
        <v>485</v>
      </c>
      <c r="C311">
        <f t="shared" si="212"/>
        <v>1.0813154089333392</v>
      </c>
      <c r="D311">
        <f t="shared" si="213"/>
        <v>0.39028794889568363</v>
      </c>
      <c r="F311">
        <f t="shared" si="214"/>
        <v>8.3873207869988368E-5</v>
      </c>
      <c r="G311">
        <f t="shared" si="215"/>
        <v>3.5821333353986957E-3</v>
      </c>
      <c r="H311">
        <f t="shared" si="216"/>
        <v>-3.1380105166646017</v>
      </c>
      <c r="J311">
        <f t="shared" si="217"/>
        <v>15</v>
      </c>
      <c r="M311">
        <f t="shared" si="218"/>
        <v>5.5044706490527829E-3</v>
      </c>
      <c r="N311">
        <f t="shared" si="219"/>
        <v>-1.5707963250000001</v>
      </c>
      <c r="O311">
        <f t="shared" si="220"/>
        <v>130.73491953328613</v>
      </c>
      <c r="P311">
        <f t="shared" si="221"/>
        <v>1.5631471864183653</v>
      </c>
      <c r="Q311">
        <f t="shared" si="222"/>
        <v>123.82984933239308</v>
      </c>
      <c r="R311">
        <f t="shared" si="223"/>
        <v>1.5627206416921335</v>
      </c>
      <c r="S311">
        <f t="shared" si="224"/>
        <v>0.30249585379068727</v>
      </c>
      <c r="T311">
        <f t="shared" si="225"/>
        <v>-1.2634862268343932</v>
      </c>
      <c r="U311">
        <f t="shared" si="226"/>
        <v>0.9037451193109024</v>
      </c>
      <c r="V311">
        <f t="shared" si="227"/>
        <v>-0.4423572157814582</v>
      </c>
      <c r="X311">
        <f t="shared" si="244"/>
        <v>-29.592703911066991</v>
      </c>
      <c r="Y311">
        <f t="shared" si="228"/>
        <v>-166.07150239843119</v>
      </c>
      <c r="Z311">
        <f t="shared" si="245"/>
        <v>13.928497601568807</v>
      </c>
      <c r="AC311">
        <v>1</v>
      </c>
      <c r="AD311">
        <f t="shared" si="229"/>
        <v>130.73109494445001</v>
      </c>
      <c r="AE311">
        <f t="shared" si="230"/>
        <v>-4.7805927791258187E-3</v>
      </c>
      <c r="AF311">
        <f t="shared" si="231"/>
        <v>1.0092806211095999E-2</v>
      </c>
      <c r="AG311">
        <f t="shared" si="246"/>
        <v>10541.016803085369</v>
      </c>
      <c r="AH311">
        <f t="shared" si="247"/>
        <v>-5091.9741981148218</v>
      </c>
      <c r="AJ311">
        <f t="shared" si="232"/>
        <v>18000</v>
      </c>
      <c r="AK311">
        <f t="shared" si="233"/>
        <v>56717.182729746004</v>
      </c>
      <c r="AL311">
        <v>1</v>
      </c>
      <c r="AM311">
        <f t="shared" si="234"/>
        <v>123.82581146789701</v>
      </c>
      <c r="AN311">
        <f t="shared" si="248"/>
        <v>459.18406866147211</v>
      </c>
      <c r="AO311">
        <f t="shared" si="249"/>
        <v>-141.65718539132001</v>
      </c>
      <c r="AQ311">
        <f t="shared" si="235"/>
        <v>1.0628110715154942E-2</v>
      </c>
      <c r="AR311">
        <f t="shared" si="236"/>
        <v>-10.309267393700294</v>
      </c>
      <c r="AT311">
        <f t="shared" si="261"/>
        <v>-52382.492476554835</v>
      </c>
      <c r="AU311">
        <f t="shared" si="262"/>
        <v>-108724.27889003117</v>
      </c>
      <c r="AV311">
        <f t="shared" si="250"/>
        <v>-2.0197717554830623</v>
      </c>
      <c r="AW311">
        <f t="shared" si="251"/>
        <v>10774.664236558418</v>
      </c>
      <c r="AX311">
        <f t="shared" si="252"/>
        <v>-11113.076199735147</v>
      </c>
      <c r="AY311">
        <f t="shared" si="260"/>
        <v>-0.80085818779719475</v>
      </c>
      <c r="BA311">
        <f t="shared" si="237"/>
        <v>7.7967899500929194</v>
      </c>
      <c r="BB311">
        <f t="shared" si="253"/>
        <v>17.838316684812717</v>
      </c>
      <c r="BC311">
        <f t="shared" si="254"/>
        <v>-1.2189135676858676</v>
      </c>
      <c r="BD311">
        <f t="shared" si="238"/>
        <v>-249.83860309943626</v>
      </c>
      <c r="BF311">
        <f t="shared" si="239"/>
        <v>-39.488345224978779</v>
      </c>
      <c r="BG311">
        <f t="shared" si="240"/>
        <v>-227.27150968533789</v>
      </c>
      <c r="BH311">
        <f t="shared" si="255"/>
        <v>-47.27150968533789</v>
      </c>
      <c r="BI311">
        <f t="shared" si="256"/>
        <v>-47.27150968533789</v>
      </c>
      <c r="BJ311">
        <f t="shared" si="241"/>
        <v>0</v>
      </c>
      <c r="BK311">
        <f t="shared" si="257"/>
        <v>0</v>
      </c>
      <c r="BM311">
        <f t="shared" si="258"/>
        <v>-57.326661909791497</v>
      </c>
      <c r="BN311">
        <f t="shared" si="242"/>
        <v>-157.43290658590163</v>
      </c>
      <c r="BQ311" s="56">
        <f t="shared" si="259"/>
        <v>34.740277485097856</v>
      </c>
      <c r="BR311" s="59"/>
      <c r="BS311" s="59"/>
      <c r="BT311" s="59">
        <v>102329.299</v>
      </c>
      <c r="BU311" s="59">
        <v>6.3762999999999996</v>
      </c>
      <c r="BV311" s="59">
        <v>-129.61099999999999</v>
      </c>
      <c r="BY311" s="59"/>
      <c r="BZ311" s="59"/>
      <c r="CA311" s="59"/>
      <c r="CC311" s="59"/>
    </row>
    <row r="312" spans="1:81" x14ac:dyDescent="0.25">
      <c r="A312">
        <f t="shared" si="263"/>
        <v>490000</v>
      </c>
      <c r="B312">
        <f t="shared" si="243"/>
        <v>490</v>
      </c>
      <c r="C312">
        <f t="shared" si="212"/>
        <v>1.0829360773484051</v>
      </c>
      <c r="D312">
        <f t="shared" si="213"/>
        <v>0.39390978985769426</v>
      </c>
      <c r="F312">
        <f t="shared" si="214"/>
        <v>8.2170110383324925E-5</v>
      </c>
      <c r="G312">
        <f t="shared" si="215"/>
        <v>3.5455750822863705E-3</v>
      </c>
      <c r="H312">
        <f t="shared" si="216"/>
        <v>-3.1380470749177136</v>
      </c>
      <c r="J312">
        <f t="shared" si="217"/>
        <v>15</v>
      </c>
      <c r="M312">
        <f t="shared" si="218"/>
        <v>5.4483025812053056E-3</v>
      </c>
      <c r="N312">
        <f t="shared" si="219"/>
        <v>-1.5707963250000001</v>
      </c>
      <c r="O312">
        <f t="shared" si="220"/>
        <v>132.08262375484372</v>
      </c>
      <c r="P312">
        <f t="shared" si="221"/>
        <v>1.5632252358731293</v>
      </c>
      <c r="Q312">
        <f t="shared" si="222"/>
        <v>125.1063628884182</v>
      </c>
      <c r="R312">
        <f t="shared" si="223"/>
        <v>1.5628030431140716</v>
      </c>
      <c r="S312">
        <f t="shared" si="224"/>
        <v>0.2996876850519804</v>
      </c>
      <c r="T312">
        <f t="shared" si="225"/>
        <v>-1.2664310509569172</v>
      </c>
      <c r="U312">
        <f t="shared" si="226"/>
        <v>0.90203390727183097</v>
      </c>
      <c r="V312">
        <f t="shared" si="227"/>
        <v>-0.44633799468515006</v>
      </c>
      <c r="X312">
        <f t="shared" si="244"/>
        <v>-29.766279675355495</v>
      </c>
      <c r="Y312">
        <f t="shared" si="228"/>
        <v>-166.2536954969892</v>
      </c>
      <c r="Z312">
        <f t="shared" si="245"/>
        <v>13.746304503010805</v>
      </c>
      <c r="AC312">
        <v>1</v>
      </c>
      <c r="AD312">
        <f t="shared" si="229"/>
        <v>132.07883819130001</v>
      </c>
      <c r="AE312">
        <f t="shared" si="230"/>
        <v>-4.8796697896401706E-3</v>
      </c>
      <c r="AF312">
        <f t="shared" si="231"/>
        <v>1.0196855759664E-2</v>
      </c>
      <c r="AG312">
        <f t="shared" si="246"/>
        <v>10501.136448836409</v>
      </c>
      <c r="AH312">
        <f t="shared" si="247"/>
        <v>-5123.3516995436776</v>
      </c>
      <c r="AJ312">
        <f t="shared" si="232"/>
        <v>18000</v>
      </c>
      <c r="AK312">
        <f t="shared" si="233"/>
        <v>57301.895953763997</v>
      </c>
      <c r="AL312">
        <v>1</v>
      </c>
      <c r="AM312">
        <f t="shared" si="234"/>
        <v>125.10236622529801</v>
      </c>
      <c r="AN312">
        <f t="shared" si="248"/>
        <v>459.16084224884253</v>
      </c>
      <c r="AO312">
        <f t="shared" si="249"/>
        <v>-140.21188956699422</v>
      </c>
      <c r="AQ312">
        <f t="shared" si="235"/>
        <v>1.0412317354938198E-2</v>
      </c>
      <c r="AR312">
        <f t="shared" si="236"/>
        <v>-10.204071007839433</v>
      </c>
      <c r="AT312">
        <f t="shared" si="261"/>
        <v>-52169.703374985736</v>
      </c>
      <c r="AU312">
        <f t="shared" si="262"/>
        <v>-107207.68795075415</v>
      </c>
      <c r="AV312">
        <f t="shared" si="250"/>
        <v>-2.0236850045927093</v>
      </c>
      <c r="AW312">
        <f t="shared" si="251"/>
        <v>10759.653786994697</v>
      </c>
      <c r="AX312">
        <f t="shared" si="252"/>
        <v>-11092.469098548074</v>
      </c>
      <c r="AY312">
        <f t="shared" si="260"/>
        <v>-0.80062732823550509</v>
      </c>
      <c r="BA312">
        <f t="shared" si="237"/>
        <v>7.7151961476463988</v>
      </c>
      <c r="BB312">
        <f t="shared" si="253"/>
        <v>17.746939436907766</v>
      </c>
      <c r="BC312">
        <f t="shared" si="254"/>
        <v>-1.2230576763572043</v>
      </c>
      <c r="BD312">
        <f t="shared" si="238"/>
        <v>-250.07604303641872</v>
      </c>
      <c r="BF312">
        <f t="shared" si="239"/>
        <v>-39.744901530141121</v>
      </c>
      <c r="BG312">
        <f t="shared" si="240"/>
        <v>-227.30352805450451</v>
      </c>
      <c r="BH312">
        <f t="shared" si="255"/>
        <v>-47.303528054504511</v>
      </c>
      <c r="BI312">
        <f t="shared" si="256"/>
        <v>-47.303528054504511</v>
      </c>
      <c r="BJ312">
        <f t="shared" si="241"/>
        <v>0</v>
      </c>
      <c r="BK312">
        <f t="shared" si="257"/>
        <v>0</v>
      </c>
      <c r="BM312">
        <f t="shared" si="258"/>
        <v>-57.491840967048887</v>
      </c>
      <c r="BN312">
        <f t="shared" si="242"/>
        <v>-157.22748501808579</v>
      </c>
      <c r="BQ312" s="56">
        <f t="shared" si="259"/>
        <v>34.648900237192905</v>
      </c>
      <c r="BR312" s="59"/>
      <c r="BS312" s="59"/>
      <c r="BT312" s="59">
        <v>104712.855</v>
      </c>
      <c r="BU312" s="59">
        <v>6.5692300000000001</v>
      </c>
      <c r="BV312" s="59">
        <v>-129.61699999999999</v>
      </c>
      <c r="BY312" s="59"/>
      <c r="BZ312" s="59"/>
      <c r="CA312" s="59"/>
      <c r="CC312" s="59"/>
    </row>
    <row r="313" spans="1:81" x14ac:dyDescent="0.25">
      <c r="A313">
        <f t="shared" si="263"/>
        <v>495000</v>
      </c>
      <c r="B313">
        <f t="shared" si="243"/>
        <v>495</v>
      </c>
      <c r="C313">
        <f t="shared" si="212"/>
        <v>1.0845709088652464</v>
      </c>
      <c r="D313">
        <f t="shared" si="213"/>
        <v>0.39752075928126168</v>
      </c>
      <c r="F313">
        <f t="shared" si="214"/>
        <v>8.0518366061641791E-5</v>
      </c>
      <c r="G313">
        <f t="shared" si="215"/>
        <v>3.5097555550144335E-3</v>
      </c>
      <c r="H313">
        <f t="shared" si="216"/>
        <v>-3.1380828944449859</v>
      </c>
      <c r="J313">
        <f t="shared" si="217"/>
        <v>15</v>
      </c>
      <c r="M313">
        <f t="shared" si="218"/>
        <v>5.3932692217991919E-3</v>
      </c>
      <c r="N313">
        <f t="shared" si="219"/>
        <v>-1.5707963250000001</v>
      </c>
      <c r="O313">
        <f t="shared" si="220"/>
        <v>133.43032876475752</v>
      </c>
      <c r="P313">
        <f t="shared" si="221"/>
        <v>1.5633017086607048</v>
      </c>
      <c r="Q313">
        <f t="shared" si="222"/>
        <v>126.38287727675485</v>
      </c>
      <c r="R313">
        <f t="shared" si="223"/>
        <v>1.5628837799661102</v>
      </c>
      <c r="S313">
        <f t="shared" si="224"/>
        <v>0.2969286707280463</v>
      </c>
      <c r="T313">
        <f t="shared" si="225"/>
        <v>-1.2693216779033067</v>
      </c>
      <c r="U313">
        <f t="shared" si="226"/>
        <v>0.9003149772200838</v>
      </c>
      <c r="V313">
        <f t="shared" si="227"/>
        <v>-0.45030366456230675</v>
      </c>
      <c r="X313">
        <f t="shared" si="244"/>
        <v>-29.938286656838152</v>
      </c>
      <c r="Y313">
        <f t="shared" si="228"/>
        <v>-166.43268391923885</v>
      </c>
      <c r="Z313">
        <f t="shared" si="245"/>
        <v>13.567316080761145</v>
      </c>
      <c r="AC313">
        <v>1</v>
      </c>
      <c r="AD313">
        <f t="shared" si="229"/>
        <v>133.42658143815001</v>
      </c>
      <c r="AE313">
        <f t="shared" si="230"/>
        <v>-4.9797629746213363E-3</v>
      </c>
      <c r="AF313">
        <f t="shared" si="231"/>
        <v>1.0300905308232E-2</v>
      </c>
      <c r="AG313">
        <f t="shared" si="246"/>
        <v>10461.152319622455</v>
      </c>
      <c r="AH313">
        <f t="shared" si="247"/>
        <v>-5154.3099761046951</v>
      </c>
      <c r="AJ313">
        <f t="shared" si="232"/>
        <v>18000</v>
      </c>
      <c r="AK313">
        <f t="shared" si="233"/>
        <v>57886.609177782004</v>
      </c>
      <c r="AL313">
        <v>1</v>
      </c>
      <c r="AM313">
        <f t="shared" si="234"/>
        <v>126.37892098269901</v>
      </c>
      <c r="AN313">
        <f t="shared" si="248"/>
        <v>459.13831604736595</v>
      </c>
      <c r="AO313">
        <f t="shared" si="249"/>
        <v>-138.79578609754026</v>
      </c>
      <c r="AQ313">
        <f t="shared" si="235"/>
        <v>1.0203030095877873E-2</v>
      </c>
      <c r="AR313">
        <f t="shared" si="236"/>
        <v>-10.100999794919096</v>
      </c>
      <c r="AT313">
        <f t="shared" si="261"/>
        <v>-51956.948559628305</v>
      </c>
      <c r="AU313">
        <f t="shared" si="262"/>
        <v>-105720.68701493352</v>
      </c>
      <c r="AV313">
        <f t="shared" si="250"/>
        <v>-2.0275845088248303</v>
      </c>
      <c r="AW313">
        <f t="shared" si="251"/>
        <v>10743.637449333428</v>
      </c>
      <c r="AX313">
        <f t="shared" si="252"/>
        <v>-11072.525975516322</v>
      </c>
      <c r="AY313">
        <f t="shared" si="260"/>
        <v>-0.8004724735664146</v>
      </c>
      <c r="BA313">
        <f t="shared" si="237"/>
        <v>7.6352892509421473</v>
      </c>
      <c r="BB313">
        <f t="shared" si="253"/>
        <v>17.656509885369612</v>
      </c>
      <c r="BC313">
        <f t="shared" si="254"/>
        <v>-1.2271120352584157</v>
      </c>
      <c r="BD313">
        <f t="shared" si="238"/>
        <v>-250.3083406903549</v>
      </c>
      <c r="BF313">
        <f t="shared" si="239"/>
        <v>-39.998606841921877</v>
      </c>
      <c r="BG313">
        <f t="shared" si="240"/>
        <v>-227.33098470802227</v>
      </c>
      <c r="BH313">
        <f t="shared" si="255"/>
        <v>-47.330984708022271</v>
      </c>
      <c r="BI313">
        <f t="shared" si="256"/>
        <v>-47.330984708022271</v>
      </c>
      <c r="BJ313">
        <f t="shared" si="241"/>
        <v>0</v>
      </c>
      <c r="BK313">
        <f t="shared" si="257"/>
        <v>0</v>
      </c>
      <c r="BM313">
        <f t="shared" si="258"/>
        <v>-57.655116727291485</v>
      </c>
      <c r="BN313">
        <f t="shared" si="242"/>
        <v>-157.0226440176674</v>
      </c>
      <c r="BQ313" s="56">
        <f t="shared" si="259"/>
        <v>34.558470685654747</v>
      </c>
      <c r="BR313" s="59"/>
      <c r="BS313" s="59"/>
      <c r="BT313" s="59">
        <v>107151.931</v>
      </c>
      <c r="BU313" s="59">
        <v>6.77081</v>
      </c>
      <c r="BV313" s="59">
        <v>-129.57599999999999</v>
      </c>
      <c r="BY313" s="59"/>
      <c r="BZ313" s="59"/>
      <c r="CA313" s="59"/>
      <c r="CC313" s="59"/>
    </row>
    <row r="314" spans="1:81" x14ac:dyDescent="0.25">
      <c r="A314">
        <f t="shared" si="263"/>
        <v>500000</v>
      </c>
      <c r="B314">
        <f t="shared" si="243"/>
        <v>500</v>
      </c>
      <c r="C314">
        <f t="shared" si="212"/>
        <v>1.0862198395346969</v>
      </c>
      <c r="D314">
        <f t="shared" si="213"/>
        <v>0.40112081229940028</v>
      </c>
      <c r="F314">
        <f t="shared" si="214"/>
        <v>7.8915930826730282E-5</v>
      </c>
      <c r="G314">
        <f t="shared" si="215"/>
        <v>3.474652584900859E-3</v>
      </c>
      <c r="H314">
        <f t="shared" si="216"/>
        <v>-3.1381179974150992</v>
      </c>
      <c r="J314">
        <f t="shared" si="217"/>
        <v>15</v>
      </c>
      <c r="M314">
        <f t="shared" si="218"/>
        <v>5.3393365295812002E-3</v>
      </c>
      <c r="N314">
        <f t="shared" si="219"/>
        <v>-1.5707963250000001</v>
      </c>
      <c r="O314">
        <f t="shared" si="220"/>
        <v>134.77803453937813</v>
      </c>
      <c r="P314">
        <f t="shared" si="221"/>
        <v>1.5633766520775827</v>
      </c>
      <c r="Q314">
        <f t="shared" si="222"/>
        <v>127.65939247243526</v>
      </c>
      <c r="R314">
        <f t="shared" si="223"/>
        <v>1.5629629021811977</v>
      </c>
      <c r="S314">
        <f t="shared" si="224"/>
        <v>0.29421760208442699</v>
      </c>
      <c r="T314">
        <f t="shared" si="225"/>
        <v>-1.2721595432153163</v>
      </c>
      <c r="U314">
        <f t="shared" si="226"/>
        <v>0.89858853492311375</v>
      </c>
      <c r="V314">
        <f t="shared" si="227"/>
        <v>-0.45425418724771777</v>
      </c>
      <c r="X314">
        <f t="shared" si="244"/>
        <v>-30.108752305242255</v>
      </c>
      <c r="Y314">
        <f t="shared" si="228"/>
        <v>-166.60854599898286</v>
      </c>
      <c r="Z314">
        <f t="shared" si="245"/>
        <v>13.391454001017138</v>
      </c>
      <c r="AC314">
        <v>1</v>
      </c>
      <c r="AD314">
        <f t="shared" si="229"/>
        <v>134.77432468500001</v>
      </c>
      <c r="AE314">
        <f t="shared" si="230"/>
        <v>-5.0808723340693166E-3</v>
      </c>
      <c r="AF314">
        <f t="shared" si="231"/>
        <v>1.04049548568E-2</v>
      </c>
      <c r="AG314">
        <f t="shared" si="246"/>
        <v>10421.070215396388</v>
      </c>
      <c r="AH314">
        <f t="shared" si="247"/>
        <v>-5184.8497270071584</v>
      </c>
      <c r="AJ314">
        <f t="shared" si="232"/>
        <v>18000</v>
      </c>
      <c r="AK314">
        <f t="shared" si="233"/>
        <v>58471.322401800004</v>
      </c>
      <c r="AL314">
        <v>1</v>
      </c>
      <c r="AM314">
        <f t="shared" si="234"/>
        <v>127.65547574010002</v>
      </c>
      <c r="AN314">
        <f t="shared" si="248"/>
        <v>459.11646219199372</v>
      </c>
      <c r="AO314">
        <f t="shared" si="249"/>
        <v>-137.40799943059511</v>
      </c>
      <c r="AQ314">
        <f t="shared" si="235"/>
        <v>9.9999900000099992E-3</v>
      </c>
      <c r="AR314">
        <f t="shared" si="236"/>
        <v>-9.9999900000099995</v>
      </c>
      <c r="AT314">
        <f t="shared" si="261"/>
        <v>-51744.234823682789</v>
      </c>
      <c r="AU314">
        <f t="shared" si="262"/>
        <v>-104262.44638878756</v>
      </c>
      <c r="AV314">
        <f t="shared" si="250"/>
        <v>-2.0314701890932616</v>
      </c>
      <c r="AW314">
        <f t="shared" si="251"/>
        <v>10726.657117614488</v>
      </c>
      <c r="AX314">
        <f t="shared" si="252"/>
        <v>-11053.213334269367</v>
      </c>
      <c r="AY314">
        <f t="shared" si="260"/>
        <v>-0.80039052757253759</v>
      </c>
      <c r="BA314">
        <f t="shared" si="237"/>
        <v>7.5570182296108763</v>
      </c>
      <c r="BB314">
        <f t="shared" si="253"/>
        <v>17.567009397140641</v>
      </c>
      <c r="BC314">
        <f t="shared" si="254"/>
        <v>-1.231079661520724</v>
      </c>
      <c r="BD314">
        <f t="shared" si="238"/>
        <v>-250.53566893013016</v>
      </c>
      <c r="BF314">
        <f t="shared" si="239"/>
        <v>-40.249517136358847</v>
      </c>
      <c r="BG314">
        <f t="shared" si="240"/>
        <v>-227.35405635563734</v>
      </c>
      <c r="BH314">
        <f t="shared" si="255"/>
        <v>-47.35405635563734</v>
      </c>
      <c r="BI314">
        <f t="shared" si="256"/>
        <v>-47.35405635563734</v>
      </c>
      <c r="BJ314">
        <f t="shared" si="241"/>
        <v>0</v>
      </c>
      <c r="BK314">
        <f t="shared" si="257"/>
        <v>0</v>
      </c>
      <c r="BM314">
        <f t="shared" si="258"/>
        <v>-57.816526533499484</v>
      </c>
      <c r="BN314">
        <f t="shared" si="242"/>
        <v>-156.81838742550718</v>
      </c>
      <c r="BQ314" s="56">
        <f t="shared" si="259"/>
        <v>34.468970197425776</v>
      </c>
      <c r="BR314" s="59"/>
      <c r="BS314" s="59"/>
      <c r="BT314" s="59">
        <v>109647.82</v>
      </c>
      <c r="BU314" s="59">
        <v>6.9849899999999998</v>
      </c>
      <c r="BV314" s="59">
        <v>-129.52799999999999</v>
      </c>
      <c r="BY314" s="59"/>
      <c r="BZ314" s="59"/>
      <c r="CA314" s="59"/>
      <c r="CC314" s="59"/>
    </row>
    <row r="315" spans="1:81" x14ac:dyDescent="0.25">
      <c r="A315">
        <f t="shared" si="263"/>
        <v>505000</v>
      </c>
      <c r="B315">
        <f t="shared" si="243"/>
        <v>505</v>
      </c>
      <c r="C315">
        <f t="shared" si="212"/>
        <v>1.087882805245463</v>
      </c>
      <c r="D315">
        <f t="shared" si="213"/>
        <v>0.40470990544780294</v>
      </c>
      <c r="F315">
        <f t="shared" si="214"/>
        <v>7.7360861303857234E-5</v>
      </c>
      <c r="G315">
        <f t="shared" si="215"/>
        <v>3.4402448815681295E-3</v>
      </c>
      <c r="H315">
        <f t="shared" si="216"/>
        <v>-3.138152405118432</v>
      </c>
      <c r="J315">
        <f t="shared" si="217"/>
        <v>15</v>
      </c>
      <c r="M315">
        <f t="shared" si="218"/>
        <v>5.2864718114665338E-3</v>
      </c>
      <c r="N315">
        <f t="shared" si="219"/>
        <v>-1.5707963250000001</v>
      </c>
      <c r="O315">
        <f t="shared" si="220"/>
        <v>136.12574105599273</v>
      </c>
      <c r="P315">
        <f t="shared" si="221"/>
        <v>1.5634501115472967</v>
      </c>
      <c r="Q315">
        <f t="shared" si="222"/>
        <v>128.93590845148034</v>
      </c>
      <c r="R315">
        <f t="shared" si="223"/>
        <v>1.563040457714943</v>
      </c>
      <c r="S315">
        <f t="shared" si="224"/>
        <v>0.29155330698160326</v>
      </c>
      <c r="T315">
        <f t="shared" si="225"/>
        <v>-1.2749460339055232</v>
      </c>
      <c r="U315">
        <f t="shared" si="226"/>
        <v>0.89685478470878088</v>
      </c>
      <c r="V315">
        <f t="shared" si="227"/>
        <v>-0.45818952675828378</v>
      </c>
      <c r="X315">
        <f t="shared" si="244"/>
        <v>-30.277703369379626</v>
      </c>
      <c r="Y315">
        <f t="shared" si="228"/>
        <v>-166.7813575044477</v>
      </c>
      <c r="Z315">
        <f t="shared" si="245"/>
        <v>13.218642495552302</v>
      </c>
      <c r="AC315">
        <v>1</v>
      </c>
      <c r="AD315">
        <f t="shared" si="229"/>
        <v>136.12206793185001</v>
      </c>
      <c r="AE315">
        <f t="shared" si="230"/>
        <v>-5.182997867984109E-3</v>
      </c>
      <c r="AF315">
        <f t="shared" si="231"/>
        <v>1.0509004405368E-2</v>
      </c>
      <c r="AG315">
        <f t="shared" si="246"/>
        <v>10380.895870557724</v>
      </c>
      <c r="AH315">
        <f t="shared" si="247"/>
        <v>-5214.9717566843674</v>
      </c>
      <c r="AJ315">
        <f t="shared" si="232"/>
        <v>18000</v>
      </c>
      <c r="AK315">
        <f t="shared" si="233"/>
        <v>59056.035625818004</v>
      </c>
      <c r="AL315">
        <v>1</v>
      </c>
      <c r="AM315">
        <f t="shared" si="234"/>
        <v>128.93203049750102</v>
      </c>
      <c r="AN315">
        <f t="shared" si="248"/>
        <v>459.09525419010424</v>
      </c>
      <c r="AO315">
        <f t="shared" si="249"/>
        <v>-136.04768867849234</v>
      </c>
      <c r="AQ315">
        <f t="shared" si="235"/>
        <v>9.8029508842751838E-3</v>
      </c>
      <c r="AR315">
        <f t="shared" si="236"/>
        <v>-9.900980393117937</v>
      </c>
      <c r="AT315">
        <f t="shared" si="261"/>
        <v>-51531.569701241875</v>
      </c>
      <c r="AU315">
        <f t="shared" si="262"/>
        <v>-102832.16858938464</v>
      </c>
      <c r="AV315">
        <f t="shared" si="250"/>
        <v>-2.0353419701144091</v>
      </c>
      <c r="AW315">
        <f t="shared" si="251"/>
        <v>10708.752868306021</v>
      </c>
      <c r="AX315">
        <f t="shared" si="252"/>
        <v>-11034.499168751503</v>
      </c>
      <c r="AY315">
        <f t="shared" si="260"/>
        <v>-0.80037853213251742</v>
      </c>
      <c r="BA315">
        <f t="shared" si="237"/>
        <v>7.4803340286990148</v>
      </c>
      <c r="BB315">
        <f t="shared" si="253"/>
        <v>17.478419827828816</v>
      </c>
      <c r="BC315">
        <f t="shared" si="254"/>
        <v>-1.2349634379818917</v>
      </c>
      <c r="BD315">
        <f t="shared" si="238"/>
        <v>-250.75819293018162</v>
      </c>
      <c r="BF315">
        <f t="shared" si="239"/>
        <v>-40.497686814329874</v>
      </c>
      <c r="BG315">
        <f t="shared" si="240"/>
        <v>-227.37291188195695</v>
      </c>
      <c r="BH315">
        <f t="shared" si="255"/>
        <v>-47.372911881956952</v>
      </c>
      <c r="BI315">
        <f t="shared" si="256"/>
        <v>-47.372911881956952</v>
      </c>
      <c r="BJ315">
        <f t="shared" si="241"/>
        <v>0</v>
      </c>
      <c r="BK315">
        <f t="shared" si="257"/>
        <v>0</v>
      </c>
      <c r="BM315">
        <f t="shared" si="258"/>
        <v>-57.976106642158683</v>
      </c>
      <c r="BN315">
        <f t="shared" si="242"/>
        <v>-156.61471895177536</v>
      </c>
      <c r="BQ315" s="56">
        <f t="shared" si="259"/>
        <v>34.380380628113954</v>
      </c>
      <c r="BR315" s="59"/>
      <c r="BS315" s="59"/>
      <c r="BT315" s="59">
        <v>112201.845</v>
      </c>
      <c r="BU315" s="59">
        <v>7.2120699999999998</v>
      </c>
      <c r="BV315" s="59">
        <v>-129.44300000000001</v>
      </c>
      <c r="BY315" s="59"/>
      <c r="BZ315" s="59"/>
      <c r="CA315" s="59"/>
      <c r="CC315" s="59"/>
    </row>
    <row r="316" spans="1:81" x14ac:dyDescent="0.25">
      <c r="A316">
        <f t="shared" si="263"/>
        <v>510000</v>
      </c>
      <c r="B316">
        <f t="shared" si="243"/>
        <v>510</v>
      </c>
      <c r="C316">
        <f t="shared" si="212"/>
        <v>1.0895597417336293</v>
      </c>
      <c r="D316">
        <f t="shared" si="213"/>
        <v>0.40828799665581195</v>
      </c>
      <c r="F316">
        <f t="shared" si="214"/>
        <v>7.5851308926256608E-5</v>
      </c>
      <c r="G316">
        <f t="shared" si="215"/>
        <v>3.4065119898695579E-3</v>
      </c>
      <c r="H316">
        <f t="shared" si="216"/>
        <v>-3.1381861380101306</v>
      </c>
      <c r="J316">
        <f t="shared" si="217"/>
        <v>15</v>
      </c>
      <c r="M316">
        <f t="shared" si="218"/>
        <v>5.2346436564521563E-3</v>
      </c>
      <c r="N316">
        <f t="shared" si="219"/>
        <v>-1.5707963250000001</v>
      </c>
      <c r="O316">
        <f t="shared" si="220"/>
        <v>137.47344829277921</v>
      </c>
      <c r="P316">
        <f t="shared" si="221"/>
        <v>1.563522130712226</v>
      </c>
      <c r="Q316">
        <f t="shared" si="222"/>
        <v>130.21242519085143</v>
      </c>
      <c r="R316">
        <f t="shared" si="223"/>
        <v>1.5631164926425309</v>
      </c>
      <c r="S316">
        <f t="shared" si="224"/>
        <v>0.2889346486346912</v>
      </c>
      <c r="T316">
        <f t="shared" si="225"/>
        <v>-1.2776824904115733</v>
      </c>
      <c r="U316">
        <f t="shared" si="226"/>
        <v>0.8951139294274848</v>
      </c>
      <c r="V316">
        <f t="shared" si="227"/>
        <v>-0.46210964926803277</v>
      </c>
      <c r="X316">
        <f t="shared" si="244"/>
        <v>-30.445165919905229</v>
      </c>
      <c r="Y316">
        <f t="shared" si="228"/>
        <v>-166.95119174099486</v>
      </c>
      <c r="Z316">
        <f t="shared" si="245"/>
        <v>13.048808259005142</v>
      </c>
      <c r="AC316">
        <v>1</v>
      </c>
      <c r="AD316">
        <f t="shared" si="229"/>
        <v>137.46981117870001</v>
      </c>
      <c r="AE316">
        <f t="shared" si="230"/>
        <v>-5.2861395763657152E-3</v>
      </c>
      <c r="AF316">
        <f t="shared" si="231"/>
        <v>1.0613053953936E-2</v>
      </c>
      <c r="AG316">
        <f t="shared" si="246"/>
        <v>10340.634953007604</v>
      </c>
      <c r="AH316">
        <f t="shared" si="247"/>
        <v>-5244.6769715328801</v>
      </c>
      <c r="AJ316">
        <f t="shared" si="232"/>
        <v>18000</v>
      </c>
      <c r="AK316">
        <f t="shared" si="233"/>
        <v>59640.748849836011</v>
      </c>
      <c r="AL316">
        <v>1</v>
      </c>
      <c r="AM316">
        <f t="shared" si="234"/>
        <v>130.208585254902</v>
      </c>
      <c r="AN316">
        <f t="shared" si="248"/>
        <v>459.07466684118089</v>
      </c>
      <c r="AO316">
        <f t="shared" si="249"/>
        <v>-134.71404591962917</v>
      </c>
      <c r="AQ316">
        <f t="shared" si="235"/>
        <v>9.6116785739344731E-3</v>
      </c>
      <c r="AR316">
        <f t="shared" si="236"/>
        <v>-9.8039121454131628</v>
      </c>
      <c r="AT316">
        <f t="shared" si="261"/>
        <v>-51318.961400561224</v>
      </c>
      <c r="AU316">
        <f t="shared" si="262"/>
        <v>-101429.08675634961</v>
      </c>
      <c r="AV316">
        <f t="shared" si="250"/>
        <v>-2.0391997803028445</v>
      </c>
      <c r="AW316">
        <f t="shared" si="251"/>
        <v>10689.963061336379</v>
      </c>
      <c r="AX316">
        <f t="shared" si="252"/>
        <v>-11016.352891398894</v>
      </c>
      <c r="AY316">
        <f t="shared" si="260"/>
        <v>-0.8004336597558187</v>
      </c>
      <c r="BA316">
        <f t="shared" si="237"/>
        <v>7.4051894790616375</v>
      </c>
      <c r="BB316">
        <f t="shared" si="253"/>
        <v>17.390723508753215</v>
      </c>
      <c r="BC316">
        <f t="shared" si="254"/>
        <v>-1.2387661205470257</v>
      </c>
      <c r="BD316">
        <f t="shared" si="238"/>
        <v>-250.97607059224072</v>
      </c>
      <c r="BF316">
        <f t="shared" si="239"/>
        <v>-40.743168757160227</v>
      </c>
      <c r="BG316">
        <f t="shared" si="240"/>
        <v>-227.38771277117738</v>
      </c>
      <c r="BH316">
        <f t="shared" si="255"/>
        <v>-47.387712771177377</v>
      </c>
      <c r="BI316">
        <f t="shared" si="256"/>
        <v>-47.387712771177377</v>
      </c>
      <c r="BJ316">
        <f t="shared" si="241"/>
        <v>0</v>
      </c>
      <c r="BK316">
        <f t="shared" si="257"/>
        <v>0</v>
      </c>
      <c r="BM316">
        <f t="shared" si="258"/>
        <v>-58.133892265913445</v>
      </c>
      <c r="BN316">
        <f t="shared" si="242"/>
        <v>-156.41164217893663</v>
      </c>
      <c r="BQ316" s="56">
        <f t="shared" si="259"/>
        <v>34.29268430903835</v>
      </c>
      <c r="BR316" s="59"/>
      <c r="BS316" s="59"/>
      <c r="BT316" s="59">
        <v>114815.36199999999</v>
      </c>
      <c r="BU316" s="59">
        <v>7.47248</v>
      </c>
      <c r="BV316" s="59">
        <v>-129.58500000000001</v>
      </c>
      <c r="BY316" s="59"/>
      <c r="BZ316" s="59"/>
      <c r="CA316" s="59"/>
      <c r="CC316" s="59"/>
    </row>
    <row r="317" spans="1:81" x14ac:dyDescent="0.25">
      <c r="A317">
        <f t="shared" si="263"/>
        <v>515000</v>
      </c>
      <c r="B317">
        <f t="shared" si="243"/>
        <v>515</v>
      </c>
      <c r="C317">
        <f t="shared" si="212"/>
        <v>1.0912505845920673</v>
      </c>
      <c r="D317">
        <f t="shared" si="213"/>
        <v>0.41185504523710581</v>
      </c>
      <c r="F317">
        <f t="shared" si="214"/>
        <v>7.4385514438402251E-5</v>
      </c>
      <c r="G317">
        <f t="shared" si="215"/>
        <v>3.3734342493260739E-3</v>
      </c>
      <c r="H317">
        <f t="shared" si="216"/>
        <v>-3.1382192157506741</v>
      </c>
      <c r="J317">
        <f t="shared" si="217"/>
        <v>15</v>
      </c>
      <c r="M317">
        <f t="shared" si="218"/>
        <v>5.183821873379805E-3</v>
      </c>
      <c r="N317">
        <f t="shared" si="219"/>
        <v>-1.5707963250000001</v>
      </c>
      <c r="O317">
        <f t="shared" si="220"/>
        <v>138.8211562287627</v>
      </c>
      <c r="P317">
        <f t="shared" si="221"/>
        <v>1.5635927515200498</v>
      </c>
      <c r="Q317">
        <f t="shared" si="222"/>
        <v>131.48894266840432</v>
      </c>
      <c r="R317">
        <f t="shared" si="223"/>
        <v>1.5631910512499945</v>
      </c>
      <c r="S317">
        <f t="shared" si="224"/>
        <v>0.28636052441489834</v>
      </c>
      <c r="T317">
        <f t="shared" si="225"/>
        <v>-1.2803702084611364</v>
      </c>
      <c r="U317">
        <f t="shared" si="226"/>
        <v>0.89336617041579502</v>
      </c>
      <c r="V317">
        <f t="shared" si="227"/>
        <v>-0.4660145230827904</v>
      </c>
      <c r="X317">
        <f t="shared" si="244"/>
        <v>-30.611165371197259</v>
      </c>
      <c r="Y317">
        <f t="shared" si="228"/>
        <v>-167.11811964919804</v>
      </c>
      <c r="Z317">
        <f t="shared" si="245"/>
        <v>12.881880350801964</v>
      </c>
      <c r="AC317">
        <v>1</v>
      </c>
      <c r="AD317">
        <f t="shared" si="229"/>
        <v>138.81755442555001</v>
      </c>
      <c r="AE317">
        <f t="shared" si="230"/>
        <v>-5.390297459214136E-3</v>
      </c>
      <c r="AF317">
        <f t="shared" si="231"/>
        <v>1.0717103502503999E-2</v>
      </c>
      <c r="AG317">
        <f t="shared" si="246"/>
        <v>10300.293063263382</v>
      </c>
      <c r="AH317">
        <f t="shared" si="247"/>
        <v>-5273.9663767232987</v>
      </c>
      <c r="AJ317">
        <f t="shared" si="232"/>
        <v>18000</v>
      </c>
      <c r="AK317">
        <f t="shared" si="233"/>
        <v>60225.462073854003</v>
      </c>
      <c r="AL317">
        <v>1</v>
      </c>
      <c r="AM317">
        <f t="shared" si="234"/>
        <v>131.48514001230302</v>
      </c>
      <c r="AN317">
        <f t="shared" si="248"/>
        <v>459.05467616192215</v>
      </c>
      <c r="AO317">
        <f t="shared" si="249"/>
        <v>-133.40629459874157</v>
      </c>
      <c r="AQ317">
        <f t="shared" si="235"/>
        <v>9.4259502064754398E-3</v>
      </c>
      <c r="AR317">
        <f t="shared" si="236"/>
        <v>-9.7087287126697017</v>
      </c>
      <c r="AT317">
        <f t="shared" si="261"/>
        <v>-51106.418741821653</v>
      </c>
      <c r="AU317">
        <f t="shared" si="262"/>
        <v>-100052.46315667537</v>
      </c>
      <c r="AV317">
        <f t="shared" si="250"/>
        <v>-2.0430435516711727</v>
      </c>
      <c r="AW317">
        <f t="shared" si="251"/>
        <v>10670.324434289894</v>
      </c>
      <c r="AX317">
        <f t="shared" si="252"/>
        <v>-10998.745265427695</v>
      </c>
      <c r="AY317">
        <f t="shared" si="260"/>
        <v>-0.80055320659568119</v>
      </c>
      <c r="BA317">
        <f t="shared" si="237"/>
        <v>7.3315392121346008</v>
      </c>
      <c r="BB317">
        <f t="shared" si="253"/>
        <v>17.303903234052779</v>
      </c>
      <c r="BC317">
        <f t="shared" si="254"/>
        <v>-1.2424903450754914</v>
      </c>
      <c r="BD317">
        <f t="shared" si="238"/>
        <v>-251.18945293992473</v>
      </c>
      <c r="BF317">
        <f t="shared" si="239"/>
        <v>-40.986014380079496</v>
      </c>
      <c r="BG317">
        <f t="shared" si="240"/>
        <v>-227.3986135045327</v>
      </c>
      <c r="BH317">
        <f t="shared" si="255"/>
        <v>-47.398613504532705</v>
      </c>
      <c r="BI317">
        <f t="shared" si="256"/>
        <v>-47.398613504532705</v>
      </c>
      <c r="BJ317">
        <f t="shared" si="241"/>
        <v>0</v>
      </c>
      <c r="BK317">
        <f t="shared" si="257"/>
        <v>0</v>
      </c>
      <c r="BM317">
        <f t="shared" si="258"/>
        <v>-58.289917614132278</v>
      </c>
      <c r="BN317">
        <f t="shared" si="242"/>
        <v>-156.20916056460797</v>
      </c>
      <c r="BQ317" s="56">
        <f t="shared" si="259"/>
        <v>34.205864034337914</v>
      </c>
      <c r="BR317" s="59"/>
      <c r="BS317" s="59"/>
      <c r="BT317" s="59">
        <v>117489.755</v>
      </c>
      <c r="BU317" s="59">
        <v>7.6753600000000004</v>
      </c>
      <c r="BV317" s="59">
        <v>-129.61699999999999</v>
      </c>
      <c r="BY317" s="59"/>
      <c r="BZ317" s="59"/>
      <c r="CA317" s="59"/>
      <c r="CC317" s="59"/>
    </row>
    <row r="318" spans="1:81" x14ac:dyDescent="0.25">
      <c r="A318">
        <f t="shared" si="263"/>
        <v>520000</v>
      </c>
      <c r="B318">
        <f t="shared" si="243"/>
        <v>520</v>
      </c>
      <c r="C318">
        <f t="shared" si="212"/>
        <v>1.0929552692797466</v>
      </c>
      <c r="D318">
        <f t="shared" si="213"/>
        <v>0.41541101188010993</v>
      </c>
      <c r="F318">
        <f t="shared" si="214"/>
        <v>7.2961802767528797E-5</v>
      </c>
      <c r="G318">
        <f t="shared" si="215"/>
        <v>3.3409927559043856E-3</v>
      </c>
      <c r="H318">
        <f t="shared" si="216"/>
        <v>-3.1382516572440959</v>
      </c>
      <c r="J318">
        <f t="shared" si="217"/>
        <v>15</v>
      </c>
      <c r="M318">
        <f t="shared" si="218"/>
        <v>5.1339774322896152E-3</v>
      </c>
      <c r="N318">
        <f t="shared" si="219"/>
        <v>-1.5707963250000001</v>
      </c>
      <c r="O318">
        <f t="shared" si="220"/>
        <v>140.16886484377514</v>
      </c>
      <c r="P318">
        <f t="shared" si="221"/>
        <v>1.5636620143052147</v>
      </c>
      <c r="Q318">
        <f t="shared" si="222"/>
        <v>132.7654608628466</v>
      </c>
      <c r="R318">
        <f t="shared" si="223"/>
        <v>1.5632641761202222</v>
      </c>
      <c r="S318">
        <f t="shared" si="224"/>
        <v>0.28382986469176535</v>
      </c>
      <c r="T318">
        <f t="shared" si="225"/>
        <v>-1.2830104408520062</v>
      </c>
      <c r="U318">
        <f t="shared" si="226"/>
        <v>0.89161170746156604</v>
      </c>
      <c r="V318">
        <f t="shared" si="227"/>
        <v>-0.46990411861452608</v>
      </c>
      <c r="X318">
        <f t="shared" si="244"/>
        <v>-30.775726502397895</v>
      </c>
      <c r="Y318">
        <f t="shared" si="228"/>
        <v>-167.28220989850942</v>
      </c>
      <c r="Z318">
        <f t="shared" si="245"/>
        <v>12.717790101490579</v>
      </c>
      <c r="AC318">
        <v>1</v>
      </c>
      <c r="AD318">
        <f t="shared" si="229"/>
        <v>140.16529767240002</v>
      </c>
      <c r="AE318">
        <f t="shared" si="230"/>
        <v>-5.4954715165293714E-3</v>
      </c>
      <c r="AF318">
        <f t="shared" si="231"/>
        <v>1.0821153051072001E-2</v>
      </c>
      <c r="AG318">
        <f t="shared" si="246"/>
        <v>10259.875733631807</v>
      </c>
      <c r="AH318">
        <f t="shared" si="247"/>
        <v>-5302.8410730795313</v>
      </c>
      <c r="AJ318">
        <f t="shared" si="232"/>
        <v>18000</v>
      </c>
      <c r="AK318">
        <f t="shared" si="233"/>
        <v>60810.175297872003</v>
      </c>
      <c r="AL318">
        <v>1</v>
      </c>
      <c r="AM318">
        <f t="shared" si="234"/>
        <v>132.76169476970401</v>
      </c>
      <c r="AN318">
        <f t="shared" si="248"/>
        <v>459.03525931636699</v>
      </c>
      <c r="AO318">
        <f t="shared" si="249"/>
        <v>-132.12368801943356</v>
      </c>
      <c r="AQ318">
        <f t="shared" si="235"/>
        <v>9.2455535821435071E-3</v>
      </c>
      <c r="AR318">
        <f t="shared" si="236"/>
        <v>-9.6153757254292476</v>
      </c>
      <c r="AT318">
        <f t="shared" si="261"/>
        <v>-50893.951099056685</v>
      </c>
      <c r="AU318">
        <f t="shared" si="262"/>
        <v>-98701.587776362605</v>
      </c>
      <c r="AV318">
        <f t="shared" si="250"/>
        <v>-2.0468732197338984</v>
      </c>
      <c r="AW318">
        <f t="shared" si="251"/>
        <v>10649.872190293601</v>
      </c>
      <c r="AX318">
        <f t="shared" si="252"/>
        <v>-10981.648340953929</v>
      </c>
      <c r="AY318">
        <f t="shared" si="260"/>
        <v>-0.80073458590530899</v>
      </c>
      <c r="BA318">
        <f t="shared" si="237"/>
        <v>7.2593395788854345</v>
      </c>
      <c r="BB318">
        <f t="shared" si="253"/>
        <v>17.217942247908084</v>
      </c>
      <c r="BC318">
        <f t="shared" si="254"/>
        <v>-1.2461386338285894</v>
      </c>
      <c r="BD318">
        <f t="shared" si="238"/>
        <v>-251.39848448816116</v>
      </c>
      <c r="BF318">
        <f t="shared" si="239"/>
        <v>-41.226273683599302</v>
      </c>
      <c r="BG318">
        <f t="shared" si="240"/>
        <v>-227.40576193245914</v>
      </c>
      <c r="BH318">
        <f t="shared" si="255"/>
        <v>-47.405761932459143</v>
      </c>
      <c r="BI318">
        <f t="shared" si="256"/>
        <v>-47.405761932459143</v>
      </c>
      <c r="BJ318">
        <f t="shared" si="241"/>
        <v>0</v>
      </c>
      <c r="BK318">
        <f t="shared" si="257"/>
        <v>0</v>
      </c>
      <c r="BM318">
        <f t="shared" si="258"/>
        <v>-58.444215931507387</v>
      </c>
      <c r="BN318">
        <f t="shared" si="242"/>
        <v>-156.00727744429801</v>
      </c>
      <c r="BQ318" s="56">
        <f t="shared" si="259"/>
        <v>34.119903048193223</v>
      </c>
      <c r="BR318" s="59"/>
      <c r="BS318" s="59"/>
      <c r="BT318" s="59">
        <v>120226.443</v>
      </c>
      <c r="BU318" s="59">
        <v>7.9446199999999996</v>
      </c>
      <c r="BV318" s="59">
        <v>-129.863</v>
      </c>
      <c r="BY318" s="59"/>
      <c r="BZ318" s="59"/>
      <c r="CA318" s="59"/>
      <c r="CC318" s="59"/>
    </row>
    <row r="319" spans="1:81" x14ac:dyDescent="0.25">
      <c r="A319">
        <f t="shared" si="263"/>
        <v>525000</v>
      </c>
      <c r="B319">
        <f t="shared" si="243"/>
        <v>525</v>
      </c>
      <c r="C319">
        <f t="shared" si="212"/>
        <v>1.0946737311309511</v>
      </c>
      <c r="D319">
        <f t="shared" si="213"/>
        <v>0.41895585863814089</v>
      </c>
      <c r="F319">
        <f t="shared" si="214"/>
        <v>7.1578578235472685E-5</v>
      </c>
      <c r="G319">
        <f t="shared" si="215"/>
        <v>3.3091693259803437E-3</v>
      </c>
      <c r="H319">
        <f t="shared" si="216"/>
        <v>-3.1382834806740201</v>
      </c>
      <c r="J319">
        <f t="shared" si="217"/>
        <v>15</v>
      </c>
      <c r="M319">
        <f t="shared" si="218"/>
        <v>5.0850824091249521E-3</v>
      </c>
      <c r="N319">
        <f t="shared" si="219"/>
        <v>-1.5707963250000001</v>
      </c>
      <c r="O319">
        <f t="shared" si="220"/>
        <v>141.51657411841671</v>
      </c>
      <c r="P319">
        <f t="shared" si="221"/>
        <v>1.5637299578657466</v>
      </c>
      <c r="Q319">
        <f t="shared" si="222"/>
        <v>134.04197975369681</v>
      </c>
      <c r="R319">
        <f t="shared" si="223"/>
        <v>1.563335908214051</v>
      </c>
      <c r="S319">
        <f t="shared" si="224"/>
        <v>0.28134163171517462</v>
      </c>
      <c r="T319">
        <f t="shared" si="225"/>
        <v>-1.2856043991515544</v>
      </c>
      <c r="U319">
        <f t="shared" si="226"/>
        <v>0.88985073877052367</v>
      </c>
      <c r="V319">
        <f t="shared" si="227"/>
        <v>-0.47377840835539797</v>
      </c>
      <c r="X319">
        <f t="shared" si="244"/>
        <v>-30.938873477652315</v>
      </c>
      <c r="Y319">
        <f t="shared" si="228"/>
        <v>-167.4435289767265</v>
      </c>
      <c r="Z319">
        <f t="shared" si="245"/>
        <v>12.556471023273502</v>
      </c>
      <c r="AC319">
        <v>1</v>
      </c>
      <c r="AD319">
        <f t="shared" si="229"/>
        <v>141.51304091925002</v>
      </c>
      <c r="AE319">
        <f t="shared" si="230"/>
        <v>-5.6016617483114206E-3</v>
      </c>
      <c r="AF319">
        <f t="shared" si="231"/>
        <v>1.0925202599639999E-2</v>
      </c>
      <c r="AG319">
        <f t="shared" si="246"/>
        <v>10219.388427440015</v>
      </c>
      <c r="AH319">
        <f t="shared" si="247"/>
        <v>-5331.3022540237744</v>
      </c>
      <c r="AJ319">
        <f t="shared" si="232"/>
        <v>18000</v>
      </c>
      <c r="AK319">
        <f t="shared" si="233"/>
        <v>61394.888521889996</v>
      </c>
      <c r="AL319">
        <v>1</v>
      </c>
      <c r="AM319">
        <f t="shared" si="234"/>
        <v>134.03824952710499</v>
      </c>
      <c r="AN319">
        <f t="shared" si="248"/>
        <v>459.01639455065526</v>
      </c>
      <c r="AO319">
        <f t="shared" si="249"/>
        <v>-130.86550792281301</v>
      </c>
      <c r="AQ319">
        <f t="shared" si="235"/>
        <v>9.0702865575632129E-3</v>
      </c>
      <c r="AR319">
        <f t="shared" si="236"/>
        <v>-9.5238008854413732</v>
      </c>
      <c r="AT319">
        <f t="shared" si="261"/>
        <v>-50681.568345947286</v>
      </c>
      <c r="AU319">
        <f t="shared" si="262"/>
        <v>-97375.776993091509</v>
      </c>
      <c r="AV319">
        <f t="shared" si="250"/>
        <v>-2.0506887234150093</v>
      </c>
      <c r="AW319">
        <f t="shared" si="251"/>
        <v>10628.640080077301</v>
      </c>
      <c r="AX319">
        <f t="shared" si="252"/>
        <v>-10965.035394687633</v>
      </c>
      <c r="AY319">
        <f t="shared" si="260"/>
        <v>-0.80097532190518206</v>
      </c>
      <c r="BA319">
        <f t="shared" si="237"/>
        <v>7.1885485727470213</v>
      </c>
      <c r="BB319">
        <f t="shared" si="253"/>
        <v>17.132824231917223</v>
      </c>
      <c r="BC319">
        <f t="shared" si="254"/>
        <v>-1.2497134015098272</v>
      </c>
      <c r="BD319">
        <f t="shared" si="238"/>
        <v>-251.6033035892699</v>
      </c>
      <c r="BF319">
        <f t="shared" si="239"/>
        <v>-41.463995302884001</v>
      </c>
      <c r="BG319">
        <f t="shared" si="240"/>
        <v>-227.40929962330637</v>
      </c>
      <c r="BH319">
        <f t="shared" si="255"/>
        <v>-47.409299623306367</v>
      </c>
      <c r="BI319">
        <f t="shared" si="256"/>
        <v>-47.409299623306367</v>
      </c>
      <c r="BJ319">
        <f t="shared" si="241"/>
        <v>0</v>
      </c>
      <c r="BK319">
        <f t="shared" si="257"/>
        <v>0</v>
      </c>
      <c r="BM319">
        <f t="shared" si="258"/>
        <v>-58.596819534801227</v>
      </c>
      <c r="BN319">
        <f t="shared" si="242"/>
        <v>-155.8059960340365</v>
      </c>
      <c r="BQ319" s="56">
        <f t="shared" si="259"/>
        <v>34.034785032202358</v>
      </c>
      <c r="BR319" s="59"/>
      <c r="BS319" s="59"/>
      <c r="BT319" s="59">
        <v>123026.87699999999</v>
      </c>
      <c r="BU319" s="59">
        <v>8.1865900000000007</v>
      </c>
      <c r="BV319" s="59">
        <v>-130.31299999999999</v>
      </c>
      <c r="BY319" s="59"/>
      <c r="BZ319" s="59"/>
      <c r="CA319" s="59"/>
      <c r="CC319" s="59"/>
    </row>
    <row r="320" spans="1:81" x14ac:dyDescent="0.25">
      <c r="A320">
        <f t="shared" si="263"/>
        <v>530000</v>
      </c>
      <c r="B320">
        <f t="shared" si="243"/>
        <v>530</v>
      </c>
      <c r="C320">
        <f t="shared" si="212"/>
        <v>1.096405905364392</v>
      </c>
      <c r="D320">
        <f t="shared" si="213"/>
        <v>0.42248954891929408</v>
      </c>
      <c r="F320">
        <f t="shared" si="214"/>
        <v>7.0234320085265902E-5</v>
      </c>
      <c r="G320">
        <f t="shared" si="215"/>
        <v>3.2779464623431207E-3</v>
      </c>
      <c r="H320">
        <f t="shared" si="216"/>
        <v>-3.1383147035376573</v>
      </c>
      <c r="J320">
        <f t="shared" si="217"/>
        <v>15</v>
      </c>
      <c r="M320">
        <f t="shared" si="218"/>
        <v>5.0371099335671694E-3</v>
      </c>
      <c r="N320">
        <f t="shared" si="219"/>
        <v>-1.5707963250000001</v>
      </c>
      <c r="O320">
        <f t="shared" si="220"/>
        <v>142.86428403401956</v>
      </c>
      <c r="P320">
        <f t="shared" si="221"/>
        <v>1.5637966195357178</v>
      </c>
      <c r="Q320">
        <f t="shared" si="222"/>
        <v>135.31849932124641</v>
      </c>
      <c r="R320">
        <f t="shared" si="223"/>
        <v>1.5634062869467691</v>
      </c>
      <c r="S320">
        <f t="shared" si="224"/>
        <v>0.27889481853607584</v>
      </c>
      <c r="T320">
        <f t="shared" si="225"/>
        <v>-1.2881532553195305</v>
      </c>
      <c r="U320">
        <f t="shared" si="226"/>
        <v>0.88808346093430912</v>
      </c>
      <c r="V320">
        <f t="shared" si="227"/>
        <v>-0.47763736685151625</v>
      </c>
      <c r="X320">
        <f t="shared" si="244"/>
        <v>-31.100629865581094</v>
      </c>
      <c r="Y320">
        <f t="shared" si="228"/>
        <v>-167.60214127545976</v>
      </c>
      <c r="Z320">
        <f t="shared" si="245"/>
        <v>12.397858724540242</v>
      </c>
      <c r="AC320">
        <v>1</v>
      </c>
      <c r="AD320">
        <f t="shared" si="229"/>
        <v>142.86078416609999</v>
      </c>
      <c r="AE320">
        <f t="shared" si="230"/>
        <v>-5.7088681545602836E-3</v>
      </c>
      <c r="AF320">
        <f t="shared" si="231"/>
        <v>1.1029252148207999E-2</v>
      </c>
      <c r="AG320">
        <f t="shared" si="246"/>
        <v>10178.836538323261</v>
      </c>
      <c r="AH320">
        <f t="shared" si="247"/>
        <v>-5359.3512025846885</v>
      </c>
      <c r="AJ320">
        <f t="shared" si="232"/>
        <v>18000</v>
      </c>
      <c r="AK320">
        <f t="shared" si="233"/>
        <v>61979.60174590801</v>
      </c>
      <c r="AL320">
        <v>1</v>
      </c>
      <c r="AM320">
        <f t="shared" si="234"/>
        <v>135.31480428450598</v>
      </c>
      <c r="AN320">
        <f t="shared" si="248"/>
        <v>458.99806113207586</v>
      </c>
      <c r="AO320">
        <f t="shared" si="249"/>
        <v>-129.63106314655053</v>
      </c>
      <c r="AQ320">
        <f t="shared" si="235"/>
        <v>8.8999564792128158E-3</v>
      </c>
      <c r="AR320">
        <f t="shared" si="236"/>
        <v>-9.4339538679655863</v>
      </c>
      <c r="AT320">
        <f t="shared" si="261"/>
        <v>-50469.280805209739</v>
      </c>
      <c r="AU320">
        <f t="shared" si="262"/>
        <v>-96074.372324563999</v>
      </c>
      <c r="AV320">
        <f t="shared" si="250"/>
        <v>-2.0544900049590495</v>
      </c>
      <c r="AW320">
        <f t="shared" si="251"/>
        <v>10606.660478648204</v>
      </c>
      <c r="AX320">
        <f t="shared" si="252"/>
        <v>-10948.880872963578</v>
      </c>
      <c r="AY320">
        <f t="shared" si="260"/>
        <v>-0.80127304403196276</v>
      </c>
      <c r="BA320">
        <f t="shared" si="237"/>
        <v>7.1191257563434567</v>
      </c>
      <c r="BB320">
        <f t="shared" si="253"/>
        <v>17.048533292659531</v>
      </c>
      <c r="BC320">
        <f t="shared" si="254"/>
        <v>-1.2532169609270869</v>
      </c>
      <c r="BD320">
        <f t="shared" si="238"/>
        <v>-251.80404275738155</v>
      </c>
      <c r="BF320">
        <f t="shared" si="239"/>
        <v>-41.699226555186193</v>
      </c>
      <c r="BG320">
        <f t="shared" si="240"/>
        <v>-227.40936219028299</v>
      </c>
      <c r="BH320">
        <f t="shared" si="255"/>
        <v>-47.409362190282991</v>
      </c>
      <c r="BI320">
        <f t="shared" si="256"/>
        <v>-47.409362190282991</v>
      </c>
      <c r="BJ320">
        <f t="shared" si="241"/>
        <v>0</v>
      </c>
      <c r="BK320">
        <f t="shared" si="257"/>
        <v>0</v>
      </c>
      <c r="BM320">
        <f t="shared" si="258"/>
        <v>-58.747759847845728</v>
      </c>
      <c r="BN320">
        <f t="shared" si="242"/>
        <v>-155.60531943290144</v>
      </c>
      <c r="BQ320" s="56">
        <f t="shared" si="259"/>
        <v>33.950494092944666</v>
      </c>
      <c r="BR320" s="59"/>
      <c r="BS320" s="59"/>
      <c r="BT320" s="59">
        <v>125892.541</v>
      </c>
      <c r="BU320" s="59">
        <v>8.4445800000000002</v>
      </c>
      <c r="BV320" s="59">
        <v>-130.77099999999999</v>
      </c>
      <c r="BY320" s="59"/>
      <c r="BZ320" s="59"/>
      <c r="CA320" s="59"/>
      <c r="CC320" s="59"/>
    </row>
    <row r="321" spans="1:81" x14ac:dyDescent="0.25">
      <c r="A321">
        <f t="shared" si="263"/>
        <v>535000</v>
      </c>
      <c r="B321">
        <f t="shared" si="243"/>
        <v>535</v>
      </c>
      <c r="C321">
        <f t="shared" si="212"/>
        <v>1.0981517270922203</v>
      </c>
      <c r="D321">
        <f t="shared" si="213"/>
        <v>0.42601204747608334</v>
      </c>
      <c r="F321">
        <f t="shared" si="214"/>
        <v>6.8927578299055913E-5</v>
      </c>
      <c r="G321">
        <f t="shared" si="215"/>
        <v>3.2473073221066118E-3</v>
      </c>
      <c r="H321">
        <f t="shared" si="216"/>
        <v>-3.1383453426778938</v>
      </c>
      <c r="J321">
        <f t="shared" si="217"/>
        <v>15</v>
      </c>
      <c r="M321">
        <f t="shared" si="218"/>
        <v>4.9900341397955128E-3</v>
      </c>
      <c r="N321">
        <f t="shared" si="219"/>
        <v>-1.5707963250000001</v>
      </c>
      <c r="O321">
        <f t="shared" si="220"/>
        <v>144.21199457261369</v>
      </c>
      <c r="P321">
        <f t="shared" si="221"/>
        <v>1.5638620352536479</v>
      </c>
      <c r="Q321">
        <f t="shared" si="222"/>
        <v>136.59501954652353</v>
      </c>
      <c r="R321">
        <f t="shared" si="223"/>
        <v>1.56347535026033</v>
      </c>
      <c r="S321">
        <f t="shared" si="224"/>
        <v>0.27648844796485594</v>
      </c>
      <c r="T321">
        <f t="shared" si="225"/>
        <v>-1.2906581432579916</v>
      </c>
      <c r="U321">
        <f t="shared" si="226"/>
        <v>0.88631006889996466</v>
      </c>
      <c r="V321">
        <f t="shared" si="227"/>
        <v>-0.48148097067644952</v>
      </c>
      <c r="X321">
        <f t="shared" si="244"/>
        <v>-31.261018658019811</v>
      </c>
      <c r="Y321">
        <f t="shared" si="228"/>
        <v>-167.75810917179516</v>
      </c>
      <c r="Z321">
        <f t="shared" si="245"/>
        <v>12.241890828204845</v>
      </c>
      <c r="AC321">
        <v>1</v>
      </c>
      <c r="AD321">
        <f t="shared" si="229"/>
        <v>144.20852741295002</v>
      </c>
      <c r="AE321">
        <f t="shared" si="230"/>
        <v>-5.8170907352759604E-3</v>
      </c>
      <c r="AF321">
        <f t="shared" si="231"/>
        <v>1.1133301696776E-2</v>
      </c>
      <c r="AG321">
        <f t="shared" si="246"/>
        <v>10138.225389568504</v>
      </c>
      <c r="AH321">
        <f t="shared" si="247"/>
        <v>-5386.9892884665223</v>
      </c>
      <c r="AJ321">
        <f t="shared" si="232"/>
        <v>18000</v>
      </c>
      <c r="AK321">
        <f t="shared" si="233"/>
        <v>62564.314969926003</v>
      </c>
      <c r="AL321">
        <v>1</v>
      </c>
      <c r="AM321">
        <f t="shared" si="234"/>
        <v>136.591359041907</v>
      </c>
      <c r="AN321">
        <f t="shared" si="248"/>
        <v>458.98023929208159</v>
      </c>
      <c r="AO321">
        <f t="shared" si="249"/>
        <v>-128.41968835910208</v>
      </c>
      <c r="AQ321">
        <f t="shared" si="235"/>
        <v>8.7343796537866589E-3</v>
      </c>
      <c r="AR321">
        <f t="shared" si="236"/>
        <v>-9.3457862295517256</v>
      </c>
      <c r="AT321">
        <f t="shared" si="261"/>
        <v>-50257.09920132492</v>
      </c>
      <c r="AU321">
        <f t="shared" si="262"/>
        <v>-94796.739247557358</v>
      </c>
      <c r="AV321">
        <f t="shared" si="250"/>
        <v>-2.0582770098454417</v>
      </c>
      <c r="AW321">
        <f t="shared" si="251"/>
        <v>10583.964456984524</v>
      </c>
      <c r="AX321">
        <f t="shared" si="252"/>
        <v>-10933.160337888981</v>
      </c>
      <c r="AY321">
        <f t="shared" si="260"/>
        <v>-0.80162548154181701</v>
      </c>
      <c r="BA321">
        <f t="shared" si="237"/>
        <v>7.0510321918234924</v>
      </c>
      <c r="BB321">
        <f t="shared" si="253"/>
        <v>16.965053949474449</v>
      </c>
      <c r="BC321">
        <f t="shared" si="254"/>
        <v>-1.2566515283036246</v>
      </c>
      <c r="BD321">
        <f t="shared" si="238"/>
        <v>-252.00082897273535</v>
      </c>
      <c r="BF321">
        <f t="shared" si="239"/>
        <v>-41.932013485418381</v>
      </c>
      <c r="BG321">
        <f t="shared" si="240"/>
        <v>-227.40607959818669</v>
      </c>
      <c r="BH321">
        <f t="shared" si="255"/>
        <v>-47.406079598186693</v>
      </c>
      <c r="BI321">
        <f t="shared" si="256"/>
        <v>-47.406079598186693</v>
      </c>
      <c r="BJ321">
        <f t="shared" si="241"/>
        <v>0</v>
      </c>
      <c r="BK321">
        <f t="shared" si="257"/>
        <v>0</v>
      </c>
      <c r="BM321">
        <f t="shared" si="258"/>
        <v>-58.897067434892833</v>
      </c>
      <c r="BN321">
        <f t="shared" si="242"/>
        <v>-155.40525062545134</v>
      </c>
      <c r="BQ321" s="56">
        <f t="shared" si="259"/>
        <v>33.867014749759583</v>
      </c>
      <c r="BR321" s="59"/>
      <c r="BS321" s="59"/>
      <c r="BT321" s="59">
        <v>128824.955</v>
      </c>
      <c r="BU321" s="59">
        <v>8.6780500000000007</v>
      </c>
      <c r="BV321" s="59">
        <v>-131.42599999999999</v>
      </c>
      <c r="BY321" s="59"/>
      <c r="BZ321" s="59"/>
      <c r="CA321" s="59"/>
      <c r="CC321" s="59"/>
    </row>
    <row r="322" spans="1:81" x14ac:dyDescent="0.25">
      <c r="A322">
        <f t="shared" si="263"/>
        <v>540000</v>
      </c>
      <c r="B322">
        <f t="shared" si="243"/>
        <v>540</v>
      </c>
      <c r="C322">
        <f t="shared" si="212"/>
        <v>1.099911131328936</v>
      </c>
      <c r="D322">
        <f t="shared" si="213"/>
        <v>0.42952332039484259</v>
      </c>
      <c r="F322">
        <f t="shared" si="214"/>
        <v>6.7656969685868593E-5</v>
      </c>
      <c r="G322">
        <f t="shared" si="215"/>
        <v>3.2172356864043883E-3</v>
      </c>
      <c r="H322">
        <f t="shared" si="216"/>
        <v>-3.1383754143135958</v>
      </c>
      <c r="J322">
        <f t="shared" si="217"/>
        <v>15</v>
      </c>
      <c r="M322">
        <f t="shared" si="218"/>
        <v>4.9438301199825922E-3</v>
      </c>
      <c r="N322">
        <f t="shared" si="219"/>
        <v>-1.5707963250000001</v>
      </c>
      <c r="O322">
        <f t="shared" si="220"/>
        <v>145.5597057168946</v>
      </c>
      <c r="P322">
        <f t="shared" si="221"/>
        <v>1.5639262396271065</v>
      </c>
      <c r="Q322">
        <f t="shared" si="222"/>
        <v>137.87154041125899</v>
      </c>
      <c r="R322">
        <f t="shared" si="223"/>
        <v>1.5635431346915554</v>
      </c>
      <c r="S322">
        <f t="shared" si="224"/>
        <v>0.27412157156626749</v>
      </c>
      <c r="T322">
        <f t="shared" si="225"/>
        <v>-1.2931201602919546</v>
      </c>
      <c r="U322">
        <f t="shared" si="226"/>
        <v>0.88453075594084507</v>
      </c>
      <c r="V322">
        <f t="shared" si="227"/>
        <v>-0.48530919840449099</v>
      </c>
      <c r="X322">
        <f t="shared" si="244"/>
        <v>-31.420062288057554</v>
      </c>
      <c r="Y322">
        <f t="shared" si="228"/>
        <v>-167.91149310633145</v>
      </c>
      <c r="Z322">
        <f t="shared" si="245"/>
        <v>12.088506893668551</v>
      </c>
      <c r="AC322">
        <v>1</v>
      </c>
      <c r="AD322">
        <f t="shared" si="229"/>
        <v>145.55627065980002</v>
      </c>
      <c r="AE322">
        <f t="shared" si="230"/>
        <v>-5.92632949045845E-3</v>
      </c>
      <c r="AF322">
        <f t="shared" si="231"/>
        <v>1.1237351245344E-2</v>
      </c>
      <c r="AG322">
        <f t="shared" si="246"/>
        <v>10097.560233512771</v>
      </c>
      <c r="AH322">
        <f t="shared" si="247"/>
        <v>-5414.2179651771439</v>
      </c>
      <c r="AJ322">
        <f t="shared" si="232"/>
        <v>18000</v>
      </c>
      <c r="AK322">
        <f t="shared" si="233"/>
        <v>63149.028193944003</v>
      </c>
      <c r="AL322">
        <v>1</v>
      </c>
      <c r="AM322">
        <f t="shared" si="234"/>
        <v>137.86791379930798</v>
      </c>
      <c r="AN322">
        <f t="shared" si="248"/>
        <v>458.96291017298211</v>
      </c>
      <c r="AO322">
        <f t="shared" si="249"/>
        <v>-127.23074286422592</v>
      </c>
      <c r="AQ322">
        <f t="shared" si="235"/>
        <v>8.5733808527256056E-3</v>
      </c>
      <c r="AR322">
        <f t="shared" si="236"/>
        <v>-9.2592513209436547</v>
      </c>
      <c r="AT322">
        <f t="shared" si="261"/>
        <v>-50045.034616378092</v>
      </c>
      <c r="AU322">
        <f t="shared" si="262"/>
        <v>-93542.266083096372</v>
      </c>
      <c r="AV322">
        <f t="shared" si="250"/>
        <v>-2.062049686705862</v>
      </c>
      <c r="AW322">
        <f t="shared" si="251"/>
        <v>10560.581849118606</v>
      </c>
      <c r="AX322">
        <f t="shared" si="252"/>
        <v>-10917.850416405348</v>
      </c>
      <c r="AY322">
        <f t="shared" si="260"/>
        <v>-0.80203045844313103</v>
      </c>
      <c r="BA322">
        <f t="shared" si="237"/>
        <v>6.9842303746235093</v>
      </c>
      <c r="BB322">
        <f t="shared" si="253"/>
        <v>16.882371122477366</v>
      </c>
      <c r="BC322">
        <f t="shared" si="254"/>
        <v>-1.2600192282627309</v>
      </c>
      <c r="BD322">
        <f t="shared" si="238"/>
        <v>-252.19378396727899</v>
      </c>
      <c r="BF322">
        <f t="shared" si="239"/>
        <v>-42.162400909931335</v>
      </c>
      <c r="BG322">
        <f t="shared" si="240"/>
        <v>-227.39957645134771</v>
      </c>
      <c r="BH322">
        <f t="shared" si="255"/>
        <v>-47.399576451347713</v>
      </c>
      <c r="BI322">
        <f t="shared" si="256"/>
        <v>-47.399576451347713</v>
      </c>
      <c r="BJ322">
        <f t="shared" si="241"/>
        <v>0</v>
      </c>
      <c r="BK322">
        <f t="shared" si="257"/>
        <v>0</v>
      </c>
      <c r="BM322">
        <f t="shared" si="258"/>
        <v>-59.044772032408702</v>
      </c>
      <c r="BN322">
        <f t="shared" si="242"/>
        <v>-155.2057924840687</v>
      </c>
      <c r="BQ322" s="56">
        <f t="shared" si="259"/>
        <v>33.784331922762497</v>
      </c>
      <c r="BR322" s="59"/>
      <c r="BS322" s="59"/>
      <c r="BT322" s="59">
        <v>131825.674</v>
      </c>
      <c r="BU322" s="59">
        <v>8.8889499999999995</v>
      </c>
      <c r="BV322" s="59">
        <v>-132.06399999999999</v>
      </c>
      <c r="BY322" s="59"/>
      <c r="BZ322" s="59"/>
      <c r="CA322" s="59"/>
      <c r="CC322" s="59"/>
    </row>
    <row r="323" spans="1:81" x14ac:dyDescent="0.25">
      <c r="A323">
        <f t="shared" si="263"/>
        <v>545000</v>
      </c>
      <c r="B323">
        <f t="shared" si="243"/>
        <v>545</v>
      </c>
      <c r="C323">
        <f t="shared" si="212"/>
        <v>1.1016840530001937</v>
      </c>
      <c r="D323">
        <f t="shared" si="213"/>
        <v>0.43302333508489765</v>
      </c>
      <c r="F323">
        <f t="shared" si="214"/>
        <v>6.6421174219497031E-5</v>
      </c>
      <c r="G323">
        <f t="shared" si="215"/>
        <v>3.1877159317535851E-3</v>
      </c>
      <c r="H323">
        <f t="shared" si="216"/>
        <v>-3.1384049340682467</v>
      </c>
      <c r="J323">
        <f t="shared" si="217"/>
        <v>15</v>
      </c>
      <c r="M323">
        <f t="shared" si="218"/>
        <v>4.8984738803497241E-3</v>
      </c>
      <c r="N323">
        <f t="shared" si="219"/>
        <v>-1.5707963250000001</v>
      </c>
      <c r="O323">
        <f t="shared" si="220"/>
        <v>146.90741745019284</v>
      </c>
      <c r="P323">
        <f t="shared" si="221"/>
        <v>1.5639892659937615</v>
      </c>
      <c r="Q323">
        <f t="shared" si="222"/>
        <v>139.14806189785389</v>
      </c>
      <c r="R323">
        <f t="shared" si="223"/>
        <v>1.5636096754365836</v>
      </c>
      <c r="S323">
        <f t="shared" si="224"/>
        <v>0.27179326868982179</v>
      </c>
      <c r="T323">
        <f t="shared" si="225"/>
        <v>-1.2955403685841691</v>
      </c>
      <c r="U323">
        <f t="shared" si="226"/>
        <v>0.88274571362893894</v>
      </c>
      <c r="V323">
        <f t="shared" si="227"/>
        <v>-0.48912203058370957</v>
      </c>
      <c r="X323">
        <f t="shared" si="244"/>
        <v>-31.577782647404785</v>
      </c>
      <c r="Y323">
        <f t="shared" si="228"/>
        <v>-168.06235165776786</v>
      </c>
      <c r="Z323">
        <f t="shared" si="245"/>
        <v>11.937648342232137</v>
      </c>
      <c r="AC323">
        <v>1</v>
      </c>
      <c r="AD323">
        <f t="shared" si="229"/>
        <v>146.90401390664999</v>
      </c>
      <c r="AE323">
        <f t="shared" si="230"/>
        <v>-6.0365844201077544E-3</v>
      </c>
      <c r="AF323">
        <f t="shared" si="231"/>
        <v>1.1341400793912E-2</v>
      </c>
      <c r="AG323">
        <f t="shared" si="246"/>
        <v>10056.846250995279</v>
      </c>
      <c r="AH323">
        <f t="shared" si="247"/>
        <v>-5441.0387672131492</v>
      </c>
      <c r="AJ323">
        <f t="shared" si="232"/>
        <v>18000</v>
      </c>
      <c r="AK323">
        <f t="shared" si="233"/>
        <v>63733.74141796201</v>
      </c>
      <c r="AL323">
        <v>1</v>
      </c>
      <c r="AM323">
        <f t="shared" si="234"/>
        <v>139.144468556709</v>
      </c>
      <c r="AN323">
        <f t="shared" si="248"/>
        <v>458.94605577804134</v>
      </c>
      <c r="AO323">
        <f t="shared" si="249"/>
        <v>-126.06360947128138</v>
      </c>
      <c r="AQ323">
        <f t="shared" si="235"/>
        <v>8.4167928484194521E-3</v>
      </c>
      <c r="AR323">
        <f t="shared" si="236"/>
        <v>-9.1743042047772025</v>
      </c>
      <c r="AT323">
        <f t="shared" si="261"/>
        <v>-49833.098448796329</v>
      </c>
      <c r="AU323">
        <f t="shared" si="262"/>
        <v>-92310.362943487693</v>
      </c>
      <c r="AV323">
        <f t="shared" si="250"/>
        <v>-2.065807987244475</v>
      </c>
      <c r="AW323">
        <f t="shared" si="251"/>
        <v>10536.541314949645</v>
      </c>
      <c r="AX323">
        <f t="shared" si="252"/>
        <v>-10902.928752076623</v>
      </c>
      <c r="AY323">
        <f t="shared" si="260"/>
        <v>-0.80248588873555504</v>
      </c>
      <c r="BA323">
        <f t="shared" si="237"/>
        <v>6.9186841704887057</v>
      </c>
      <c r="BB323">
        <f t="shared" si="253"/>
        <v>16.800470120829548</v>
      </c>
      <c r="BC323">
        <f t="shared" si="254"/>
        <v>-1.26332209850892</v>
      </c>
      <c r="BD323">
        <f t="shared" si="238"/>
        <v>-252.38302449288119</v>
      </c>
      <c r="BF323">
        <f t="shared" si="239"/>
        <v>-42.390432458568164</v>
      </c>
      <c r="BG323">
        <f t="shared" si="240"/>
        <v>-227.38997226410251</v>
      </c>
      <c r="BH323">
        <f t="shared" si="255"/>
        <v>-47.389972264102511</v>
      </c>
      <c r="BI323">
        <f t="shared" si="256"/>
        <v>-47.389972264102511</v>
      </c>
      <c r="BJ323">
        <f t="shared" si="241"/>
        <v>0</v>
      </c>
      <c r="BK323">
        <f t="shared" si="257"/>
        <v>0</v>
      </c>
      <c r="BM323">
        <f t="shared" si="258"/>
        <v>-59.190902579397715</v>
      </c>
      <c r="BN323">
        <f t="shared" si="242"/>
        <v>-155.00694777122132</v>
      </c>
      <c r="BQ323" s="56">
        <f t="shared" si="259"/>
        <v>33.702430921114683</v>
      </c>
      <c r="BR323" s="59"/>
      <c r="BS323" s="59"/>
      <c r="BT323" s="59">
        <v>134896.288</v>
      </c>
      <c r="BU323" s="59">
        <v>9.0986999999999991</v>
      </c>
      <c r="BV323" s="59">
        <v>-132.62899999999999</v>
      </c>
      <c r="BY323" s="59"/>
      <c r="BZ323" s="59"/>
      <c r="CA323" s="59"/>
      <c r="CC323" s="59"/>
    </row>
    <row r="324" spans="1:81" x14ac:dyDescent="0.25">
      <c r="A324">
        <f t="shared" si="263"/>
        <v>550000</v>
      </c>
      <c r="B324">
        <f t="shared" si="243"/>
        <v>550</v>
      </c>
      <c r="C324">
        <f t="shared" si="212"/>
        <v>1.1034704269515005</v>
      </c>
      <c r="D324">
        <f t="shared" si="213"/>
        <v>0.43651206026751843</v>
      </c>
      <c r="F324">
        <f t="shared" si="214"/>
        <v>6.521893160840538E-5</v>
      </c>
      <c r="G324">
        <f t="shared" si="215"/>
        <v>3.158733002981477E-3</v>
      </c>
      <c r="H324">
        <f t="shared" si="216"/>
        <v>-3.1384339169970188</v>
      </c>
      <c r="J324">
        <f t="shared" si="217"/>
        <v>15</v>
      </c>
      <c r="M324">
        <f t="shared" si="218"/>
        <v>4.8539422996192721E-3</v>
      </c>
      <c r="N324">
        <f t="shared" si="219"/>
        <v>-1.5707963250000001</v>
      </c>
      <c r="O324">
        <f t="shared" si="220"/>
        <v>148.255129756445</v>
      </c>
      <c r="P324">
        <f t="shared" si="221"/>
        <v>1.5640511464790947</v>
      </c>
      <c r="Q324">
        <f t="shared" si="222"/>
        <v>140.42458398934932</v>
      </c>
      <c r="R324">
        <f t="shared" si="223"/>
        <v>1.5636750064118039</v>
      </c>
      <c r="S324">
        <f t="shared" si="224"/>
        <v>0.26950264553455616</v>
      </c>
      <c r="T324">
        <f t="shared" si="225"/>
        <v>-1.2979197964872413</v>
      </c>
      <c r="U324">
        <f t="shared" si="226"/>
        <v>0.8809551318085812</v>
      </c>
      <c r="V324">
        <f t="shared" si="227"/>
        <v>-0.49291944970880147</v>
      </c>
      <c r="X324">
        <f t="shared" si="244"/>
        <v>-31.734201103119148</v>
      </c>
      <c r="Y324">
        <f t="shared" si="228"/>
        <v>-168.21074161420512</v>
      </c>
      <c r="Z324">
        <f t="shared" si="245"/>
        <v>11.789258385794881</v>
      </c>
      <c r="AC324">
        <v>1</v>
      </c>
      <c r="AD324">
        <f t="shared" si="229"/>
        <v>148.25175715349999</v>
      </c>
      <c r="AE324">
        <f t="shared" si="230"/>
        <v>-6.1478555242238716E-3</v>
      </c>
      <c r="AF324">
        <f t="shared" si="231"/>
        <v>1.144545034248E-2</v>
      </c>
      <c r="AG324">
        <f t="shared" si="246"/>
        <v>10016.088550862336</v>
      </c>
      <c r="AH324">
        <f t="shared" si="247"/>
        <v>-5467.453307300374</v>
      </c>
      <c r="AJ324">
        <f t="shared" si="232"/>
        <v>18000</v>
      </c>
      <c r="AK324">
        <f t="shared" si="233"/>
        <v>64318.45464198001</v>
      </c>
      <c r="AL324">
        <v>1</v>
      </c>
      <c r="AM324">
        <f t="shared" si="234"/>
        <v>140.42102331410999</v>
      </c>
      <c r="AN324">
        <f t="shared" si="248"/>
        <v>458.92965892473774</v>
      </c>
      <c r="AO324">
        <f t="shared" si="249"/>
        <v>-124.9176934271257</v>
      </c>
      <c r="AQ324">
        <f t="shared" si="235"/>
        <v>8.264455979788447E-3</v>
      </c>
      <c r="AR324">
        <f t="shared" si="236"/>
        <v>-9.0909015777672906</v>
      </c>
      <c r="AT324">
        <f t="shared" si="261"/>
        <v>-49621.302374787694</v>
      </c>
      <c r="AU324">
        <f t="shared" si="262"/>
        <v>-91100.460737271045</v>
      </c>
      <c r="AV324">
        <f t="shared" si="250"/>
        <v>-2.0695518661608467</v>
      </c>
      <c r="AW324">
        <f t="shared" si="251"/>
        <v>10511.870399098412</v>
      </c>
      <c r="AX324">
        <f t="shared" si="252"/>
        <v>-10888.373959429857</v>
      </c>
      <c r="AY324">
        <f t="shared" si="260"/>
        <v>-0.80298977193411214</v>
      </c>
      <c r="BA324">
        <f t="shared" si="237"/>
        <v>6.8543587555882137</v>
      </c>
      <c r="BB324">
        <f t="shared" si="253"/>
        <v>16.71933663127535</v>
      </c>
      <c r="BC324">
        <f t="shared" si="254"/>
        <v>-1.2665620942267346</v>
      </c>
      <c r="BD324">
        <f t="shared" si="238"/>
        <v>-252.56866257336458</v>
      </c>
      <c r="BF324">
        <f t="shared" si="239"/>
        <v>-42.616150615061713</v>
      </c>
      <c r="BG324">
        <f t="shared" si="240"/>
        <v>-227.37738171501076</v>
      </c>
      <c r="BH324">
        <f t="shared" si="255"/>
        <v>-47.377381715010756</v>
      </c>
      <c r="BI324">
        <f t="shared" si="256"/>
        <v>-47.377381715010756</v>
      </c>
      <c r="BJ324">
        <f t="shared" si="241"/>
        <v>0</v>
      </c>
      <c r="BK324">
        <f t="shared" si="257"/>
        <v>0</v>
      </c>
      <c r="BM324">
        <f t="shared" si="258"/>
        <v>-59.335487246337067</v>
      </c>
      <c r="BN324">
        <f t="shared" si="242"/>
        <v>-154.80871914164621</v>
      </c>
      <c r="BQ324" s="56">
        <f t="shared" si="259"/>
        <v>33.621297431560485</v>
      </c>
      <c r="BR324" s="59"/>
      <c r="BS324" s="59"/>
      <c r="BT324" s="59">
        <v>138038.42600000001</v>
      </c>
      <c r="BU324" s="59">
        <v>9.3196600000000007</v>
      </c>
      <c r="BV324" s="59">
        <v>-133.267</v>
      </c>
      <c r="BY324" s="59"/>
      <c r="BZ324" s="59"/>
      <c r="CA324" s="59"/>
      <c r="CC324" s="59"/>
    </row>
    <row r="325" spans="1:81" x14ac:dyDescent="0.25">
      <c r="A325">
        <f t="shared" si="263"/>
        <v>555000</v>
      </c>
      <c r="B325">
        <f t="shared" si="243"/>
        <v>555</v>
      </c>
      <c r="C325">
        <f t="shared" si="212"/>
        <v>1.105270187956809</v>
      </c>
      <c r="D325">
        <f t="shared" si="213"/>
        <v>0.43998946596466021</v>
      </c>
      <c r="F325">
        <f t="shared" si="214"/>
        <v>6.4049038080998718E-5</v>
      </c>
      <c r="G325">
        <f t="shared" si="215"/>
        <v>3.1302723876161388E-3</v>
      </c>
      <c r="H325">
        <f t="shared" si="216"/>
        <v>-3.1384623776123841</v>
      </c>
      <c r="J325">
        <f t="shared" si="217"/>
        <v>15</v>
      </c>
      <c r="M325">
        <f t="shared" si="218"/>
        <v>4.8102130897127926E-3</v>
      </c>
      <c r="N325">
        <f t="shared" si="219"/>
        <v>-1.5707963250000001</v>
      </c>
      <c r="O325">
        <f t="shared" si="220"/>
        <v>149.60284262016657</v>
      </c>
      <c r="P325">
        <f t="shared" si="221"/>
        <v>1.5641119120510012</v>
      </c>
      <c r="Q325">
        <f t="shared" si="222"/>
        <v>141.70110666939746</v>
      </c>
      <c r="R325">
        <f t="shared" si="223"/>
        <v>1.5637391603114961</v>
      </c>
      <c r="S325">
        <f t="shared" si="224"/>
        <v>0.26724883424708595</v>
      </c>
      <c r="T325">
        <f t="shared" si="225"/>
        <v>-1.3002594398361678</v>
      </c>
      <c r="U325">
        <f t="shared" si="226"/>
        <v>0.87915919857153757</v>
      </c>
      <c r="V325">
        <f t="shared" si="227"/>
        <v>-0.49670144019376616</v>
      </c>
      <c r="X325">
        <f t="shared" si="244"/>
        <v>-31.889338513716826</v>
      </c>
      <c r="Y325">
        <f t="shared" si="228"/>
        <v>-168.35671804131857</v>
      </c>
      <c r="Z325">
        <f t="shared" si="245"/>
        <v>11.643281958681428</v>
      </c>
      <c r="AC325">
        <v>1</v>
      </c>
      <c r="AD325">
        <f t="shared" si="229"/>
        <v>149.59950040035</v>
      </c>
      <c r="AE325">
        <f t="shared" si="230"/>
        <v>-6.2601428028068026E-3</v>
      </c>
      <c r="AF325">
        <f t="shared" si="231"/>
        <v>1.1549499891048001E-2</v>
      </c>
      <c r="AG325">
        <f t="shared" si="246"/>
        <v>9975.2921695237637</v>
      </c>
      <c r="AH325">
        <f t="shared" si="247"/>
        <v>-5493.4632736883032</v>
      </c>
      <c r="AJ325">
        <f t="shared" si="232"/>
        <v>18000</v>
      </c>
      <c r="AK325">
        <f t="shared" si="233"/>
        <v>64903.167865998003</v>
      </c>
      <c r="AL325">
        <v>1</v>
      </c>
      <c r="AM325">
        <f t="shared" si="234"/>
        <v>141.697578071511</v>
      </c>
      <c r="AN325">
        <f t="shared" si="248"/>
        <v>458.91370320095632</v>
      </c>
      <c r="AO325">
        <f t="shared" si="249"/>
        <v>-123.79242140572455</v>
      </c>
      <c r="AQ325">
        <f t="shared" si="235"/>
        <v>8.1162177451361544E-3</v>
      </c>
      <c r="AR325">
        <f t="shared" si="236"/>
        <v>-9.0090016971011302</v>
      </c>
      <c r="AT325">
        <f t="shared" si="261"/>
        <v>-49409.65831230145</v>
      </c>
      <c r="AU325">
        <f t="shared" si="262"/>
        <v>-89912.010228423373</v>
      </c>
      <c r="AV325">
        <f t="shared" si="250"/>
        <v>-2.0732812810753876</v>
      </c>
      <c r="AW325">
        <f t="shared" si="251"/>
        <v>10486.595586090622</v>
      </c>
      <c r="AX325">
        <f t="shared" si="252"/>
        <v>-10874.165580687368</v>
      </c>
      <c r="AY325">
        <f t="shared" si="260"/>
        <v>-0.80354018885876044</v>
      </c>
      <c r="BA325">
        <f t="shared" si="237"/>
        <v>6.7912205595668551</v>
      </c>
      <c r="BB325">
        <f t="shared" si="253"/>
        <v>16.638956706956293</v>
      </c>
      <c r="BC325">
        <f t="shared" si="254"/>
        <v>-1.269741092216627</v>
      </c>
      <c r="BD325">
        <f t="shared" si="238"/>
        <v>-252.7508057414741</v>
      </c>
      <c r="BF325">
        <f t="shared" si="239"/>
        <v>-42.839596755841484</v>
      </c>
      <c r="BG325">
        <f t="shared" si="240"/>
        <v>-227.3619148859363</v>
      </c>
      <c r="BH325">
        <f t="shared" si="255"/>
        <v>-47.361914885936301</v>
      </c>
      <c r="BI325">
        <f t="shared" si="256"/>
        <v>-47.361914885936301</v>
      </c>
      <c r="BJ325">
        <f t="shared" si="241"/>
        <v>0</v>
      </c>
      <c r="BK325">
        <f t="shared" si="257"/>
        <v>0</v>
      </c>
      <c r="BM325">
        <f t="shared" si="258"/>
        <v>-59.47855346279777</v>
      </c>
      <c r="BN325">
        <f t="shared" si="242"/>
        <v>-154.6111091444622</v>
      </c>
      <c r="BQ325" s="56">
        <f t="shared" si="259"/>
        <v>33.540917507241431</v>
      </c>
      <c r="BR325" s="59"/>
      <c r="BS325" s="59"/>
      <c r="BT325" s="59">
        <v>141253.75399999999</v>
      </c>
      <c r="BU325" s="59">
        <v>9.5290400000000002</v>
      </c>
      <c r="BV325" s="59">
        <v>-133.959</v>
      </c>
      <c r="BY325" s="59"/>
      <c r="BZ325" s="59"/>
      <c r="CA325" s="59"/>
      <c r="CC325" s="59"/>
    </row>
    <row r="326" spans="1:81" x14ac:dyDescent="0.25">
      <c r="A326">
        <f t="shared" si="263"/>
        <v>560000</v>
      </c>
      <c r="B326">
        <f t="shared" si="243"/>
        <v>560</v>
      </c>
      <c r="C326">
        <f t="shared" si="212"/>
        <v>1.1070832707270004</v>
      </c>
      <c r="D326">
        <f t="shared" si="213"/>
        <v>0.44345552348750228</v>
      </c>
      <c r="F326">
        <f t="shared" si="214"/>
        <v>6.2910343370942227E-5</v>
      </c>
      <c r="G326">
        <f t="shared" si="215"/>
        <v>3.1023200916496328E-3</v>
      </c>
      <c r="H326">
        <f t="shared" si="216"/>
        <v>-3.1384903299083504</v>
      </c>
      <c r="J326">
        <f t="shared" si="217"/>
        <v>15</v>
      </c>
      <c r="M326">
        <f t="shared" si="218"/>
        <v>4.7672647585546429E-3</v>
      </c>
      <c r="N326">
        <f t="shared" si="219"/>
        <v>-1.5707963250000001</v>
      </c>
      <c r="O326">
        <f t="shared" si="220"/>
        <v>150.95055602642597</v>
      </c>
      <c r="P326">
        <f t="shared" si="221"/>
        <v>1.5641715925714623</v>
      </c>
      <c r="Q326">
        <f t="shared" si="222"/>
        <v>142.97762992223423</v>
      </c>
      <c r="R326">
        <f t="shared" si="223"/>
        <v>1.5638021686623849</v>
      </c>
      <c r="S326">
        <f t="shared" si="224"/>
        <v>0.26503099205186503</v>
      </c>
      <c r="T326">
        <f t="shared" si="225"/>
        <v>-1.3025602631841777</v>
      </c>
      <c r="U326">
        <f t="shared" si="226"/>
        <v>0.87735810023344452</v>
      </c>
      <c r="V326">
        <f t="shared" si="227"/>
        <v>-0.50046798834442241</v>
      </c>
      <c r="X326">
        <f t="shared" si="244"/>
        <v>-32.043215244695247</v>
      </c>
      <c r="Y326">
        <f t="shared" si="228"/>
        <v>-168.50033434755079</v>
      </c>
      <c r="Z326">
        <f t="shared" si="245"/>
        <v>11.49966565244921</v>
      </c>
      <c r="AC326">
        <v>1</v>
      </c>
      <c r="AD326">
        <f t="shared" si="229"/>
        <v>150.94724364720003</v>
      </c>
      <c r="AE326">
        <f t="shared" si="230"/>
        <v>-6.3734462558565482E-3</v>
      </c>
      <c r="AF326">
        <f t="shared" si="231"/>
        <v>1.1653549439615999E-2</v>
      </c>
      <c r="AG326">
        <f t="shared" si="246"/>
        <v>9934.4620705599627</v>
      </c>
      <c r="AH326">
        <f t="shared" si="247"/>
        <v>-5519.070427497034</v>
      </c>
      <c r="AJ326">
        <f t="shared" si="232"/>
        <v>18000</v>
      </c>
      <c r="AK326">
        <f t="shared" si="233"/>
        <v>65487.881090016002</v>
      </c>
      <c r="AL326">
        <v>1</v>
      </c>
      <c r="AM326">
        <f t="shared" si="234"/>
        <v>142.97413282891199</v>
      </c>
      <c r="AN326">
        <f t="shared" si="248"/>
        <v>458.89817292390819</v>
      </c>
      <c r="AO326">
        <f t="shared" si="249"/>
        <v>-122.68724055187246</v>
      </c>
      <c r="AQ326">
        <f t="shared" si="235"/>
        <v>7.971932420334487E-3</v>
      </c>
      <c r="AR326">
        <f t="shared" si="236"/>
        <v>-8.9285643107746253</v>
      </c>
      <c r="AT326">
        <f t="shared" si="261"/>
        <v>-49198.178387342792</v>
      </c>
      <c r="AU326">
        <f t="shared" si="262"/>
        <v>-88744.481146416932</v>
      </c>
      <c r="AV326">
        <f t="shared" si="250"/>
        <v>-2.0769961924571563</v>
      </c>
      <c r="AW326">
        <f t="shared" si="251"/>
        <v>10460.742352133153</v>
      </c>
      <c r="AX326">
        <f t="shared" si="252"/>
        <v>-10860.284044741007</v>
      </c>
      <c r="AY326">
        <f t="shared" si="260"/>
        <v>-0.80413529767128422</v>
      </c>
      <c r="BA326">
        <f t="shared" si="237"/>
        <v>6.7292372113833556</v>
      </c>
      <c r="BB326">
        <f t="shared" si="253"/>
        <v>16.559316756508984</v>
      </c>
      <c r="BC326">
        <f t="shared" si="254"/>
        <v>-1.2728608947858722</v>
      </c>
      <c r="BD326">
        <f t="shared" si="238"/>
        <v>-252.92955726181017</v>
      </c>
      <c r="BF326">
        <f t="shared" si="239"/>
        <v>-43.060811187313739</v>
      </c>
      <c r="BG326">
        <f t="shared" si="240"/>
        <v>-227.34367748702542</v>
      </c>
      <c r="BH326">
        <f t="shared" si="255"/>
        <v>-47.343677487025417</v>
      </c>
      <c r="BI326">
        <f t="shared" si="256"/>
        <v>-47.343677487025417</v>
      </c>
      <c r="BJ326">
        <f t="shared" si="241"/>
        <v>0</v>
      </c>
      <c r="BK326">
        <f t="shared" si="257"/>
        <v>0</v>
      </c>
      <c r="BM326">
        <f t="shared" si="258"/>
        <v>-59.620127943822723</v>
      </c>
      <c r="BN326">
        <f t="shared" si="242"/>
        <v>-154.41412022521524</v>
      </c>
      <c r="BQ326" s="56">
        <f t="shared" si="259"/>
        <v>33.461277556794123</v>
      </c>
      <c r="BR326" s="59"/>
      <c r="BS326" s="59"/>
      <c r="BT326" s="59">
        <v>144543.97700000001</v>
      </c>
      <c r="BU326" s="59">
        <v>9.7312899999999996</v>
      </c>
      <c r="BV326" s="59">
        <v>-134.75200000000001</v>
      </c>
      <c r="BY326" s="59"/>
      <c r="BZ326" s="59"/>
      <c r="CA326" s="59"/>
      <c r="CC326" s="59"/>
    </row>
    <row r="327" spans="1:81" x14ac:dyDescent="0.25">
      <c r="A327">
        <f t="shared" si="263"/>
        <v>565000</v>
      </c>
      <c r="B327">
        <f t="shared" si="243"/>
        <v>565</v>
      </c>
      <c r="C327">
        <f t="shared" si="212"/>
        <v>1.1089096099182592</v>
      </c>
      <c r="D327">
        <f t="shared" si="213"/>
        <v>0.44691020542479426</v>
      </c>
      <c r="F327">
        <f t="shared" si="214"/>
        <v>6.1801747888427647E-5</v>
      </c>
      <c r="G327">
        <f t="shared" si="215"/>
        <v>3.0748626165886675E-3</v>
      </c>
      <c r="H327">
        <f t="shared" si="216"/>
        <v>-3.1385177873834116</v>
      </c>
      <c r="J327">
        <f t="shared" si="217"/>
        <v>15</v>
      </c>
      <c r="M327">
        <f t="shared" si="218"/>
        <v>4.7250765748506193E-3</v>
      </c>
      <c r="N327">
        <f t="shared" si="219"/>
        <v>-1.5707963250000001</v>
      </c>
      <c r="O327">
        <f t="shared" si="220"/>
        <v>152.29826996082016</v>
      </c>
      <c r="P327">
        <f t="shared" si="221"/>
        <v>1.5642302168454749</v>
      </c>
      <c r="Q327">
        <f t="shared" si="222"/>
        <v>144.25415373265366</v>
      </c>
      <c r="R327">
        <f t="shared" si="223"/>
        <v>1.5638640618752948</v>
      </c>
      <c r="S327">
        <f t="shared" si="224"/>
        <v>0.26284830041259</v>
      </c>
      <c r="T327">
        <f t="shared" si="225"/>
        <v>-1.3048232009846377</v>
      </c>
      <c r="U327">
        <f t="shared" si="226"/>
        <v>0.8755520213115825</v>
      </c>
      <c r="V327">
        <f t="shared" si="227"/>
        <v>-0.50421908233078672</v>
      </c>
      <c r="X327">
        <f t="shared" si="244"/>
        <v>-32.195851183492039</v>
      </c>
      <c r="Y327">
        <f t="shared" si="228"/>
        <v>-168.6416423464668</v>
      </c>
      <c r="Z327">
        <f t="shared" si="245"/>
        <v>11.358357653533204</v>
      </c>
      <c r="AC327">
        <v>1</v>
      </c>
      <c r="AD327">
        <f t="shared" si="229"/>
        <v>152.29498689405</v>
      </c>
      <c r="AE327">
        <f t="shared" si="230"/>
        <v>-6.4877658833731094E-3</v>
      </c>
      <c r="AF327">
        <f t="shared" si="231"/>
        <v>1.1757598988184001E-2</v>
      </c>
      <c r="AG327">
        <f t="shared" si="246"/>
        <v>9893.6031443783231</v>
      </c>
      <c r="AH327">
        <f t="shared" si="247"/>
        <v>-5544.2766001155305</v>
      </c>
      <c r="AJ327">
        <f t="shared" si="232"/>
        <v>18000</v>
      </c>
      <c r="AK327">
        <f t="shared" si="233"/>
        <v>66072.59431403401</v>
      </c>
      <c r="AL327">
        <v>1</v>
      </c>
      <c r="AM327">
        <f t="shared" si="234"/>
        <v>144.25068758631301</v>
      </c>
      <c r="AN327">
        <f t="shared" si="248"/>
        <v>458.8830531015812</v>
      </c>
      <c r="AO327">
        <f t="shared" si="249"/>
        <v>-121.60161757567094</v>
      </c>
      <c r="AQ327">
        <f t="shared" si="235"/>
        <v>7.8314607005554853E-3</v>
      </c>
      <c r="AR327">
        <f t="shared" si="236"/>
        <v>-8.8495505916276986</v>
      </c>
      <c r="AT327">
        <f t="shared" si="261"/>
        <v>-48986.874902487907</v>
      </c>
      <c r="AU327">
        <f t="shared" si="262"/>
        <v>-87597.361343969664</v>
      </c>
      <c r="AV327">
        <f t="shared" si="250"/>
        <v>-2.080696563553909</v>
      </c>
      <c r="AW327">
        <f t="shared" si="251"/>
        <v>10434.335213725713</v>
      </c>
      <c r="AX327">
        <f t="shared" si="252"/>
        <v>-10846.710628230052</v>
      </c>
      <c r="AY327">
        <f t="shared" si="260"/>
        <v>-0.80477333014279151</v>
      </c>
      <c r="BA327">
        <f t="shared" si="237"/>
        <v>6.6683774877916608</v>
      </c>
      <c r="BB327">
        <f t="shared" si="253"/>
        <v>16.480403533451032</v>
      </c>
      <c r="BC327">
        <f t="shared" si="254"/>
        <v>-1.2759232334111175</v>
      </c>
      <c r="BD327">
        <f t="shared" si="238"/>
        <v>-253.10501634067714</v>
      </c>
      <c r="BF327">
        <f t="shared" si="239"/>
        <v>-43.279833181677418</v>
      </c>
      <c r="BG327">
        <f t="shared" si="240"/>
        <v>-227.32277106853815</v>
      </c>
      <c r="BH327">
        <f t="shared" si="255"/>
        <v>-47.322771068538145</v>
      </c>
      <c r="BI327">
        <f t="shared" si="256"/>
        <v>-47.322771068538145</v>
      </c>
      <c r="BJ327">
        <f t="shared" si="241"/>
        <v>0</v>
      </c>
      <c r="BK327">
        <f t="shared" si="257"/>
        <v>0</v>
      </c>
      <c r="BM327">
        <f t="shared" si="258"/>
        <v>-59.76023671512845</v>
      </c>
      <c r="BN327">
        <f t="shared" si="242"/>
        <v>-154.21775472786106</v>
      </c>
      <c r="BQ327" s="56">
        <f t="shared" si="259"/>
        <v>33.38236433373617</v>
      </c>
      <c r="BR327" s="59"/>
      <c r="BS327" s="59"/>
      <c r="BT327" s="59">
        <v>147910.83900000001</v>
      </c>
      <c r="BU327" s="59">
        <v>9.9010099999999994</v>
      </c>
      <c r="BV327" s="59">
        <v>-135.72399999999999</v>
      </c>
      <c r="BY327" s="59"/>
      <c r="BZ327" s="59"/>
      <c r="CA327" s="59"/>
      <c r="CC327" s="59"/>
    </row>
    <row r="328" spans="1:81" x14ac:dyDescent="0.25">
      <c r="A328">
        <f t="shared" si="263"/>
        <v>570000</v>
      </c>
      <c r="B328">
        <f t="shared" si="243"/>
        <v>570</v>
      </c>
      <c r="C328">
        <f t="shared" si="212"/>
        <v>1.1107491401403369</v>
      </c>
      <c r="D328">
        <f t="shared" si="213"/>
        <v>0.4503534856310179</v>
      </c>
      <c r="F328">
        <f t="shared" si="214"/>
        <v>6.0722200064393253E-5</v>
      </c>
      <c r="G328">
        <f t="shared" si="215"/>
        <v>3.0478869377136291E-3</v>
      </c>
      <c r="H328">
        <f t="shared" si="216"/>
        <v>-3.1385447630622867</v>
      </c>
      <c r="J328">
        <f t="shared" si="217"/>
        <v>15</v>
      </c>
      <c r="M328">
        <f t="shared" si="218"/>
        <v>4.68362853472035E-3</v>
      </c>
      <c r="N328">
        <f t="shared" si="219"/>
        <v>-1.5707963250000001</v>
      </c>
      <c r="O328">
        <f t="shared" si="220"/>
        <v>153.64598440945153</v>
      </c>
      <c r="P328">
        <f t="shared" si="221"/>
        <v>1.5642878126674074</v>
      </c>
      <c r="Q328">
        <f t="shared" si="222"/>
        <v>145.53067808598317</v>
      </c>
      <c r="R328">
        <f t="shared" si="223"/>
        <v>1.5639248692940901</v>
      </c>
      <c r="S328">
        <f t="shared" si="224"/>
        <v>0.26069996422370068</v>
      </c>
      <c r="T328">
        <f t="shared" si="225"/>
        <v>-1.3070491587216222</v>
      </c>
      <c r="U328">
        <f t="shared" si="226"/>
        <v>0.87374114450396256</v>
      </c>
      <c r="V328">
        <f t="shared" si="227"/>
        <v>-0.50795471215932919</v>
      </c>
      <c r="X328">
        <f t="shared" si="244"/>
        <v>-32.347265753903784</v>
      </c>
      <c r="Y328">
        <f t="shared" si="228"/>
        <v>-168.78069231640518</v>
      </c>
      <c r="Z328">
        <f t="shared" si="245"/>
        <v>11.21930768359482</v>
      </c>
      <c r="AC328">
        <v>1</v>
      </c>
      <c r="AD328">
        <f t="shared" si="229"/>
        <v>153.6427301409</v>
      </c>
      <c r="AE328">
        <f t="shared" si="230"/>
        <v>-6.6031016853564826E-3</v>
      </c>
      <c r="AF328">
        <f t="shared" si="231"/>
        <v>1.1861648536751999E-2</v>
      </c>
      <c r="AG328">
        <f t="shared" si="246"/>
        <v>9852.7202079179751</v>
      </c>
      <c r="AH328">
        <f t="shared" si="247"/>
        <v>-5569.083690650089</v>
      </c>
      <c r="AJ328">
        <f t="shared" si="232"/>
        <v>18000</v>
      </c>
      <c r="AK328">
        <f t="shared" si="233"/>
        <v>66657.307538052002</v>
      </c>
      <c r="AL328">
        <v>1</v>
      </c>
      <c r="AM328">
        <f t="shared" si="234"/>
        <v>145.52724234371399</v>
      </c>
      <c r="AN328">
        <f t="shared" si="248"/>
        <v>458.86832939654818</v>
      </c>
      <c r="AO328">
        <f t="shared" si="249"/>
        <v>-120.5350378946498</v>
      </c>
      <c r="AQ328">
        <f t="shared" si="235"/>
        <v>7.6946693639047678E-3</v>
      </c>
      <c r="AR328">
        <f t="shared" si="236"/>
        <v>-8.7719230748514345</v>
      </c>
      <c r="AT328">
        <f t="shared" si="261"/>
        <v>-48775.760307457313</v>
      </c>
      <c r="AU328">
        <f t="shared" si="262"/>
        <v>-86470.155999550174</v>
      </c>
      <c r="AV328">
        <f t="shared" si="250"/>
        <v>-2.0843823603242493</v>
      </c>
      <c r="AW328">
        <f t="shared" si="251"/>
        <v>10407.397773331721</v>
      </c>
      <c r="AX328">
        <f t="shared" si="252"/>
        <v>-10833.42741859405</v>
      </c>
      <c r="AY328">
        <f t="shared" si="260"/>
        <v>-0.80545258813634668</v>
      </c>
      <c r="BA328">
        <f t="shared" si="237"/>
        <v>6.6086112643289612</v>
      </c>
      <c r="BB328">
        <f t="shared" si="253"/>
        <v>16.402204125857267</v>
      </c>
      <c r="BC328">
        <f t="shared" si="254"/>
        <v>-1.2789297721879027</v>
      </c>
      <c r="BD328">
        <f t="shared" si="238"/>
        <v>-253.27727832372619</v>
      </c>
      <c r="BF328">
        <f t="shared" si="239"/>
        <v>-43.496701011335617</v>
      </c>
      <c r="BG328">
        <f t="shared" si="240"/>
        <v>-227.29929322041505</v>
      </c>
      <c r="BH328">
        <f t="shared" si="255"/>
        <v>-47.299293220415052</v>
      </c>
      <c r="BI328">
        <f t="shared" si="256"/>
        <v>-47.299293220415052</v>
      </c>
      <c r="BJ328">
        <f t="shared" si="241"/>
        <v>0</v>
      </c>
      <c r="BK328">
        <f t="shared" si="257"/>
        <v>0</v>
      </c>
      <c r="BM328">
        <f t="shared" si="258"/>
        <v>-59.898905137192884</v>
      </c>
      <c r="BN328">
        <f t="shared" si="242"/>
        <v>-154.02201489668892</v>
      </c>
      <c r="BQ328" s="56">
        <f t="shared" si="259"/>
        <v>33.304164926142398</v>
      </c>
      <c r="BR328" s="59"/>
      <c r="BS328" s="59"/>
      <c r="BT328" s="59">
        <v>151356.125</v>
      </c>
      <c r="BU328" s="59">
        <v>10.0764</v>
      </c>
      <c r="BV328" s="59">
        <v>-136.34200000000001</v>
      </c>
      <c r="BY328" s="59"/>
      <c r="BZ328" s="59"/>
      <c r="CA328" s="59"/>
      <c r="CC328" s="59"/>
    </row>
    <row r="329" spans="1:81" x14ac:dyDescent="0.25">
      <c r="A329">
        <f t="shared" si="263"/>
        <v>575000</v>
      </c>
      <c r="B329">
        <f t="shared" si="243"/>
        <v>575</v>
      </c>
      <c r="C329">
        <f t="shared" ref="C329:C392" si="264">SQRT((A329/Fesr)^2+1)</f>
        <v>1.1126017959647063</v>
      </c>
      <c r="D329">
        <f t="shared" ref="D329:D392" si="265">ATAN(A329/Fesr)</f>
        <v>0.45378533921437303</v>
      </c>
      <c r="F329">
        <f t="shared" ref="F329:F392" si="266">(Ro/(Ro+Rdcr))/SQRT((A329/(Q*Fo))^2+(1-(A329^2/Fo^2))^2)</f>
        <v>5.9670693855716972E-5</v>
      </c>
      <c r="G329">
        <f t="shared" ref="G329:G392" si="267">-ATAN(A329*Fo/(Q*(Fo^2-A329^2)))</f>
        <v>3.0213804834723916E-3</v>
      </c>
      <c r="H329">
        <f t="shared" ref="H329:H392" si="268">IF(G329&gt;0,G329-Pi,G329)</f>
        <v>-3.138571269516528</v>
      </c>
      <c r="J329">
        <f t="shared" ref="J329:J392" si="269">Vin/Vramp</f>
        <v>15</v>
      </c>
      <c r="M329">
        <f t="shared" ref="M329:M392" si="270">1/(2*Pi*_Rfb1*(Cc1ea_u+Cc2ea_u)*A329)</f>
        <v>4.6429013300706085E-3</v>
      </c>
      <c r="N329">
        <f t="shared" ref="N329:N392" si="271">-Pi/2</f>
        <v>-1.5707963250000001</v>
      </c>
      <c r="O329">
        <f t="shared" ref="O329:O392" si="272">SQRT(1+(A329/Fz1_u)^2)</f>
        <v>154.9936993589057</v>
      </c>
      <c r="P329">
        <f t="shared" ref="P329:P392" si="273">ATAN2(Fz1_u,A329)</f>
        <v>1.5643444068649353</v>
      </c>
      <c r="Q329">
        <f t="shared" ref="Q329:Q392" si="274">SQRT(1+(A329/Fz2_u)^2)</f>
        <v>146.80720296806061</v>
      </c>
      <c r="R329">
        <f t="shared" ref="R329:R392" si="275">ATAN2(Fz2_u,A329)</f>
        <v>1.563984619242059</v>
      </c>
      <c r="S329">
        <f t="shared" ref="S329:S392" si="276">1/SQRT(1+(A329/Fp1_u)^2)</f>
        <v>0.25858521103094834</v>
      </c>
      <c r="T329">
        <f t="shared" ref="T329:T392" si="277">-ATAN2(Fp1_u,A329)</f>
        <v>-1.3092390139916268</v>
      </c>
      <c r="U329">
        <f t="shared" ref="U329:U392" si="278">1/SQRT(1+(A329/Fp2_u)^2)</f>
        <v>0.87192565066970695</v>
      </c>
      <c r="V329">
        <f t="shared" ref="V329:V392" si="279">-ATAN2(Fp2_u,A329)</f>
        <v>-0.51167486964512832</v>
      </c>
      <c r="X329">
        <f t="shared" si="244"/>
        <v>-32.497477929986985</v>
      </c>
      <c r="Y329">
        <f t="shared" ref="Y329:Y392" si="280">(180/Pi)*(D329+H329+N329+P329+R329+T329+V329)</f>
        <v>-168.91753305755435</v>
      </c>
      <c r="Z329">
        <f t="shared" si="245"/>
        <v>11.082466942445649</v>
      </c>
      <c r="AC329">
        <v>1</v>
      </c>
      <c r="AD329">
        <f t="shared" ref="AD329:AD392" si="281">Rcea1_u*Cc1ea_u*A329*2*Pi</f>
        <v>154.99047338775</v>
      </c>
      <c r="AE329">
        <f t="shared" ref="AE329:AE392" si="282">-Rcea1_u*Cc1ea_u*Cc2ea_u*(A329*2*Pi)^2</f>
        <v>-6.7194536618066705E-3</v>
      </c>
      <c r="AF329">
        <f t="shared" ref="AF329:AF392" si="283">(Cc2ea_u+Cc1ea_u)*A329*2*Pi</f>
        <v>1.196569808532E-2</v>
      </c>
      <c r="AG329">
        <f t="shared" si="246"/>
        <v>9811.8180044016499</v>
      </c>
      <c r="AH329">
        <f t="shared" si="247"/>
        <v>-5593.4936634219257</v>
      </c>
      <c r="AJ329">
        <f t="shared" ref="AJ329:AJ392" si="284">_Rfb1</f>
        <v>18000</v>
      </c>
      <c r="AK329">
        <f t="shared" ref="AK329:AK392" si="285">_Rfb1*Rcea2_u*Cc3ea_u*A329*2*Pi</f>
        <v>67242.020762070009</v>
      </c>
      <c r="AL329">
        <v>1</v>
      </c>
      <c r="AM329">
        <f t="shared" ref="AM329:AM392" si="286">(_Rfb1+Rcea2_u)*Cc3ea_u*A329*2*Pi</f>
        <v>146.80379710111501</v>
      </c>
      <c r="AN329">
        <f t="shared" si="248"/>
        <v>458.85398809196755</v>
      </c>
      <c r="AO329">
        <f t="shared" si="249"/>
        <v>-119.48700482063214</v>
      </c>
      <c r="AQ329">
        <f t="shared" ref="AQ329:AQ392" si="287">Eadcg/(1+(Eadcg*A329/GBP)^2)</f>
        <v>7.5614309554397309E-3</v>
      </c>
      <c r="AR329">
        <f t="shared" ref="AR329:AR392" si="288">-(A329*Eadcg*Eadcg/GBP)/(1+(Eadcg*A329/GBP)^2)</f>
        <v>-8.6956455987556911</v>
      </c>
      <c r="AT329">
        <f t="shared" si="261"/>
        <v>-48564.847171615089</v>
      </c>
      <c r="AU329">
        <f t="shared" si="262"/>
        <v>-85362.38686190272</v>
      </c>
      <c r="AV329">
        <f t="shared" si="250"/>
        <v>-2.0880535513717668</v>
      </c>
      <c r="AW329">
        <f t="shared" si="251"/>
        <v>10379.952762314451</v>
      </c>
      <c r="AX329">
        <f t="shared" si="252"/>
        <v>-10820.417278981013</v>
      </c>
      <c r="AY329">
        <f t="shared" si="260"/>
        <v>-0.80617144029042864</v>
      </c>
      <c r="BA329">
        <f t="shared" ref="BA329:BA392" si="289">SQRT(AT329^2+AU329^2)/SQRT(AW329^2+AX329^2)</f>
        <v>6.5499094686806023</v>
      </c>
      <c r="BB329">
        <f t="shared" si="253"/>
        <v>16.324705946326748</v>
      </c>
      <c r="BC329">
        <f t="shared" si="254"/>
        <v>-1.2818821110813383</v>
      </c>
      <c r="BD329">
        <f t="shared" ref="BD329:BD392" si="290">BC329*180/Pi-180</f>
        <v>-253.44643488220566</v>
      </c>
      <c r="BF329">
        <f t="shared" ref="BF329:BF392" si="291">20*LOG(BA329*J329*F329*C329)</f>
        <v>-43.711451981961005</v>
      </c>
      <c r="BG329">
        <f t="shared" ref="BG329:BG392" si="292">(180/Pi)*(D329+H329+BC329)</f>
        <v>-227.27333776039637</v>
      </c>
      <c r="BH329">
        <f t="shared" si="255"/>
        <v>-47.273337760396373</v>
      </c>
      <c r="BI329">
        <f t="shared" si="256"/>
        <v>-47.273337760396373</v>
      </c>
      <c r="BJ329">
        <f t="shared" ref="BJ329:BJ392" si="293">SUM((BF330&lt;0)*(BF329&gt;0))*A329</f>
        <v>0</v>
      </c>
      <c r="BK329">
        <f t="shared" si="257"/>
        <v>0</v>
      </c>
      <c r="BM329">
        <f t="shared" si="258"/>
        <v>-60.03615792828775</v>
      </c>
      <c r="BN329">
        <f t="shared" ref="BN329:BN392" si="294">(H329+D329)*180/Pi</f>
        <v>-153.82690287819074</v>
      </c>
      <c r="BQ329" s="56">
        <f t="shared" si="259"/>
        <v>33.226666746611883</v>
      </c>
      <c r="BR329" s="59"/>
      <c r="BS329" s="59"/>
      <c r="BT329" s="59">
        <v>154881.66200000001</v>
      </c>
      <c r="BU329" s="59">
        <v>10.266</v>
      </c>
      <c r="BV329" s="59">
        <v>-136.816</v>
      </c>
      <c r="BY329" s="59"/>
      <c r="BZ329" s="59"/>
      <c r="CA329" s="59"/>
      <c r="CC329" s="59"/>
    </row>
    <row r="330" spans="1:81" x14ac:dyDescent="0.25">
      <c r="A330">
        <f t="shared" si="263"/>
        <v>580000</v>
      </c>
      <c r="B330">
        <f t="shared" ref="B330:B393" si="295">A330/1000</f>
        <v>580</v>
      </c>
      <c r="C330">
        <f t="shared" si="264"/>
        <v>1.1144675119326009</v>
      </c>
      <c r="D330">
        <f t="shared" si="265"/>
        <v>0.45720574252459739</v>
      </c>
      <c r="F330">
        <f t="shared" si="266"/>
        <v>5.8646266400326875E-5</v>
      </c>
      <c r="G330">
        <f t="shared" si="267"/>
        <v>2.99533111594041E-3</v>
      </c>
      <c r="H330">
        <f t="shared" si="268"/>
        <v>-3.1385973188840599</v>
      </c>
      <c r="J330">
        <f t="shared" si="269"/>
        <v>15</v>
      </c>
      <c r="M330">
        <f t="shared" si="270"/>
        <v>4.6028763186044819E-3</v>
      </c>
      <c r="N330">
        <f t="shared" si="271"/>
        <v>-1.5707963250000001</v>
      </c>
      <c r="O330">
        <f t="shared" si="272"/>
        <v>156.34141479623088</v>
      </c>
      <c r="P330">
        <f t="shared" si="273"/>
        <v>1.5644000253407067</v>
      </c>
      <c r="Q330">
        <f t="shared" si="274"/>
        <v>148.08372836521204</v>
      </c>
      <c r="R330">
        <f t="shared" si="275"/>
        <v>1.5640433390659001</v>
      </c>
      <c r="S330">
        <f t="shared" si="276"/>
        <v>0.25650329028002394</v>
      </c>
      <c r="T330">
        <f t="shared" si="277"/>
        <v>-1.311393617538767</v>
      </c>
      <c r="U330">
        <f t="shared" si="278"/>
        <v>0.87010571881070009</v>
      </c>
      <c r="V330">
        <f t="shared" si="279"/>
        <v>-0.51537954838393962</v>
      </c>
      <c r="X330">
        <f t="shared" ref="X330:X393" si="296">20*LOG(C330*J330*O330*Q330*F330*M330*S330*U330)</f>
        <v>-32.646506249462746</v>
      </c>
      <c r="Y330">
        <f t="shared" si="280"/>
        <v>-169.05221194657469</v>
      </c>
      <c r="Z330">
        <f t="shared" ref="Z330:Z393" si="297">Y330+180</f>
        <v>10.947788053425313</v>
      </c>
      <c r="AC330">
        <v>1</v>
      </c>
      <c r="AD330">
        <f t="shared" si="281"/>
        <v>156.3382166346</v>
      </c>
      <c r="AE330">
        <f t="shared" si="282"/>
        <v>-6.8368218127236712E-3</v>
      </c>
      <c r="AF330">
        <f t="shared" si="283"/>
        <v>1.2069747633888E-2</v>
      </c>
      <c r="AG330">
        <f t="shared" ref="AG330:AG359" si="298">AC330*AE330/(AE330^2+AF330^2)+AD330*AF330/(AE330^2+AF330^2)</f>
        <v>9770.9012031335733</v>
      </c>
      <c r="AH330">
        <f t="shared" ref="AH330:AH359" si="299">AD330*AE330/(AE330^2+AF330^2)-AC330*AF330/(AE330^2+AF330^2)</f>
        <v>-5617.5085455130356</v>
      </c>
      <c r="AJ330">
        <f t="shared" si="284"/>
        <v>18000</v>
      </c>
      <c r="AK330">
        <f t="shared" si="285"/>
        <v>67826.733986088017</v>
      </c>
      <c r="AL330">
        <v>1</v>
      </c>
      <c r="AM330">
        <f t="shared" si="286"/>
        <v>148.080351858516</v>
      </c>
      <c r="AN330">
        <f t="shared" ref="AN330:AN359" si="300">AJ330*AL330/(AL330^2+AM330^2)+AK330*AM330/(AL330^2+AM330^2)</f>
        <v>458.84001605962681</v>
      </c>
      <c r="AO330">
        <f t="shared" ref="AO330:AO359" si="301">AK330*AL330/(AL330^2+AM330^2)-AJ330*AM330/(AL330^2+AM330^2)</f>
        <v>-118.45703878864462</v>
      </c>
      <c r="AQ330">
        <f t="shared" si="287"/>
        <v>7.431623490172793E-3</v>
      </c>
      <c r="AR330">
        <f t="shared" si="288"/>
        <v>-8.6206832486004394</v>
      </c>
      <c r="AT330">
        <f t="shared" si="261"/>
        <v>-48354.148158272685</v>
      </c>
      <c r="AU330">
        <f t="shared" si="262"/>
        <v>-84273.591534046558</v>
      </c>
      <c r="AV330">
        <f t="shared" ref="AV330:AV393" si="302">ATAN2(AT330,AU330)</f>
        <v>-2.0917101078810614</v>
      </c>
      <c r="AW330">
        <f t="shared" ref="AW330:AW393" si="303">AG330-AH330*AO330/_Rfb2+AG330*AN330/_Rfb2+AN330-AO330*AR330+AQ330*AN330</f>
        <v>10352.022081328563</v>
      </c>
      <c r="AX330">
        <f t="shared" ref="AX330:AX393" si="304">AH330+AH330*AN330/_Rfb2+AG330*AO330/_Rfb2+AO330+AO330*AQ330+AN330*AR330</f>
        <v>-10807.663814899901</v>
      </c>
      <c r="AY330">
        <f t="shared" si="260"/>
        <v>-0.80692831888997707</v>
      </c>
      <c r="BA330">
        <f t="shared" si="289"/>
        <v>6.4922440362985219</v>
      </c>
      <c r="BB330">
        <f t="shared" ref="BB330:BB393" si="305">20*LOG(BA330)</f>
        <v>16.247896722239471</v>
      </c>
      <c r="BC330">
        <f t="shared" ref="BC330:BC393" si="306">AV330-AY330</f>
        <v>-1.2847817889910842</v>
      </c>
      <c r="BD330">
        <f t="shared" si="290"/>
        <v>-253.61257418857124</v>
      </c>
      <c r="BF330">
        <f t="shared" si="291"/>
        <v>-43.924122464271008</v>
      </c>
      <c r="BG330">
        <f t="shared" si="292"/>
        <v>-227.24499491144988</v>
      </c>
      <c r="BH330">
        <f t="shared" ref="BH330:BH393" si="307">IF(BG330&gt;180,BG330-180,BG330+180)</f>
        <v>-47.244994911449879</v>
      </c>
      <c r="BI330">
        <f t="shared" ref="BI330:BI393" si="308">IF(BH330&gt;180,BH330-360,BH330)</f>
        <v>-47.244994911449879</v>
      </c>
      <c r="BJ330">
        <f t="shared" si="293"/>
        <v>0</v>
      </c>
      <c r="BK330">
        <f t="shared" ref="BK330:BK393" si="309">IF(BJ330&gt;0,BI330,0)</f>
        <v>0</v>
      </c>
      <c r="BM330">
        <f t="shared" ref="BM330:BM393" si="310">20*LOG(J330*F330*C330)</f>
        <v>-60.172019186510475</v>
      </c>
      <c r="BN330">
        <f t="shared" si="294"/>
        <v>-153.63242072287863</v>
      </c>
      <c r="BQ330" s="56">
        <f t="shared" ref="BQ330:BQ393" si="311">20*LOG(BA330*7)</f>
        <v>33.149857522524606</v>
      </c>
      <c r="BR330" s="59"/>
      <c r="BS330" s="59"/>
      <c r="BT330" s="59">
        <v>158489.31899999999</v>
      </c>
      <c r="BU330" s="59">
        <v>10.4788</v>
      </c>
      <c r="BV330" s="59">
        <v>-137.47</v>
      </c>
      <c r="BY330" s="59"/>
      <c r="BZ330" s="59"/>
      <c r="CA330" s="59"/>
      <c r="CC330" s="59"/>
    </row>
    <row r="331" spans="1:81" x14ac:dyDescent="0.25">
      <c r="A331">
        <f t="shared" si="263"/>
        <v>585000</v>
      </c>
      <c r="B331">
        <f t="shared" si="295"/>
        <v>585</v>
      </c>
      <c r="C331">
        <f t="shared" si="264"/>
        <v>1.1163462225629437</v>
      </c>
      <c r="D331">
        <f t="shared" si="265"/>
        <v>0.4606146731406276</v>
      </c>
      <c r="F331">
        <f t="shared" si="266"/>
        <v>5.7647995812021302E-5</v>
      </c>
      <c r="G331">
        <f t="shared" si="267"/>
        <v>2.9697271122832531E-3</v>
      </c>
      <c r="H331">
        <f t="shared" si="268"/>
        <v>-3.1386229228877172</v>
      </c>
      <c r="J331">
        <f t="shared" si="269"/>
        <v>15</v>
      </c>
      <c r="M331">
        <f t="shared" si="270"/>
        <v>4.563535495368547E-3</v>
      </c>
      <c r="N331">
        <f t="shared" si="271"/>
        <v>-1.5707963250000001</v>
      </c>
      <c r="O331">
        <f t="shared" si="272"/>
        <v>157.6891307089181</v>
      </c>
      <c r="P331">
        <f t="shared" si="273"/>
        <v>1.5644546931118686</v>
      </c>
      <c r="Q331">
        <f t="shared" si="274"/>
        <v>149.36025426423103</v>
      </c>
      <c r="R331">
        <f t="shared" si="275"/>
        <v>1.5641010551774535</v>
      </c>
      <c r="S331">
        <f t="shared" si="276"/>
        <v>0.25445347259226259</v>
      </c>
      <c r="T331">
        <f t="shared" si="277"/>
        <v>-1.3135137942456883</v>
      </c>
      <c r="U331">
        <f t="shared" si="278"/>
        <v>0.86828152605449083</v>
      </c>
      <c r="V331">
        <f t="shared" si="279"/>
        <v>-0.51906874372419598</v>
      </c>
      <c r="X331">
        <f t="shared" si="296"/>
        <v>-32.794368826645332</v>
      </c>
      <c r="Y331">
        <f t="shared" si="280"/>
        <v>-169.18477498888254</v>
      </c>
      <c r="Z331">
        <f t="shared" si="297"/>
        <v>10.815225011117462</v>
      </c>
      <c r="AC331">
        <v>1</v>
      </c>
      <c r="AD331">
        <f t="shared" si="281"/>
        <v>157.68595988145</v>
      </c>
      <c r="AE331">
        <f t="shared" si="282"/>
        <v>-6.9552061381074866E-3</v>
      </c>
      <c r="AF331">
        <f t="shared" si="283"/>
        <v>1.2173797182456E-2</v>
      </c>
      <c r="AG331">
        <f t="shared" si="298"/>
        <v>9729.9743993421598</v>
      </c>
      <c r="AH331">
        <f t="shared" si="299"/>
        <v>-5641.1304243594013</v>
      </c>
      <c r="AJ331">
        <f t="shared" si="284"/>
        <v>18000</v>
      </c>
      <c r="AK331">
        <f t="shared" si="285"/>
        <v>68411.447210106009</v>
      </c>
      <c r="AL331">
        <v>1</v>
      </c>
      <c r="AM331">
        <f t="shared" si="286"/>
        <v>149.35690661591698</v>
      </c>
      <c r="AN331">
        <f t="shared" si="300"/>
        <v>458.8264007298892</v>
      </c>
      <c r="AO331">
        <f t="shared" si="301"/>
        <v>-117.44467662535764</v>
      </c>
      <c r="AQ331">
        <f t="shared" si="287"/>
        <v>7.3051301737671317E-3</v>
      </c>
      <c r="AR331">
        <f t="shared" si="288"/>
        <v>-8.5470023033075435</v>
      </c>
      <c r="AT331">
        <f t="shared" si="261"/>
        <v>-48143.676000683445</v>
      </c>
      <c r="AU331">
        <f t="shared" si="262"/>
        <v>-83203.322794378022</v>
      </c>
      <c r="AV331">
        <f t="shared" si="302"/>
        <v>-2.0953520035555431</v>
      </c>
      <c r="AW331">
        <f t="shared" si="303"/>
        <v>10323.626838342376</v>
      </c>
      <c r="AX331">
        <f t="shared" si="304"/>
        <v>-10795.151342513918</v>
      </c>
      <c r="AY331">
        <f t="shared" ref="AY331:AY394" si="312">ATAN2(AW331,AX331)</f>
        <v>-0.8077217169127604</v>
      </c>
      <c r="BA331">
        <f t="shared" si="289"/>
        <v>6.4355878681561469</v>
      </c>
      <c r="BB331">
        <f t="shared" si="305"/>
        <v>16.171764486300603</v>
      </c>
      <c r="BC331">
        <f t="shared" si="306"/>
        <v>-1.2876302866427827</v>
      </c>
      <c r="BD331">
        <f t="shared" si="290"/>
        <v>-253.775781082153</v>
      </c>
      <c r="BF331">
        <f t="shared" si="291"/>
        <v>-44.134747924566852</v>
      </c>
      <c r="BG331">
        <f t="shared" si="292"/>
        <v>-227.21435146920683</v>
      </c>
      <c r="BH331">
        <f t="shared" si="307"/>
        <v>-47.214351469206832</v>
      </c>
      <c r="BI331">
        <f t="shared" si="308"/>
        <v>-47.214351469206832</v>
      </c>
      <c r="BJ331">
        <f t="shared" si="293"/>
        <v>0</v>
      </c>
      <c r="BK331">
        <f t="shared" si="309"/>
        <v>0</v>
      </c>
      <c r="BM331">
        <f t="shared" si="310"/>
        <v>-60.306512410867448</v>
      </c>
      <c r="BN331">
        <f t="shared" si="294"/>
        <v>-153.43857038705386</v>
      </c>
      <c r="BQ331" s="56">
        <f t="shared" si="311"/>
        <v>33.073725286585741</v>
      </c>
      <c r="BR331" s="59"/>
      <c r="BS331" s="59"/>
      <c r="BT331" s="59">
        <v>162181.01</v>
      </c>
      <c r="BU331" s="59">
        <v>10.741899999999999</v>
      </c>
      <c r="BV331" s="59">
        <v>-137.46899999999999</v>
      </c>
      <c r="BY331" s="59"/>
      <c r="BZ331" s="59"/>
      <c r="CA331" s="59"/>
      <c r="CC331" s="59"/>
    </row>
    <row r="332" spans="1:81" x14ac:dyDescent="0.25">
      <c r="A332">
        <f t="shared" si="263"/>
        <v>590000</v>
      </c>
      <c r="B332">
        <f t="shared" si="295"/>
        <v>590</v>
      </c>
      <c r="C332">
        <f t="shared" si="264"/>
        <v>1.1182378623601621</v>
      </c>
      <c r="D332">
        <f t="shared" si="265"/>
        <v>0.46401210985811098</v>
      </c>
      <c r="F332">
        <f t="shared" si="266"/>
        <v>5.6674999105565241E-5</v>
      </c>
      <c r="G332">
        <f t="shared" si="267"/>
        <v>2.9445571471621032E-3</v>
      </c>
      <c r="H332">
        <f t="shared" si="268"/>
        <v>-3.1386480928528382</v>
      </c>
      <c r="J332">
        <f t="shared" si="269"/>
        <v>15</v>
      </c>
      <c r="M332">
        <f t="shared" si="270"/>
        <v>4.5248614657467795E-3</v>
      </c>
      <c r="N332">
        <f t="shared" si="271"/>
        <v>-1.5707963250000001</v>
      </c>
      <c r="O332">
        <f t="shared" si="272"/>
        <v>159.03684708488237</v>
      </c>
      <c r="P332">
        <f t="shared" si="273"/>
        <v>1.564508434347587</v>
      </c>
      <c r="Q332">
        <f t="shared" si="274"/>
        <v>150.63678065235888</v>
      </c>
      <c r="R332">
        <f t="shared" si="275"/>
        <v>1.5641577930933088</v>
      </c>
      <c r="S332">
        <f t="shared" si="276"/>
        <v>0.25243504906646286</v>
      </c>
      <c r="T332">
        <f t="shared" si="277"/>
        <v>-1.3156003440822952</v>
      </c>
      <c r="U332">
        <f t="shared" si="278"/>
        <v>0.86645324763841924</v>
      </c>
      <c r="V332">
        <f t="shared" si="279"/>
        <v>-0.52274245273895792</v>
      </c>
      <c r="X332">
        <f t="shared" si="296"/>
        <v>-32.941083364914327</v>
      </c>
      <c r="Y332">
        <f t="shared" si="280"/>
        <v>-169.31526686870598</v>
      </c>
      <c r="Z332">
        <f t="shared" si="297"/>
        <v>10.684733131294024</v>
      </c>
      <c r="AC332">
        <v>1</v>
      </c>
      <c r="AD332">
        <f t="shared" si="281"/>
        <v>159.0337031283</v>
      </c>
      <c r="AE332">
        <f t="shared" si="282"/>
        <v>-7.0746066379581141E-3</v>
      </c>
      <c r="AF332">
        <f t="shared" si="283"/>
        <v>1.2277846731024E-2</v>
      </c>
      <c r="AG332">
        <f t="shared" si="298"/>
        <v>9689.0421140664112</v>
      </c>
      <c r="AH332">
        <f t="shared" si="299"/>
        <v>-5664.3614453908122</v>
      </c>
      <c r="AJ332">
        <f t="shared" si="284"/>
        <v>18000</v>
      </c>
      <c r="AK332">
        <f t="shared" si="285"/>
        <v>68996.160434124002</v>
      </c>
      <c r="AL332">
        <v>1</v>
      </c>
      <c r="AM332">
        <f t="shared" si="286"/>
        <v>150.633461373318</v>
      </c>
      <c r="AN332">
        <f t="shared" si="300"/>
        <v>458.813130063416</v>
      </c>
      <c r="AO332">
        <f t="shared" si="301"/>
        <v>-116.449470854712</v>
      </c>
      <c r="AQ332">
        <f t="shared" si="287"/>
        <v>7.1818391397305802E-3</v>
      </c>
      <c r="AR332">
        <f t="shared" si="288"/>
        <v>-8.4745701848820847</v>
      </c>
      <c r="AT332">
        <f t="shared" si="261"/>
        <v>-47933.443479623267</v>
      </c>
      <c r="AU332">
        <f t="shared" si="262"/>
        <v>-82151.147952664178</v>
      </c>
      <c r="AV332">
        <f t="shared" si="302"/>
        <v>-2.0989792145569224</v>
      </c>
      <c r="AW332">
        <f t="shared" si="303"/>
        <v>10294.78738445294</v>
      </c>
      <c r="AX332">
        <f t="shared" si="304"/>
        <v>-10782.864858478328</v>
      </c>
      <c r="AY332">
        <f t="shared" si="312"/>
        <v>-0.8085501852397019</v>
      </c>
      <c r="BA332">
        <f t="shared" si="289"/>
        <v>6.3799147905286153</v>
      </c>
      <c r="BB332">
        <f t="shared" si="305"/>
        <v>16.096297567368854</v>
      </c>
      <c r="BC332">
        <f t="shared" si="306"/>
        <v>-1.2904290293172205</v>
      </c>
      <c r="BD332">
        <f t="shared" si="290"/>
        <v>-253.93613722552465</v>
      </c>
      <c r="BF332">
        <f t="shared" si="291"/>
        <v>-44.343362954088292</v>
      </c>
      <c r="BG332">
        <f t="shared" si="292"/>
        <v>-227.1814909600551</v>
      </c>
      <c r="BH332">
        <f t="shared" si="307"/>
        <v>-47.1814909600551</v>
      </c>
      <c r="BI332">
        <f t="shared" si="308"/>
        <v>-47.1814909600551</v>
      </c>
      <c r="BJ332">
        <f t="shared" si="293"/>
        <v>0</v>
      </c>
      <c r="BK332">
        <f t="shared" si="309"/>
        <v>0</v>
      </c>
      <c r="BM332">
        <f t="shared" si="310"/>
        <v>-60.439660521457135</v>
      </c>
      <c r="BN332">
        <f t="shared" si="294"/>
        <v>-153.24535373453043</v>
      </c>
      <c r="BQ332" s="56">
        <f t="shared" si="311"/>
        <v>32.998258367653989</v>
      </c>
      <c r="BR332" s="59"/>
      <c r="BS332" s="59"/>
      <c r="BT332" s="59">
        <v>165958.69099999999</v>
      </c>
      <c r="BU332" s="59">
        <v>11.0235</v>
      </c>
      <c r="BV332" s="59">
        <v>-138.31200000000001</v>
      </c>
      <c r="BY332" s="59"/>
      <c r="BZ332" s="59"/>
      <c r="CA332" s="59"/>
      <c r="CC332" s="59"/>
    </row>
    <row r="333" spans="1:81" x14ac:dyDescent="0.25">
      <c r="A333">
        <f t="shared" si="263"/>
        <v>595000</v>
      </c>
      <c r="B333">
        <f t="shared" si="295"/>
        <v>595</v>
      </c>
      <c r="C333">
        <f t="shared" si="264"/>
        <v>1.1201423658218879</v>
      </c>
      <c r="D333">
        <f t="shared" si="265"/>
        <v>0.46739803267677515</v>
      </c>
      <c r="F333">
        <f t="shared" si="266"/>
        <v>5.5726430243341037E-5</v>
      </c>
      <c r="G333">
        <f t="shared" si="267"/>
        <v>2.9198102760267107E-3</v>
      </c>
      <c r="H333">
        <f t="shared" si="268"/>
        <v>-3.1386728397239736</v>
      </c>
      <c r="J333">
        <f t="shared" si="269"/>
        <v>15</v>
      </c>
      <c r="M333">
        <f t="shared" si="270"/>
        <v>4.4868374198161346E-3</v>
      </c>
      <c r="N333">
        <f t="shared" si="271"/>
        <v>-1.5707963250000001</v>
      </c>
      <c r="O333">
        <f t="shared" si="272"/>
        <v>160.38456391244489</v>
      </c>
      <c r="P333">
        <f t="shared" si="273"/>
        <v>1.5645612724046718</v>
      </c>
      <c r="Q333">
        <f t="shared" si="274"/>
        <v>151.91330751726559</v>
      </c>
      <c r="R333">
        <f t="shared" si="275"/>
        <v>1.5642135774724191</v>
      </c>
      <c r="S333">
        <f t="shared" si="276"/>
        <v>0.25044733060588614</v>
      </c>
      <c r="T333">
        <f t="shared" si="277"/>
        <v>-1.3176540430143031</v>
      </c>
      <c r="U333">
        <f t="shared" si="278"/>
        <v>0.8646210568949515</v>
      </c>
      <c r="V333">
        <f t="shared" si="279"/>
        <v>-0.52640067419782832</v>
      </c>
      <c r="X333">
        <f t="shared" si="296"/>
        <v>-33.086667168748647</v>
      </c>
      <c r="Y333">
        <f t="shared" si="280"/>
        <v>-169.4437309970161</v>
      </c>
      <c r="Z333">
        <f t="shared" si="297"/>
        <v>10.556269002983896</v>
      </c>
      <c r="AC333">
        <v>1</v>
      </c>
      <c r="AD333">
        <f t="shared" si="281"/>
        <v>160.38144637515001</v>
      </c>
      <c r="AE333">
        <f t="shared" si="282"/>
        <v>-7.195023312275557E-3</v>
      </c>
      <c r="AF333">
        <f t="shared" si="283"/>
        <v>1.2381896279591999E-2</v>
      </c>
      <c r="AG333">
        <f t="shared" si="298"/>
        <v>9648.1087940847738</v>
      </c>
      <c r="AH333">
        <f t="shared" si="299"/>
        <v>-5687.2038097165469</v>
      </c>
      <c r="AJ333">
        <f t="shared" si="284"/>
        <v>18000</v>
      </c>
      <c r="AK333">
        <f t="shared" si="285"/>
        <v>69580.873658141994</v>
      </c>
      <c r="AL333">
        <v>1</v>
      </c>
      <c r="AM333">
        <f t="shared" si="286"/>
        <v>151.91001613071899</v>
      </c>
      <c r="AN333">
        <f t="shared" si="300"/>
        <v>458.80019252454451</v>
      </c>
      <c r="AO333">
        <f t="shared" si="301"/>
        <v>-115.47098903854506</v>
      </c>
      <c r="AQ333">
        <f t="shared" si="287"/>
        <v>7.0616432020032469E-3</v>
      </c>
      <c r="AR333">
        <f t="shared" si="288"/>
        <v>-8.4033554103838632</v>
      </c>
      <c r="AT333">
        <f t="shared" si="261"/>
        <v>-47723.463402459325</v>
      </c>
      <c r="AU333">
        <f t="shared" si="262"/>
        <v>-81116.648238865717</v>
      </c>
      <c r="AV333">
        <f t="shared" si="302"/>
        <v>-2.1025917194463011</v>
      </c>
      <c r="AW333">
        <f t="shared" si="303"/>
        <v>10265.523347643561</v>
      </c>
      <c r="AX333">
        <f t="shared" si="304"/>
        <v>-10770.790011233064</v>
      </c>
      <c r="AY333">
        <f t="shared" si="312"/>
        <v>-0.80941233001862323</v>
      </c>
      <c r="BA333">
        <f t="shared" si="289"/>
        <v>6.3251995166930524</v>
      </c>
      <c r="BB333">
        <f t="shared" si="305"/>
        <v>16.02148458156497</v>
      </c>
      <c r="BC333">
        <f t="shared" si="306"/>
        <v>-1.293179389427678</v>
      </c>
      <c r="BD333">
        <f t="shared" si="290"/>
        <v>-254.09372125217507</v>
      </c>
      <c r="BF333">
        <f t="shared" si="291"/>
        <v>-44.550001297233869</v>
      </c>
      <c r="BG333">
        <f t="shared" si="292"/>
        <v>-227.14649379049115</v>
      </c>
      <c r="BH333">
        <f t="shared" si="307"/>
        <v>-47.146493790491149</v>
      </c>
      <c r="BI333">
        <f t="shared" si="308"/>
        <v>-47.146493790491149</v>
      </c>
      <c r="BJ333">
        <f t="shared" si="293"/>
        <v>0</v>
      </c>
      <c r="BK333">
        <f t="shared" si="309"/>
        <v>0</v>
      </c>
      <c r="BM333">
        <f t="shared" si="310"/>
        <v>-60.571485878798832</v>
      </c>
      <c r="BN333">
        <f t="shared" si="294"/>
        <v>-153.05277253831611</v>
      </c>
      <c r="BQ333" s="56">
        <f t="shared" si="311"/>
        <v>32.923445381850101</v>
      </c>
      <c r="BR333" s="59"/>
      <c r="BS333" s="59"/>
      <c r="BT333" s="59">
        <v>169824.36499999999</v>
      </c>
      <c r="BU333" s="59">
        <v>11.234299999999999</v>
      </c>
      <c r="BV333" s="59">
        <v>-140.114</v>
      </c>
      <c r="BY333" s="59"/>
      <c r="BZ333" s="59"/>
      <c r="CA333" s="59"/>
      <c r="CC333" s="59"/>
    </row>
    <row r="334" spans="1:81" x14ac:dyDescent="0.25">
      <c r="A334">
        <f t="shared" si="263"/>
        <v>600000</v>
      </c>
      <c r="B334">
        <f t="shared" si="295"/>
        <v>600</v>
      </c>
      <c r="C334">
        <f t="shared" si="264"/>
        <v>1.1220596674465431</v>
      </c>
      <c r="D334">
        <f t="shared" si="265"/>
        <v>0.47077242278766529</v>
      </c>
      <c r="F334">
        <f t="shared" si="266"/>
        <v>5.4801478295482057E-5</v>
      </c>
      <c r="G334">
        <f t="shared" si="267"/>
        <v>2.8954759192440223E-3</v>
      </c>
      <c r="H334">
        <f t="shared" si="268"/>
        <v>-3.1386971740807561</v>
      </c>
      <c r="J334">
        <f t="shared" si="269"/>
        <v>15</v>
      </c>
      <c r="M334">
        <f t="shared" si="270"/>
        <v>4.4494471079843329E-3</v>
      </c>
      <c r="N334">
        <f t="shared" si="271"/>
        <v>-1.5707963250000001</v>
      </c>
      <c r="O334">
        <f t="shared" si="272"/>
        <v>161.73228118031611</v>
      </c>
      <c r="P334">
        <f t="shared" si="273"/>
        <v>1.564613229861423</v>
      </c>
      <c r="Q334">
        <f t="shared" si="274"/>
        <v>153.18983484703224</v>
      </c>
      <c r="R334">
        <f t="shared" si="275"/>
        <v>1.564268432151831</v>
      </c>
      <c r="S334">
        <f t="shared" si="276"/>
        <v>0.24848964726952602</v>
      </c>
      <c r="T334">
        <f t="shared" si="277"/>
        <v>-1.3196756438735098</v>
      </c>
      <c r="U334">
        <f t="shared" si="278"/>
        <v>0.86278512523819317</v>
      </c>
      <c r="V334">
        <f t="shared" si="279"/>
        <v>-0.5300434085388479</v>
      </c>
      <c r="X334">
        <f t="shared" si="296"/>
        <v>-33.231137155340342</v>
      </c>
      <c r="Y334">
        <f t="shared" si="280"/>
        <v>-169.57020955743417</v>
      </c>
      <c r="Z334">
        <f t="shared" si="297"/>
        <v>10.429790442565832</v>
      </c>
      <c r="AC334">
        <v>1</v>
      </c>
      <c r="AD334">
        <f t="shared" si="281"/>
        <v>161.72918962200001</v>
      </c>
      <c r="AE334">
        <f t="shared" si="282"/>
        <v>-7.3164561610598146E-3</v>
      </c>
      <c r="AF334">
        <f t="shared" si="283"/>
        <v>1.2485945828159999E-2</v>
      </c>
      <c r="AG334">
        <f t="shared" si="298"/>
        <v>9607.1788118853328</v>
      </c>
      <c r="AH334">
        <f t="shared" si="299"/>
        <v>-5709.6597718562707</v>
      </c>
      <c r="AJ334">
        <f t="shared" si="284"/>
        <v>18000</v>
      </c>
      <c r="AK334">
        <f t="shared" si="285"/>
        <v>70165.586882160016</v>
      </c>
      <c r="AL334">
        <v>1</v>
      </c>
      <c r="AM334">
        <f t="shared" si="286"/>
        <v>153.18657088812</v>
      </c>
      <c r="AN334">
        <f t="shared" si="300"/>
        <v>458.78757705621166</v>
      </c>
      <c r="AO334">
        <f t="shared" si="301"/>
        <v>-114.50881315017511</v>
      </c>
      <c r="AQ334">
        <f t="shared" si="287"/>
        <v>6.9444396219169296E-3</v>
      </c>
      <c r="AR334">
        <f t="shared" si="288"/>
        <v>-8.3333275463003158</v>
      </c>
      <c r="AT334">
        <f t="shared" si="261"/>
        <v>-47513.748583616543</v>
      </c>
      <c r="AU334">
        <f t="shared" si="262"/>
        <v>-80099.418222864129</v>
      </c>
      <c r="AV334">
        <f t="shared" si="302"/>
        <v>-2.1061894991267858</v>
      </c>
      <c r="AW334">
        <f t="shared" si="303"/>
        <v>10235.853664622129</v>
      </c>
      <c r="AX334">
        <f t="shared" si="304"/>
        <v>-10758.913073666492</v>
      </c>
      <c r="AY334">
        <f t="shared" si="312"/>
        <v>-0.81030681017163431</v>
      </c>
      <c r="BA334">
        <f t="shared" si="289"/>
        <v>6.2714176104490642</v>
      </c>
      <c r="BB334">
        <f t="shared" si="305"/>
        <v>15.947314423655454</v>
      </c>
      <c r="BC334">
        <f t="shared" si="306"/>
        <v>-1.2958826889551514</v>
      </c>
      <c r="BD334">
        <f t="shared" si="290"/>
        <v>-254.248608906036</v>
      </c>
      <c r="BF334">
        <f t="shared" si="291"/>
        <v>-44.75469587869469</v>
      </c>
      <c r="BG334">
        <f t="shared" si="292"/>
        <v>-227.10943738828888</v>
      </c>
      <c r="BH334">
        <f t="shared" si="307"/>
        <v>-47.109437388288882</v>
      </c>
      <c r="BI334">
        <f t="shared" si="308"/>
        <v>-47.109437388288882</v>
      </c>
      <c r="BJ334">
        <f t="shared" si="293"/>
        <v>0</v>
      </c>
      <c r="BK334">
        <f t="shared" si="309"/>
        <v>0</v>
      </c>
      <c r="BM334">
        <f t="shared" si="310"/>
        <v>-60.702010302350146</v>
      </c>
      <c r="BN334">
        <f t="shared" si="294"/>
        <v>-152.86082848225288</v>
      </c>
      <c r="BQ334" s="56">
        <f t="shared" si="311"/>
        <v>32.849275223940587</v>
      </c>
      <c r="BR334" s="59"/>
      <c r="BS334" s="59"/>
      <c r="BT334" s="59">
        <v>173780.08300000001</v>
      </c>
      <c r="BU334" s="59">
        <v>11.3918</v>
      </c>
      <c r="BV334" s="59">
        <v>-141.173</v>
      </c>
      <c r="BY334" s="59"/>
      <c r="BZ334" s="59"/>
      <c r="CA334" s="59"/>
      <c r="CC334" s="59"/>
    </row>
    <row r="335" spans="1:81" x14ac:dyDescent="0.25">
      <c r="A335">
        <f t="shared" si="263"/>
        <v>605000</v>
      </c>
      <c r="B335">
        <f t="shared" si="295"/>
        <v>605</v>
      </c>
      <c r="C335">
        <f t="shared" si="264"/>
        <v>1.1239897017408111</v>
      </c>
      <c r="D335">
        <f t="shared" si="265"/>
        <v>0.47413526256025573</v>
      </c>
      <c r="F335">
        <f t="shared" si="266"/>
        <v>5.3899365706016963E-5</v>
      </c>
      <c r="G335">
        <f t="shared" si="267"/>
        <v>2.8715438470141193E-3</v>
      </c>
      <c r="H335">
        <f t="shared" si="268"/>
        <v>-3.1387211061529863</v>
      </c>
      <c r="J335">
        <f t="shared" si="269"/>
        <v>15</v>
      </c>
      <c r="M335">
        <f t="shared" si="270"/>
        <v>4.412674817835702E-3</v>
      </c>
      <c r="N335">
        <f t="shared" si="271"/>
        <v>-1.5707963250000001</v>
      </c>
      <c r="O335">
        <f t="shared" si="272"/>
        <v>163.07999887757975</v>
      </c>
      <c r="P335">
        <f t="shared" si="273"/>
        <v>1.5646643285497985</v>
      </c>
      <c r="Q335">
        <f t="shared" si="274"/>
        <v>154.46636263013383</v>
      </c>
      <c r="R335">
        <f t="shared" si="275"/>
        <v>1.5643223801806461</v>
      </c>
      <c r="S335">
        <f t="shared" si="276"/>
        <v>0.24656134764676482</v>
      </c>
      <c r="T335">
        <f t="shared" si="277"/>
        <v>-1.3216658771915881</v>
      </c>
      <c r="U335">
        <f t="shared" si="278"/>
        <v>0.86094562215156334</v>
      </c>
      <c r="V335">
        <f t="shared" si="279"/>
        <v>-0.53367065784038725</v>
      </c>
      <c r="X335">
        <f t="shared" si="296"/>
        <v>-33.374509865804797</v>
      </c>
      <c r="Y335">
        <f t="shared" si="280"/>
        <v>-169.69474355020756</v>
      </c>
      <c r="Z335">
        <f t="shared" si="297"/>
        <v>10.305256449792438</v>
      </c>
      <c r="AC335">
        <v>1</v>
      </c>
      <c r="AD335">
        <f t="shared" si="281"/>
        <v>163.07693286885001</v>
      </c>
      <c r="AE335">
        <f t="shared" si="282"/>
        <v>-7.4389051843108851E-3</v>
      </c>
      <c r="AF335">
        <f t="shared" si="283"/>
        <v>1.2589995376727999E-2</v>
      </c>
      <c r="AG335">
        <f t="shared" si="298"/>
        <v>9566.2564656761588</v>
      </c>
      <c r="AH335">
        <f t="shared" si="299"/>
        <v>-5731.7316375155115</v>
      </c>
      <c r="AJ335">
        <f t="shared" si="284"/>
        <v>18000</v>
      </c>
      <c r="AK335">
        <f t="shared" si="285"/>
        <v>70750.300106178009</v>
      </c>
      <c r="AL335">
        <v>1</v>
      </c>
      <c r="AM335">
        <f t="shared" si="286"/>
        <v>154.46312564552099</v>
      </c>
      <c r="AN335">
        <f t="shared" si="300"/>
        <v>458.77527305632316</v>
      </c>
      <c r="AO335">
        <f t="shared" si="301"/>
        <v>-113.56253897903899</v>
      </c>
      <c r="AQ335">
        <f t="shared" si="287"/>
        <v>6.8301298885800913E-3</v>
      </c>
      <c r="AR335">
        <f t="shared" si="288"/>
        <v>-8.264457165181911</v>
      </c>
      <c r="AT335">
        <f t="shared" si="261"/>
        <v>-47304.311826356876</v>
      </c>
      <c r="AU335">
        <f t="shared" si="262"/>
        <v>-79099.065263295837</v>
      </c>
      <c r="AV335">
        <f t="shared" si="302"/>
        <v>-2.1097725367875482</v>
      </c>
      <c r="AW335">
        <f t="shared" si="303"/>
        <v>10205.796610868472</v>
      </c>
      <c r="AX335">
        <f t="shared" si="304"/>
        <v>-10747.22091707226</v>
      </c>
      <c r="AY335">
        <f t="shared" si="312"/>
        <v>-0.81123233503708203</v>
      </c>
      <c r="BA335">
        <f t="shared" si="289"/>
        <v>6.2185454513649754</v>
      </c>
      <c r="BB335">
        <f t="shared" si="305"/>
        <v>15.873776258706213</v>
      </c>
      <c r="BC335">
        <f t="shared" si="306"/>
        <v>-1.2985402017504661</v>
      </c>
      <c r="BD335">
        <f t="shared" si="290"/>
        <v>-254.40087317338356</v>
      </c>
      <c r="BF335">
        <f t="shared" si="291"/>
        <v>-44.957478829547455</v>
      </c>
      <c r="BG335">
        <f t="shared" si="292"/>
        <v>-227.07039633600343</v>
      </c>
      <c r="BH335">
        <f t="shared" si="307"/>
        <v>-47.070396336003427</v>
      </c>
      <c r="BI335">
        <f t="shared" si="308"/>
        <v>-47.070396336003427</v>
      </c>
      <c r="BJ335">
        <f t="shared" si="293"/>
        <v>0</v>
      </c>
      <c r="BK335">
        <f t="shared" si="309"/>
        <v>0</v>
      </c>
      <c r="BM335">
        <f t="shared" si="310"/>
        <v>-60.83125508825367</v>
      </c>
      <c r="BN335">
        <f t="shared" si="294"/>
        <v>-152.6695231626199</v>
      </c>
      <c r="BQ335" s="56">
        <f t="shared" si="311"/>
        <v>32.775737058991353</v>
      </c>
      <c r="BR335" s="59"/>
      <c r="BS335" s="59"/>
      <c r="BT335" s="59">
        <v>177827.94099999999</v>
      </c>
      <c r="BU335" s="59">
        <v>11.612500000000001</v>
      </c>
      <c r="BV335" s="59">
        <v>-141.86199999999999</v>
      </c>
      <c r="BY335" s="59"/>
      <c r="BZ335" s="59"/>
      <c r="CA335" s="59"/>
      <c r="CC335" s="59"/>
    </row>
    <row r="336" spans="1:81" x14ac:dyDescent="0.25">
      <c r="A336">
        <f t="shared" si="263"/>
        <v>610000</v>
      </c>
      <c r="B336">
        <f t="shared" si="295"/>
        <v>610</v>
      </c>
      <c r="C336">
        <f t="shared" si="264"/>
        <v>1.1259324032269913</v>
      </c>
      <c r="D336">
        <f t="shared" si="265"/>
        <v>0.47748653552944526</v>
      </c>
      <c r="F336">
        <f t="shared" si="266"/>
        <v>5.3019346658100339E-5</v>
      </c>
      <c r="G336">
        <f t="shared" si="267"/>
        <v>2.8480041650282618E-3</v>
      </c>
      <c r="H336">
        <f t="shared" si="268"/>
        <v>-3.1387446458349721</v>
      </c>
      <c r="J336">
        <f t="shared" si="269"/>
        <v>15</v>
      </c>
      <c r="M336">
        <f t="shared" si="270"/>
        <v>4.3765053521157369E-3</v>
      </c>
      <c r="N336">
        <f t="shared" si="271"/>
        <v>-1.5707963250000001</v>
      </c>
      <c r="O336">
        <f t="shared" si="272"/>
        <v>164.42771699367734</v>
      </c>
      <c r="P336">
        <f t="shared" si="273"/>
        <v>1.5647145895859991</v>
      </c>
      <c r="Q336">
        <f t="shared" si="274"/>
        <v>155.74289085542327</v>
      </c>
      <c r="R336">
        <f t="shared" si="275"/>
        <v>1.5643754438523103</v>
      </c>
      <c r="S336">
        <f t="shared" si="276"/>
        <v>0.24466179825455953</v>
      </c>
      <c r="T336">
        <f t="shared" si="277"/>
        <v>-1.3236254519991109</v>
      </c>
      <c r="U336">
        <f t="shared" si="278"/>
        <v>0.85910271517660119</v>
      </c>
      <c r="V336">
        <f t="shared" si="279"/>
        <v>-0.53728242579305074</v>
      </c>
      <c r="X336">
        <f t="shared" si="296"/>
        <v>-33.516801476003685</v>
      </c>
      <c r="Y336">
        <f t="shared" si="280"/>
        <v>-169.81737283434509</v>
      </c>
      <c r="Z336">
        <f t="shared" si="297"/>
        <v>10.182627165654907</v>
      </c>
      <c r="AC336">
        <v>1</v>
      </c>
      <c r="AD336">
        <f t="shared" si="281"/>
        <v>164.42467611570001</v>
      </c>
      <c r="AE336">
        <f t="shared" si="282"/>
        <v>-7.5623703820287694E-3</v>
      </c>
      <c r="AF336">
        <f t="shared" si="283"/>
        <v>1.2694044925296001E-2</v>
      </c>
      <c r="AG336">
        <f t="shared" si="298"/>
        <v>9525.3459794345545</v>
      </c>
      <c r="AH336">
        <f t="shared" si="299"/>
        <v>-5753.4217614051549</v>
      </c>
      <c r="AJ336">
        <f t="shared" si="284"/>
        <v>18000</v>
      </c>
      <c r="AK336">
        <f t="shared" si="285"/>
        <v>71335.013330196001</v>
      </c>
      <c r="AL336">
        <v>1</v>
      </c>
      <c r="AM336">
        <f t="shared" si="286"/>
        <v>155.739680402922</v>
      </c>
      <c r="AN336">
        <f t="shared" si="300"/>
        <v>458.76327035547263</v>
      </c>
      <c r="AO336">
        <f t="shared" si="301"/>
        <v>-112.63177556460055</v>
      </c>
      <c r="AQ336">
        <f t="shared" si="287"/>
        <v>6.7186195118116689E-3</v>
      </c>
      <c r="AR336">
        <f t="shared" si="288"/>
        <v>-8.1967158044102355</v>
      </c>
      <c r="AT336">
        <f t="shared" si="261"/>
        <v>-47095.165905793227</v>
      </c>
      <c r="AU336">
        <f t="shared" si="262"/>
        <v>-78115.208983812568</v>
      </c>
      <c r="AV336">
        <f t="shared" si="302"/>
        <v>-2.1133408178492661</v>
      </c>
      <c r="AW336">
        <f t="shared" si="303"/>
        <v>10175.369829009058</v>
      </c>
      <c r="AX336">
        <f t="shared" si="304"/>
        <v>-10735.700986326445</v>
      </c>
      <c r="AY336">
        <f t="shared" si="312"/>
        <v>-0.81218766213764104</v>
      </c>
      <c r="BA336">
        <f t="shared" si="289"/>
        <v>6.1665602016602712</v>
      </c>
      <c r="BB336">
        <f t="shared" si="305"/>
        <v>15.800859514000225</v>
      </c>
      <c r="BC336">
        <f t="shared" si="306"/>
        <v>-1.3011531557116252</v>
      </c>
      <c r="BD336">
        <f t="shared" si="290"/>
        <v>-254.55058440759103</v>
      </c>
      <c r="BF336">
        <f t="shared" si="291"/>
        <v>-45.158381512350957</v>
      </c>
      <c r="BG336">
        <f t="shared" si="292"/>
        <v>-227.02944249729109</v>
      </c>
      <c r="BH336">
        <f t="shared" si="307"/>
        <v>-47.029442497291086</v>
      </c>
      <c r="BI336">
        <f t="shared" si="308"/>
        <v>-47.029442497291086</v>
      </c>
      <c r="BJ336">
        <f t="shared" si="293"/>
        <v>0</v>
      </c>
      <c r="BK336">
        <f t="shared" si="309"/>
        <v>0</v>
      </c>
      <c r="BM336">
        <f t="shared" si="310"/>
        <v>-60.959241026351179</v>
      </c>
      <c r="BN336">
        <f t="shared" si="294"/>
        <v>-152.47885808970008</v>
      </c>
      <c r="BQ336" s="56">
        <f t="shared" si="311"/>
        <v>32.702820314285361</v>
      </c>
      <c r="BR336" s="59"/>
      <c r="BS336" s="59"/>
      <c r="BT336" s="59">
        <v>181970.08600000001</v>
      </c>
      <c r="BU336" s="59">
        <v>11.8933</v>
      </c>
      <c r="BV336" s="59">
        <v>-143.41399999999999</v>
      </c>
      <c r="BY336" s="59"/>
      <c r="BZ336" s="59"/>
      <c r="CA336" s="59"/>
      <c r="CC336" s="59"/>
    </row>
    <row r="337" spans="1:81" x14ac:dyDescent="0.25">
      <c r="A337">
        <f t="shared" si="263"/>
        <v>615000</v>
      </c>
      <c r="B337">
        <f t="shared" si="295"/>
        <v>615</v>
      </c>
      <c r="C337">
        <f t="shared" si="264"/>
        <v>1.1278877064502379</v>
      </c>
      <c r="D337">
        <f t="shared" si="265"/>
        <v>0.48082622638244232</v>
      </c>
      <c r="F337">
        <f t="shared" si="266"/>
        <v>5.2160705531910593E-5</v>
      </c>
      <c r="G337">
        <f t="shared" si="267"/>
        <v>2.8248473008268041E-3</v>
      </c>
      <c r="H337">
        <f t="shared" si="268"/>
        <v>-3.1387678026991734</v>
      </c>
      <c r="J337">
        <f t="shared" si="269"/>
        <v>15</v>
      </c>
      <c r="M337">
        <f t="shared" si="270"/>
        <v>4.3409240077895931E-3</v>
      </c>
      <c r="N337">
        <f t="shared" si="271"/>
        <v>-1.5707963250000001</v>
      </c>
      <c r="O337">
        <f t="shared" si="272"/>
        <v>165.77543551839381</v>
      </c>
      <c r="P337">
        <f t="shared" si="273"/>
        <v>1.5647640333995618</v>
      </c>
      <c r="Q337">
        <f t="shared" si="274"/>
        <v>157.01941951211592</v>
      </c>
      <c r="R337">
        <f t="shared" si="275"/>
        <v>1.5644276447353291</v>
      </c>
      <c r="S337">
        <f t="shared" si="276"/>
        <v>0.24279038295632729</v>
      </c>
      <c r="T337">
        <f t="shared" si="277"/>
        <v>-1.3255550565914298</v>
      </c>
      <c r="U337">
        <f t="shared" si="278"/>
        <v>0.85725656990288579</v>
      </c>
      <c r="V337">
        <f t="shared" si="279"/>
        <v>-0.54087871767160478</v>
      </c>
      <c r="X337">
        <f t="shared" si="296"/>
        <v>-33.658027806995833</v>
      </c>
      <c r="Y337">
        <f t="shared" si="280"/>
        <v>-169.93813616799665</v>
      </c>
      <c r="Z337">
        <f t="shared" si="297"/>
        <v>10.061863832003354</v>
      </c>
      <c r="AC337">
        <v>1</v>
      </c>
      <c r="AD337">
        <f t="shared" si="281"/>
        <v>165.77241936255001</v>
      </c>
      <c r="AE337">
        <f t="shared" si="282"/>
        <v>-7.6868517542134675E-3</v>
      </c>
      <c r="AF337">
        <f t="shared" si="283"/>
        <v>1.2798094473864001E-2</v>
      </c>
      <c r="AG337">
        <f t="shared" si="298"/>
        <v>9484.4515029941576</v>
      </c>
      <c r="AH337">
        <f t="shared" si="299"/>
        <v>-5774.7325451043989</v>
      </c>
      <c r="AJ337">
        <f t="shared" si="284"/>
        <v>18000</v>
      </c>
      <c r="AK337">
        <f t="shared" si="285"/>
        <v>71919.726554213994</v>
      </c>
      <c r="AL337">
        <v>1</v>
      </c>
      <c r="AM337">
        <f t="shared" si="286"/>
        <v>157.01623516032299</v>
      </c>
      <c r="AN337">
        <f t="shared" si="300"/>
        <v>458.75155919592294</v>
      </c>
      <c r="AO337">
        <f t="shared" si="301"/>
        <v>-111.71614465786554</v>
      </c>
      <c r="AQ337">
        <f t="shared" si="287"/>
        <v>6.6098178268108754E-3</v>
      </c>
      <c r="AR337">
        <f t="shared" si="288"/>
        <v>-8.1300759269773764</v>
      </c>
      <c r="AT337">
        <f t="shared" si="261"/>
        <v>-46886.323553064052</v>
      </c>
      <c r="AU337">
        <f t="shared" si="262"/>
        <v>-77147.480775198899</v>
      </c>
      <c r="AV337">
        <f t="shared" si="302"/>
        <v>-2.1168943299108829</v>
      </c>
      <c r="AW337">
        <f t="shared" si="303"/>
        <v>10144.5903556291</v>
      </c>
      <c r="AX337">
        <f t="shared" si="304"/>
        <v>-10724.341276216855</v>
      </c>
      <c r="AY337">
        <f t="shared" si="312"/>
        <v>-0.81317159506669268</v>
      </c>
      <c r="BA337">
        <f t="shared" si="289"/>
        <v>6.1154397746396247</v>
      </c>
      <c r="BB337">
        <f t="shared" si="305"/>
        <v>15.728553871213183</v>
      </c>
      <c r="BC337">
        <f t="shared" si="306"/>
        <v>-1.3037227348441902</v>
      </c>
      <c r="BD337">
        <f t="shared" si="290"/>
        <v>-254.6978104471801</v>
      </c>
      <c r="BF337">
        <f t="shared" si="291"/>
        <v>-45.357434545288065</v>
      </c>
      <c r="BG337">
        <f t="shared" si="292"/>
        <v>-226.98664513649337</v>
      </c>
      <c r="BH337">
        <f t="shared" si="307"/>
        <v>-46.986645136493365</v>
      </c>
      <c r="BI337">
        <f t="shared" si="308"/>
        <v>-46.986645136493365</v>
      </c>
      <c r="BJ337">
        <f t="shared" si="293"/>
        <v>0</v>
      </c>
      <c r="BK337">
        <f t="shared" si="309"/>
        <v>0</v>
      </c>
      <c r="BM337">
        <f t="shared" si="310"/>
        <v>-61.085988416501245</v>
      </c>
      <c r="BN337">
        <f t="shared" si="294"/>
        <v>-152.28883468931326</v>
      </c>
      <c r="BQ337" s="56">
        <f t="shared" si="311"/>
        <v>32.630514671498318</v>
      </c>
      <c r="BR337" s="59"/>
      <c r="BS337" s="59"/>
      <c r="BT337" s="59">
        <v>186208.71400000001</v>
      </c>
      <c r="BU337" s="59">
        <v>12.027799999999999</v>
      </c>
      <c r="BV337" s="59">
        <v>-144.279</v>
      </c>
      <c r="BY337" s="59"/>
      <c r="BZ337" s="59"/>
      <c r="CA337" s="59"/>
      <c r="CC337" s="59"/>
    </row>
    <row r="338" spans="1:81" x14ac:dyDescent="0.25">
      <c r="A338">
        <f t="shared" si="263"/>
        <v>620000</v>
      </c>
      <c r="B338">
        <f t="shared" si="295"/>
        <v>620</v>
      </c>
      <c r="C338">
        <f t="shared" si="264"/>
        <v>1.1298555459856841</v>
      </c>
      <c r="D338">
        <f t="shared" si="265"/>
        <v>0.48415432094554989</v>
      </c>
      <c r="F338">
        <f t="shared" si="266"/>
        <v>5.1322755449260095E-5</v>
      </c>
      <c r="G338">
        <f t="shared" si="267"/>
        <v>2.8020639908174407E-3</v>
      </c>
      <c r="H338">
        <f t="shared" si="268"/>
        <v>-3.1387905860091827</v>
      </c>
      <c r="J338">
        <f t="shared" si="269"/>
        <v>15</v>
      </c>
      <c r="M338">
        <f t="shared" si="270"/>
        <v>4.305916556113871E-3</v>
      </c>
      <c r="N338">
        <f t="shared" si="271"/>
        <v>-1.5707963250000001</v>
      </c>
      <c r="O338">
        <f t="shared" si="272"/>
        <v>167.12315444184358</v>
      </c>
      <c r="P338">
        <f t="shared" si="273"/>
        <v>1.5648126797610469</v>
      </c>
      <c r="Q338">
        <f t="shared" si="274"/>
        <v>158.29594858977507</v>
      </c>
      <c r="R338">
        <f t="shared" si="275"/>
        <v>1.5644790037024972</v>
      </c>
      <c r="S338">
        <f t="shared" si="276"/>
        <v>0.24094650240172674</v>
      </c>
      <c r="T338">
        <f t="shared" si="277"/>
        <v>-1.3274553592629477</v>
      </c>
      <c r="U338">
        <f t="shared" si="278"/>
        <v>0.85540734995903911</v>
      </c>
      <c r="V338">
        <f t="shared" si="279"/>
        <v>-0.54445954030694788</v>
      </c>
      <c r="X338">
        <f t="shared" si="296"/>
        <v>-33.798204335130848</v>
      </c>
      <c r="Y338">
        <f t="shared" si="280"/>
        <v>-170.05707124715778</v>
      </c>
      <c r="Z338">
        <f t="shared" si="297"/>
        <v>9.9429287528422208</v>
      </c>
      <c r="AC338">
        <v>1</v>
      </c>
      <c r="AD338">
        <f t="shared" si="281"/>
        <v>167.12016260940001</v>
      </c>
      <c r="AE338">
        <f t="shared" si="282"/>
        <v>-7.8123493008649802E-3</v>
      </c>
      <c r="AF338">
        <f t="shared" si="283"/>
        <v>1.2902144022432E-2</v>
      </c>
      <c r="AG338">
        <f t="shared" si="298"/>
        <v>9443.5771121685902</v>
      </c>
      <c r="AH338">
        <f t="shared" si="299"/>
        <v>-5795.6664349666553</v>
      </c>
      <c r="AJ338">
        <f t="shared" si="284"/>
        <v>18000</v>
      </c>
      <c r="AK338">
        <f t="shared" si="285"/>
        <v>72504.439778232001</v>
      </c>
      <c r="AL338">
        <v>1</v>
      </c>
      <c r="AM338">
        <f t="shared" si="286"/>
        <v>158.29278991772401</v>
      </c>
      <c r="AN338">
        <f t="shared" si="300"/>
        <v>458.74013021176921</v>
      </c>
      <c r="AO338">
        <f t="shared" si="301"/>
        <v>-110.81528020894486</v>
      </c>
      <c r="AQ338">
        <f t="shared" si="287"/>
        <v>6.5036378098089166E-3</v>
      </c>
      <c r="AR338">
        <f t="shared" si="288"/>
        <v>-8.0645108841630559</v>
      </c>
      <c r="AT338">
        <f t="shared" si="261"/>
        <v>-46677.797440600538</v>
      </c>
      <c r="AU338">
        <f t="shared" si="262"/>
        <v>-76195.5233218762</v>
      </c>
      <c r="AV338">
        <f t="shared" si="302"/>
        <v>-2.1204330626976198</v>
      </c>
      <c r="AW338">
        <f t="shared" si="303"/>
        <v>10113.474646623674</v>
      </c>
      <c r="AX338">
        <f t="shared" si="304"/>
        <v>-10713.130308860909</v>
      </c>
      <c r="AY338">
        <f t="shared" si="312"/>
        <v>-0.81418298148571588</v>
      </c>
      <c r="BA338">
        <f t="shared" si="289"/>
        <v>6.0651628045983168</v>
      </c>
      <c r="BB338">
        <f t="shared" si="305"/>
        <v>15.656849258840673</v>
      </c>
      <c r="BC338">
        <f t="shared" si="306"/>
        <v>-1.3062500812119038</v>
      </c>
      <c r="BD338">
        <f t="shared" si="290"/>
        <v>-254.84261672758328</v>
      </c>
      <c r="BF338">
        <f t="shared" si="291"/>
        <v>-45.554667825393686</v>
      </c>
      <c r="BG338">
        <f t="shared" si="292"/>
        <v>-226.9420710319005</v>
      </c>
      <c r="BH338">
        <f t="shared" si="307"/>
        <v>-46.942071031900497</v>
      </c>
      <c r="BI338">
        <f t="shared" si="308"/>
        <v>-46.942071031900497</v>
      </c>
      <c r="BJ338">
        <f t="shared" si="293"/>
        <v>0</v>
      </c>
      <c r="BK338">
        <f t="shared" si="309"/>
        <v>0</v>
      </c>
      <c r="BM338">
        <f t="shared" si="310"/>
        <v>-61.211517084234359</v>
      </c>
      <c r="BN338">
        <f t="shared" si="294"/>
        <v>-152.09945430431722</v>
      </c>
      <c r="BQ338" s="56">
        <f t="shared" si="311"/>
        <v>32.558810059125811</v>
      </c>
      <c r="BR338" s="59"/>
      <c r="BS338" s="59"/>
      <c r="BT338" s="59">
        <v>190546.07199999999</v>
      </c>
      <c r="BU338" s="59">
        <v>12.182600000000001</v>
      </c>
      <c r="BV338" s="59">
        <v>-145.40799999999999</v>
      </c>
      <c r="BY338" s="59"/>
      <c r="BZ338" s="59"/>
      <c r="CA338" s="59"/>
      <c r="CC338" s="59"/>
    </row>
    <row r="339" spans="1:81" x14ac:dyDescent="0.25">
      <c r="A339">
        <f t="shared" si="263"/>
        <v>625000</v>
      </c>
      <c r="B339">
        <f t="shared" si="295"/>
        <v>625</v>
      </c>
      <c r="C339">
        <f t="shared" si="264"/>
        <v>1.1318358564454467</v>
      </c>
      <c r="D339">
        <f t="shared" si="265"/>
        <v>0.48747080617085597</v>
      </c>
      <c r="F339">
        <f t="shared" si="266"/>
        <v>5.0504836899389372E-5</v>
      </c>
      <c r="G339">
        <f t="shared" si="267"/>
        <v>2.779645267916798E-3</v>
      </c>
      <c r="H339">
        <f t="shared" si="268"/>
        <v>-3.1388130047320835</v>
      </c>
      <c r="J339">
        <f t="shared" si="269"/>
        <v>15</v>
      </c>
      <c r="M339">
        <f t="shared" si="270"/>
        <v>4.2714692236649598E-3</v>
      </c>
      <c r="N339">
        <f t="shared" si="271"/>
        <v>-1.5707963250000001</v>
      </c>
      <c r="O339">
        <f t="shared" si="272"/>
        <v>168.47087375445739</v>
      </c>
      <c r="P339">
        <f t="shared" si="273"/>
        <v>1.5648605478083937</v>
      </c>
      <c r="Q339">
        <f t="shared" si="274"/>
        <v>159.57247807829782</v>
      </c>
      <c r="R339">
        <f t="shared" si="275"/>
        <v>1.5645295409587237</v>
      </c>
      <c r="S339">
        <f t="shared" si="276"/>
        <v>0.23912957348655728</v>
      </c>
      <c r="T339">
        <f t="shared" si="277"/>
        <v>-1.3293270090112481</v>
      </c>
      <c r="U339">
        <f t="shared" si="278"/>
        <v>0.85355521700479642</v>
      </c>
      <c r="V339">
        <f t="shared" si="279"/>
        <v>-0.54802490205813259</v>
      </c>
      <c r="X339">
        <f t="shared" si="296"/>
        <v>-33.937346201799471</v>
      </c>
      <c r="Y339">
        <f t="shared" si="280"/>
        <v>-170.17421474277648</v>
      </c>
      <c r="Z339">
        <f t="shared" si="297"/>
        <v>9.8257852572235151</v>
      </c>
      <c r="AC339">
        <v>1</v>
      </c>
      <c r="AD339">
        <f t="shared" si="281"/>
        <v>168.46790585625001</v>
      </c>
      <c r="AE339">
        <f t="shared" si="282"/>
        <v>-7.9388630219833067E-3</v>
      </c>
      <c r="AF339">
        <f t="shared" si="283"/>
        <v>1.3006193571E-2</v>
      </c>
      <c r="AG339">
        <f t="shared" si="298"/>
        <v>9402.7268089105582</v>
      </c>
      <c r="AH339">
        <f t="shared" si="299"/>
        <v>-5816.2259200679346</v>
      </c>
      <c r="AJ339">
        <f t="shared" si="284"/>
        <v>18000</v>
      </c>
      <c r="AK339">
        <f t="shared" si="285"/>
        <v>73089.153002250008</v>
      </c>
      <c r="AL339">
        <v>1</v>
      </c>
      <c r="AM339">
        <f t="shared" si="286"/>
        <v>159.569344675125</v>
      </c>
      <c r="AN339">
        <f t="shared" si="300"/>
        <v>458.72897441020888</v>
      </c>
      <c r="AO339">
        <f t="shared" si="301"/>
        <v>-109.92882787920773</v>
      </c>
      <c r="AQ339">
        <f t="shared" si="287"/>
        <v>6.3999959040026214E-3</v>
      </c>
      <c r="AR339">
        <f t="shared" si="288"/>
        <v>-7.9999948800032765</v>
      </c>
      <c r="AT339">
        <f t="shared" si="261"/>
        <v>-46469.600168422345</v>
      </c>
      <c r="AU339">
        <f t="shared" si="262"/>
        <v>-75258.990151419202</v>
      </c>
      <c r="AV339">
        <f t="shared" si="302"/>
        <v>-2.1239570080101986</v>
      </c>
      <c r="AW339">
        <f t="shared" si="303"/>
        <v>10082.038601182387</v>
      </c>
      <c r="AX339">
        <f t="shared" si="304"/>
        <v>-10702.05711215265</v>
      </c>
      <c r="AY339">
        <f t="shared" si="312"/>
        <v>-0.81522071122590156</v>
      </c>
      <c r="BA339">
        <f t="shared" si="289"/>
        <v>6.0157086181232815</v>
      </c>
      <c r="BB339">
        <f t="shared" si="305"/>
        <v>15.585735844870293</v>
      </c>
      <c r="BC339">
        <f t="shared" si="306"/>
        <v>-1.308736296784297</v>
      </c>
      <c r="BD339">
        <f t="shared" si="290"/>
        <v>-254.98506638700388</v>
      </c>
      <c r="BF339">
        <f t="shared" si="291"/>
        <v>-45.750110550907252</v>
      </c>
      <c r="BG339">
        <f t="shared" si="292"/>
        <v>-226.89578458308222</v>
      </c>
      <c r="BH339">
        <f t="shared" si="307"/>
        <v>-46.895784583082218</v>
      </c>
      <c r="BI339">
        <f t="shared" si="308"/>
        <v>-46.895784583082218</v>
      </c>
      <c r="BJ339">
        <f t="shared" si="293"/>
        <v>0</v>
      </c>
      <c r="BK339">
        <f t="shared" si="309"/>
        <v>0</v>
      </c>
      <c r="BM339">
        <f t="shared" si="310"/>
        <v>-61.335846395777537</v>
      </c>
      <c r="BN339">
        <f t="shared" si="294"/>
        <v>-151.91071819607834</v>
      </c>
      <c r="BQ339" s="56">
        <f t="shared" si="311"/>
        <v>32.487696645155431</v>
      </c>
      <c r="BR339" s="59"/>
      <c r="BS339" s="59"/>
      <c r="BT339" s="59">
        <v>194984.46</v>
      </c>
      <c r="BU339" s="59">
        <v>12.458399999999999</v>
      </c>
      <c r="BV339" s="59">
        <v>-146.886</v>
      </c>
      <c r="BY339" s="59"/>
      <c r="BZ339" s="59"/>
      <c r="CA339" s="59"/>
      <c r="CC339" s="59"/>
    </row>
    <row r="340" spans="1:81" x14ac:dyDescent="0.25">
      <c r="A340">
        <f t="shared" si="263"/>
        <v>630000</v>
      </c>
      <c r="B340">
        <f t="shared" si="295"/>
        <v>630</v>
      </c>
      <c r="C340">
        <f t="shared" si="264"/>
        <v>1.1338285724855179</v>
      </c>
      <c r="D340">
        <f t="shared" si="265"/>
        <v>0.49077567012283874</v>
      </c>
      <c r="F340">
        <f t="shared" si="266"/>
        <v>4.970631644081092E-5</v>
      </c>
      <c r="G340">
        <f t="shared" si="267"/>
        <v>2.757582449780725E-3</v>
      </c>
      <c r="H340">
        <f t="shared" si="268"/>
        <v>-3.1388350675502195</v>
      </c>
      <c r="J340">
        <f t="shared" si="269"/>
        <v>15</v>
      </c>
      <c r="M340">
        <f t="shared" si="270"/>
        <v>4.2375686742707934E-3</v>
      </c>
      <c r="N340">
        <f t="shared" si="271"/>
        <v>-1.5707963250000001</v>
      </c>
      <c r="O340">
        <f t="shared" si="272"/>
        <v>169.81859344696974</v>
      </c>
      <c r="P340">
        <f t="shared" si="273"/>
        <v>1.5649076560720243</v>
      </c>
      <c r="Q340">
        <f t="shared" si="274"/>
        <v>160.8490079679022</v>
      </c>
      <c r="R340">
        <f t="shared" si="275"/>
        <v>1.5645792760675343</v>
      </c>
      <c r="S340">
        <f t="shared" si="276"/>
        <v>0.23733902883202471</v>
      </c>
      <c r="T340">
        <f t="shared" si="277"/>
        <v>-1.3311706362124713</v>
      </c>
      <c r="U340">
        <f t="shared" si="278"/>
        <v>0.85170033072410922</v>
      </c>
      <c r="V340">
        <f t="shared" si="279"/>
        <v>-0.55157481278445553</v>
      </c>
      <c r="X340">
        <f t="shared" si="296"/>
        <v>-34.075468222853999</v>
      </c>
      <c r="Y340">
        <f t="shared" si="280"/>
        <v>-170.28960233633561</v>
      </c>
      <c r="Z340">
        <f t="shared" si="297"/>
        <v>9.7103976636643949</v>
      </c>
      <c r="AC340">
        <v>1</v>
      </c>
      <c r="AD340">
        <f t="shared" si="281"/>
        <v>169.81564910310001</v>
      </c>
      <c r="AE340">
        <f t="shared" si="282"/>
        <v>-8.0663929175684452E-3</v>
      </c>
      <c r="AF340">
        <f t="shared" si="283"/>
        <v>1.3110243119568E-2</v>
      </c>
      <c r="AG340">
        <f t="shared" si="298"/>
        <v>9361.9045215052247</v>
      </c>
      <c r="AH340">
        <f t="shared" si="299"/>
        <v>-5836.4135301972256</v>
      </c>
      <c r="AJ340">
        <f t="shared" si="284"/>
        <v>18000</v>
      </c>
      <c r="AK340">
        <f t="shared" si="285"/>
        <v>73673.866226268001</v>
      </c>
      <c r="AL340">
        <v>1</v>
      </c>
      <c r="AM340">
        <f t="shared" si="286"/>
        <v>160.84589943252601</v>
      </c>
      <c r="AN340">
        <f t="shared" si="300"/>
        <v>458.71808315384629</v>
      </c>
      <c r="AO340">
        <f t="shared" si="301"/>
        <v>-109.05644457665908</v>
      </c>
      <c r="AQ340">
        <f t="shared" si="287"/>
        <v>6.2988118551197689E-3</v>
      </c>
      <c r="AR340">
        <f t="shared" si="288"/>
        <v>-7.9365029374509088</v>
      </c>
      <c r="AT340">
        <f t="shared" si="261"/>
        <v>-46261.744251401957</v>
      </c>
      <c r="AU340">
        <f t="shared" si="262"/>
        <v>-74337.545205796545</v>
      </c>
      <c r="AV340">
        <f t="shared" si="302"/>
        <v>-2.1274661596752091</v>
      </c>
      <c r="AW340">
        <f t="shared" si="303"/>
        <v>10050.297584495089</v>
      </c>
      <c r="AX340">
        <f t="shared" si="304"/>
        <v>-10691.111199183117</v>
      </c>
      <c r="AY340">
        <f t="shared" si="312"/>
        <v>-0.81628371448767778</v>
      </c>
      <c r="BA340">
        <f t="shared" si="289"/>
        <v>5.9670572067180618</v>
      </c>
      <c r="BB340">
        <f t="shared" si="305"/>
        <v>15.515204029692043</v>
      </c>
      <c r="BC340">
        <f t="shared" si="306"/>
        <v>-1.3111824451875314</v>
      </c>
      <c r="BD340">
        <f t="shared" si="290"/>
        <v>-255.12522036673204</v>
      </c>
      <c r="BF340">
        <f t="shared" si="291"/>
        <v>-45.943791242786787</v>
      </c>
      <c r="BG340">
        <f t="shared" si="292"/>
        <v>-226.84784791264522</v>
      </c>
      <c r="BH340">
        <f t="shared" si="307"/>
        <v>-46.847847912645221</v>
      </c>
      <c r="BI340">
        <f t="shared" si="308"/>
        <v>-46.847847912645221</v>
      </c>
      <c r="BJ340">
        <f t="shared" si="293"/>
        <v>0</v>
      </c>
      <c r="BK340">
        <f t="shared" si="309"/>
        <v>0</v>
      </c>
      <c r="BM340">
        <f t="shared" si="310"/>
        <v>-61.458995272478838</v>
      </c>
      <c r="BN340">
        <f t="shared" si="294"/>
        <v>-151.72262754591321</v>
      </c>
      <c r="BQ340" s="56">
        <f t="shared" si="311"/>
        <v>32.417164829977182</v>
      </c>
      <c r="BR340" s="59"/>
      <c r="BS340" s="59"/>
      <c r="BT340" s="59">
        <v>199526.231</v>
      </c>
      <c r="BU340" s="59">
        <v>12.6511</v>
      </c>
      <c r="BV340" s="59">
        <v>-147.23699999999999</v>
      </c>
      <c r="BY340" s="59"/>
      <c r="BZ340" s="59"/>
      <c r="CA340" s="59"/>
      <c r="CC340" s="59"/>
    </row>
    <row r="341" spans="1:81" x14ac:dyDescent="0.25">
      <c r="A341">
        <f t="shared" si="263"/>
        <v>635000</v>
      </c>
      <c r="B341">
        <f t="shared" si="295"/>
        <v>635</v>
      </c>
      <c r="C341">
        <f t="shared" si="264"/>
        <v>1.1358336288125372</v>
      </c>
      <c r="D341">
        <f t="shared" si="265"/>
        <v>0.49406890196489184</v>
      </c>
      <c r="F341">
        <f t="shared" si="266"/>
        <v>4.8926585474430241E-5</v>
      </c>
      <c r="G341">
        <f t="shared" si="267"/>
        <v>2.7358671275908263E-3</v>
      </c>
      <c r="H341">
        <f t="shared" si="268"/>
        <v>-3.1388567828724092</v>
      </c>
      <c r="J341">
        <f t="shared" si="269"/>
        <v>15</v>
      </c>
      <c r="M341">
        <f t="shared" si="270"/>
        <v>4.2042019917962201E-3</v>
      </c>
      <c r="N341">
        <f t="shared" si="271"/>
        <v>-1.5707963250000001</v>
      </c>
      <c r="O341">
        <f t="shared" si="272"/>
        <v>171.16631351040698</v>
      </c>
      <c r="P341">
        <f t="shared" si="273"/>
        <v>1.564954022498759</v>
      </c>
      <c r="Q341">
        <f t="shared" si="274"/>
        <v>162.12553824911416</v>
      </c>
      <c r="R341">
        <f t="shared" si="275"/>
        <v>1.5646282279763208</v>
      </c>
      <c r="S341">
        <f t="shared" si="276"/>
        <v>0.23557431628264872</v>
      </c>
      <c r="T341">
        <f t="shared" si="277"/>
        <v>-1.332986853269251</v>
      </c>
      <c r="U341">
        <f t="shared" si="278"/>
        <v>0.84984284881926742</v>
      </c>
      <c r="V341">
        <f t="shared" si="279"/>
        <v>-0.55510928381762525</v>
      </c>
      <c r="X341">
        <f t="shared" si="296"/>
        <v>-34.21258489771175</v>
      </c>
      <c r="Y341">
        <f t="shared" si="280"/>
        <v>-170.4032687539794</v>
      </c>
      <c r="Z341">
        <f t="shared" si="297"/>
        <v>9.596731246020596</v>
      </c>
      <c r="AC341">
        <v>1</v>
      </c>
      <c r="AD341">
        <f t="shared" si="281"/>
        <v>171.16339234995002</v>
      </c>
      <c r="AE341">
        <f t="shared" si="282"/>
        <v>-8.1949389876203975E-3</v>
      </c>
      <c r="AF341">
        <f t="shared" si="283"/>
        <v>1.3214292668136E-2</v>
      </c>
      <c r="AG341">
        <f t="shared" si="298"/>
        <v>9321.114104796683</v>
      </c>
      <c r="AH341">
        <f t="shared" si="299"/>
        <v>-5856.2318338884461</v>
      </c>
      <c r="AJ341">
        <f t="shared" si="284"/>
        <v>18000</v>
      </c>
      <c r="AK341">
        <f t="shared" si="285"/>
        <v>74258.579450286008</v>
      </c>
      <c r="AL341">
        <v>1</v>
      </c>
      <c r="AM341">
        <f t="shared" si="286"/>
        <v>162.122454189927</v>
      </c>
      <c r="AN341">
        <f t="shared" si="300"/>
        <v>458.70744814397113</v>
      </c>
      <c r="AO341">
        <f t="shared" si="301"/>
        <v>-108.19779801326192</v>
      </c>
      <c r="AQ341">
        <f t="shared" si="287"/>
        <v>6.2000085560118077E-3</v>
      </c>
      <c r="AR341">
        <f t="shared" si="288"/>
        <v>-7.874010866134995</v>
      </c>
      <c r="AT341">
        <f t="shared" si="261"/>
        <v>-46054.242107441991</v>
      </c>
      <c r="AU341">
        <f t="shared" si="262"/>
        <v>-73430.862433129339</v>
      </c>
      <c r="AV341">
        <f t="shared" si="302"/>
        <v>-2.1309605134965866</v>
      </c>
      <c r="AW341">
        <f t="shared" si="303"/>
        <v>10018.266449260072</v>
      </c>
      <c r="AX341">
        <f t="shared" si="304"/>
        <v>-10680.282548582038</v>
      </c>
      <c r="AY341">
        <f t="shared" si="312"/>
        <v>-0.81737096013226018</v>
      </c>
      <c r="BA341">
        <f t="shared" si="289"/>
        <v>5.9191892006838627</v>
      </c>
      <c r="BB341">
        <f t="shared" si="305"/>
        <v>15.445244439240216</v>
      </c>
      <c r="BC341">
        <f t="shared" si="306"/>
        <v>-1.3135895533643263</v>
      </c>
      <c r="BD341">
        <f t="shared" si="290"/>
        <v>-255.26313750625138</v>
      </c>
      <c r="BF341">
        <f t="shared" si="291"/>
        <v>-46.135737765419918</v>
      </c>
      <c r="BG341">
        <f t="shared" si="292"/>
        <v>-226.79832096275493</v>
      </c>
      <c r="BH341">
        <f t="shared" si="307"/>
        <v>-46.798320962754929</v>
      </c>
      <c r="BI341">
        <f t="shared" si="308"/>
        <v>-46.798320962754929</v>
      </c>
      <c r="BJ341">
        <f t="shared" si="293"/>
        <v>0</v>
      </c>
      <c r="BK341">
        <f t="shared" si="309"/>
        <v>0</v>
      </c>
      <c r="BM341">
        <f t="shared" si="310"/>
        <v>-61.580982204660131</v>
      </c>
      <c r="BN341">
        <f t="shared" si="294"/>
        <v>-151.53518345650355</v>
      </c>
      <c r="BQ341" s="56">
        <f t="shared" si="311"/>
        <v>32.347205239525351</v>
      </c>
      <c r="BR341" s="59"/>
      <c r="BS341" s="59"/>
      <c r="BT341" s="59">
        <v>204173.79399999999</v>
      </c>
      <c r="BU341" s="59">
        <v>12.903600000000001</v>
      </c>
      <c r="BV341" s="59">
        <v>-148.923</v>
      </c>
      <c r="BY341" s="59"/>
      <c r="BZ341" s="59"/>
      <c r="CA341" s="59"/>
      <c r="CC341" s="59"/>
    </row>
    <row r="342" spans="1:81" x14ac:dyDescent="0.25">
      <c r="A342">
        <f t="shared" si="263"/>
        <v>640000</v>
      </c>
      <c r="B342">
        <f t="shared" si="295"/>
        <v>640</v>
      </c>
      <c r="C342">
        <f t="shared" si="264"/>
        <v>1.1378509601904485</v>
      </c>
      <c r="D342">
        <f t="shared" si="265"/>
        <v>0.49735049194577913</v>
      </c>
      <c r="F342">
        <f t="shared" si="266"/>
        <v>4.8165059083506212E-5</v>
      </c>
      <c r="G342">
        <f t="shared" si="267"/>
        <v>2.7144911553667952E-3</v>
      </c>
      <c r="H342">
        <f t="shared" si="268"/>
        <v>-3.1388781588446335</v>
      </c>
      <c r="J342">
        <f t="shared" si="269"/>
        <v>15</v>
      </c>
      <c r="M342">
        <f t="shared" si="270"/>
        <v>4.1713566637353117E-3</v>
      </c>
      <c r="N342">
        <f t="shared" si="271"/>
        <v>-1.5707963250000001</v>
      </c>
      <c r="O342">
        <f t="shared" si="272"/>
        <v>172.51403393607583</v>
      </c>
      <c r="P342">
        <f t="shared" si="273"/>
        <v>1.5649996644746116</v>
      </c>
      <c r="Q342">
        <f t="shared" si="274"/>
        <v>163.40206891275574</v>
      </c>
      <c r="R342">
        <f t="shared" si="275"/>
        <v>1.564676415040406</v>
      </c>
      <c r="S342">
        <f t="shared" si="276"/>
        <v>0.23383489842211019</v>
      </c>
      <c r="T342">
        <f t="shared" si="277"/>
        <v>-1.334776255232472</v>
      </c>
      <c r="U342">
        <f t="shared" si="278"/>
        <v>0.84798292700600564</v>
      </c>
      <c r="V342">
        <f t="shared" si="279"/>
        <v>-0.55862832793402406</v>
      </c>
      <c r="X342">
        <f t="shared" si="296"/>
        <v>-34.34871041815363</v>
      </c>
      <c r="Y342">
        <f t="shared" si="280"/>
        <v>-170.51524779925234</v>
      </c>
      <c r="Z342">
        <f t="shared" si="297"/>
        <v>9.4847522007476641</v>
      </c>
      <c r="AC342">
        <v>1</v>
      </c>
      <c r="AD342">
        <f t="shared" si="281"/>
        <v>172.51113559680002</v>
      </c>
      <c r="AE342">
        <f t="shared" si="282"/>
        <v>-8.324501232139167E-3</v>
      </c>
      <c r="AF342">
        <f t="shared" si="283"/>
        <v>1.3318342216703999E-2</v>
      </c>
      <c r="AG342">
        <f t="shared" si="298"/>
        <v>9280.3593404463645</v>
      </c>
      <c r="AH342">
        <f t="shared" si="299"/>
        <v>-5875.6834364935121</v>
      </c>
      <c r="AJ342">
        <f t="shared" si="284"/>
        <v>18000</v>
      </c>
      <c r="AK342">
        <f t="shared" si="285"/>
        <v>74843.292674304001</v>
      </c>
      <c r="AL342">
        <v>1</v>
      </c>
      <c r="AM342">
        <f t="shared" si="286"/>
        <v>163.39900894732801</v>
      </c>
      <c r="AN342">
        <f t="shared" si="300"/>
        <v>458.697061404745</v>
      </c>
      <c r="AO342">
        <f t="shared" si="301"/>
        <v>-107.35256628300436</v>
      </c>
      <c r="AQ342">
        <f t="shared" si="287"/>
        <v>6.1035118997119749E-3</v>
      </c>
      <c r="AR342">
        <f t="shared" si="288"/>
        <v>-7.8124952316313285</v>
      </c>
      <c r="AT342">
        <f t="shared" ref="AT342:AT405" si="313">-AR342*AH342+AG342*AQ342</f>
        <v>-45847.106046512723</v>
      </c>
      <c r="AU342">
        <f t="shared" ref="AU342:AU405" si="314">AQ342*AH342+AG342*AR342</f>
        <v>-72538.62539883607</v>
      </c>
      <c r="AV342">
        <f t="shared" si="302"/>
        <v>-2.1344400672081512</v>
      </c>
      <c r="AW342">
        <f t="shared" si="303"/>
        <v>9985.9595560701928</v>
      </c>
      <c r="AX342">
        <f t="shared" si="304"/>
        <v>-10669.561585731881</v>
      </c>
      <c r="AY342">
        <f t="shared" si="312"/>
        <v>-0.81848145405974737</v>
      </c>
      <c r="BA342">
        <f t="shared" si="289"/>
        <v>5.8720858441925854</v>
      </c>
      <c r="BB342">
        <f t="shared" si="305"/>
        <v>15.37584791835998</v>
      </c>
      <c r="BC342">
        <f t="shared" si="306"/>
        <v>-1.3159586131484038</v>
      </c>
      <c r="BD342">
        <f t="shared" si="290"/>
        <v>-255.39887463344832</v>
      </c>
      <c r="BF342">
        <f t="shared" si="291"/>
        <v>-46.325977346565502</v>
      </c>
      <c r="BG342">
        <f t="shared" si="292"/>
        <v>-226.74726158673258</v>
      </c>
      <c r="BH342">
        <f t="shared" si="307"/>
        <v>-46.747261586732577</v>
      </c>
      <c r="BI342">
        <f t="shared" si="308"/>
        <v>-46.747261586732577</v>
      </c>
      <c r="BJ342">
        <f t="shared" si="293"/>
        <v>0</v>
      </c>
      <c r="BK342">
        <f t="shared" si="309"/>
        <v>0</v>
      </c>
      <c r="BM342">
        <f t="shared" si="310"/>
        <v>-61.701825264925489</v>
      </c>
      <c r="BN342">
        <f t="shared" si="294"/>
        <v>-151.34838695328426</v>
      </c>
      <c r="BQ342" s="56">
        <f t="shared" si="311"/>
        <v>32.277808718645119</v>
      </c>
      <c r="BR342" s="59"/>
      <c r="BS342" s="59"/>
      <c r="BT342" s="59">
        <v>208929.61300000001</v>
      </c>
      <c r="BU342" s="59">
        <v>13.1541</v>
      </c>
      <c r="BV342" s="59">
        <v>-149.92099999999999</v>
      </c>
      <c r="BY342" s="59"/>
      <c r="BZ342" s="59"/>
      <c r="CA342" s="59"/>
      <c r="CC342" s="59"/>
    </row>
    <row r="343" spans="1:81" x14ac:dyDescent="0.25">
      <c r="A343">
        <f t="shared" si="263"/>
        <v>645000</v>
      </c>
      <c r="B343">
        <f t="shared" si="295"/>
        <v>645</v>
      </c>
      <c r="C343">
        <f t="shared" si="264"/>
        <v>1.1398805014470395</v>
      </c>
      <c r="D343">
        <f t="shared" si="265"/>
        <v>0.50062043138602497</v>
      </c>
      <c r="F343">
        <f t="shared" si="266"/>
        <v>4.7421174936321531E-5</v>
      </c>
      <c r="G343">
        <f t="shared" si="267"/>
        <v>2.693446639776022E-3</v>
      </c>
      <c r="H343">
        <f t="shared" si="268"/>
        <v>-3.1388992033602241</v>
      </c>
      <c r="J343">
        <f t="shared" si="269"/>
        <v>15</v>
      </c>
      <c r="M343">
        <f t="shared" si="270"/>
        <v>4.139020565566821E-3</v>
      </c>
      <c r="N343">
        <f t="shared" si="271"/>
        <v>-1.5707963250000001</v>
      </c>
      <c r="O343">
        <f t="shared" si="272"/>
        <v>173.86175471555259</v>
      </c>
      <c r="P343">
        <f t="shared" si="273"/>
        <v>1.5650445988465251</v>
      </c>
      <c r="Q343">
        <f t="shared" si="274"/>
        <v>164.67859994993356</v>
      </c>
      <c r="R343">
        <f t="shared" si="275"/>
        <v>1.564723855045991</v>
      </c>
      <c r="S343">
        <f t="shared" si="276"/>
        <v>0.23212025210636342</v>
      </c>
      <c r="T343">
        <f t="shared" si="277"/>
        <v>-1.3365394203980316</v>
      </c>
      <c r="U343">
        <f t="shared" si="278"/>
        <v>0.84612071900957864</v>
      </c>
      <c r="V343">
        <f t="shared" si="279"/>
        <v>-0.56213195932707105</v>
      </c>
      <c r="X343">
        <f t="shared" si="296"/>
        <v>-34.48385867682974</v>
      </c>
      <c r="Y343">
        <f t="shared" si="280"/>
        <v>-170.62557238451052</v>
      </c>
      <c r="Z343">
        <f t="shared" si="297"/>
        <v>9.3744276154894806</v>
      </c>
      <c r="AC343">
        <v>1</v>
      </c>
      <c r="AD343">
        <f t="shared" si="281"/>
        <v>173.85887884365002</v>
      </c>
      <c r="AE343">
        <f t="shared" si="282"/>
        <v>-8.4550796511247486E-3</v>
      </c>
      <c r="AF343">
        <f t="shared" si="283"/>
        <v>1.3422391765271999E-2</v>
      </c>
      <c r="AG343">
        <f t="shared" si="298"/>
        <v>9239.6439372222831</v>
      </c>
      <c r="AH343">
        <f t="shared" si="299"/>
        <v>-5894.7709782961256</v>
      </c>
      <c r="AJ343">
        <f t="shared" si="284"/>
        <v>18000</v>
      </c>
      <c r="AK343">
        <f t="shared" si="285"/>
        <v>75428.005898322008</v>
      </c>
      <c r="AL343">
        <v>1</v>
      </c>
      <c r="AM343">
        <f t="shared" si="286"/>
        <v>164.675563704729</v>
      </c>
      <c r="AN343">
        <f t="shared" si="300"/>
        <v>458.68691526824551</v>
      </c>
      <c r="AO343">
        <f t="shared" si="301"/>
        <v>-106.52043745958662</v>
      </c>
      <c r="AQ343">
        <f t="shared" si="287"/>
        <v>6.0092506404358873E-3</v>
      </c>
      <c r="AR343">
        <f t="shared" si="288"/>
        <v>-7.7519333261622938</v>
      </c>
      <c r="AT343">
        <f t="shared" si="313"/>
        <v>-45640.34826050089</v>
      </c>
      <c r="AU343">
        <f t="shared" si="314"/>
        <v>-71660.526915103357</v>
      </c>
      <c r="AV343">
        <f t="shared" si="302"/>
        <v>-2.1379048204271673</v>
      </c>
      <c r="AW343">
        <f t="shared" si="303"/>
        <v>9953.3907927472719</v>
      </c>
      <c r="AX343">
        <f t="shared" si="304"/>
        <v>-10658.939164808562</v>
      </c>
      <c r="AY343">
        <f t="shared" si="312"/>
        <v>-0.81961423766864239</v>
      </c>
      <c r="BA343">
        <f t="shared" si="289"/>
        <v>5.8257289714911682</v>
      </c>
      <c r="BB343">
        <f t="shared" si="305"/>
        <v>15.307005524391894</v>
      </c>
      <c r="BC343">
        <f t="shared" si="306"/>
        <v>-1.318290582758525</v>
      </c>
      <c r="BD343">
        <f t="shared" si="290"/>
        <v>-255.53248665021368</v>
      </c>
      <c r="BF343">
        <f t="shared" si="291"/>
        <v>-46.514536596558436</v>
      </c>
      <c r="BG343">
        <f t="shared" si="292"/>
        <v>-226.69472563602102</v>
      </c>
      <c r="BH343">
        <f t="shared" si="307"/>
        <v>-46.694725636021019</v>
      </c>
      <c r="BI343">
        <f t="shared" si="308"/>
        <v>-46.694725636021019</v>
      </c>
      <c r="BJ343">
        <f t="shared" si="293"/>
        <v>0</v>
      </c>
      <c r="BK343">
        <f t="shared" si="309"/>
        <v>0</v>
      </c>
      <c r="BM343">
        <f t="shared" si="310"/>
        <v>-61.82154212095034</v>
      </c>
      <c r="BN343">
        <f t="shared" si="294"/>
        <v>-151.16223898580733</v>
      </c>
      <c r="BQ343" s="56">
        <f t="shared" si="311"/>
        <v>32.208966324677036</v>
      </c>
      <c r="BR343" s="59"/>
      <c r="BS343" s="59"/>
      <c r="BT343" s="59">
        <v>213796.209</v>
      </c>
      <c r="BU343" s="59">
        <v>13.368399999999999</v>
      </c>
      <c r="BV343" s="59">
        <v>-151.101</v>
      </c>
      <c r="BY343" s="59"/>
      <c r="BZ343" s="59"/>
      <c r="CA343" s="59"/>
      <c r="CC343" s="59"/>
    </row>
    <row r="344" spans="1:81" x14ac:dyDescent="0.25">
      <c r="A344">
        <f t="shared" si="263"/>
        <v>650000</v>
      </c>
      <c r="B344">
        <f t="shared" si="295"/>
        <v>650</v>
      </c>
      <c r="C344">
        <f t="shared" si="264"/>
        <v>1.1419221874803653</v>
      </c>
      <c r="D344">
        <f t="shared" si="265"/>
        <v>0.50387871266424633</v>
      </c>
      <c r="F344">
        <f t="shared" si="266"/>
        <v>4.66943922477184E-5</v>
      </c>
      <c r="G344">
        <f t="shared" si="267"/>
        <v>2.6727259304136714E-3</v>
      </c>
      <c r="H344">
        <f t="shared" si="268"/>
        <v>-3.1389199240695866</v>
      </c>
      <c r="J344">
        <f t="shared" si="269"/>
        <v>15</v>
      </c>
      <c r="M344">
        <f t="shared" si="270"/>
        <v>4.1071819458316922E-3</v>
      </c>
      <c r="N344">
        <f t="shared" si="271"/>
        <v>-1.5707963250000001</v>
      </c>
      <c r="O344">
        <f t="shared" si="272"/>
        <v>175.20947584067275</v>
      </c>
      <c r="P344">
        <f t="shared" si="273"/>
        <v>1.5650888419431039</v>
      </c>
      <c r="Q344">
        <f t="shared" si="274"/>
        <v>165.95513135202788</v>
      </c>
      <c r="R344">
        <f t="shared" si="275"/>
        <v>1.5647705652320429</v>
      </c>
      <c r="S344">
        <f t="shared" si="276"/>
        <v>0.23042986801336257</v>
      </c>
      <c r="T344">
        <f t="shared" si="277"/>
        <v>-1.3382769108797397</v>
      </c>
      <c r="U344">
        <f t="shared" si="278"/>
        <v>0.84425637656177277</v>
      </c>
      <c r="V344">
        <f t="shared" si="279"/>
        <v>-0.56562019357970228</v>
      </c>
      <c r="X344">
        <f t="shared" si="296"/>
        <v>-34.618043275483004</v>
      </c>
      <c r="Y344">
        <f t="shared" si="280"/>
        <v>-170.73427456106836</v>
      </c>
      <c r="Z344">
        <f t="shared" si="297"/>
        <v>9.2657254389316392</v>
      </c>
      <c r="AC344">
        <v>1</v>
      </c>
      <c r="AD344">
        <f t="shared" si="281"/>
        <v>175.20662209049999</v>
      </c>
      <c r="AE344">
        <f t="shared" si="282"/>
        <v>-8.5866742445771423E-3</v>
      </c>
      <c r="AF344">
        <f t="shared" si="283"/>
        <v>1.3526441313839999E-2</v>
      </c>
      <c r="AG344">
        <f t="shared" si="298"/>
        <v>9198.9715313179477</v>
      </c>
      <c r="AH344">
        <f t="shared" si="299"/>
        <v>-5913.4971326658824</v>
      </c>
      <c r="AJ344">
        <f t="shared" si="284"/>
        <v>18000</v>
      </c>
      <c r="AK344">
        <f t="shared" si="285"/>
        <v>76012.71912234</v>
      </c>
      <c r="AL344">
        <v>1</v>
      </c>
      <c r="AM344">
        <f t="shared" si="286"/>
        <v>165.95211846213002</v>
      </c>
      <c r="AN344">
        <f t="shared" si="300"/>
        <v>458.67700236030896</v>
      </c>
      <c r="AO344">
        <f t="shared" si="301"/>
        <v>-105.70110921267083</v>
      </c>
      <c r="AQ344">
        <f t="shared" si="287"/>
        <v>5.9171562620377151E-3</v>
      </c>
      <c r="AR344">
        <f t="shared" si="288"/>
        <v>-7.6923031406490292</v>
      </c>
      <c r="AT344">
        <f t="shared" si="313"/>
        <v>-45433.980813823946</v>
      </c>
      <c r="AU344">
        <f t="shared" si="314"/>
        <v>-70796.268687687159</v>
      </c>
      <c r="AV344">
        <f t="shared" si="302"/>
        <v>-2.1413547746088826</v>
      </c>
      <c r="AW344">
        <f t="shared" si="303"/>
        <v>9920.5735926899943</v>
      </c>
      <c r="AX344">
        <f t="shared" si="304"/>
        <v>-10648.406551605764</v>
      </c>
      <c r="AY344">
        <f t="shared" si="312"/>
        <v>-0.82076838639203009</v>
      </c>
      <c r="BA344">
        <f t="shared" si="289"/>
        <v>5.7801009841799509</v>
      </c>
      <c r="BB344">
        <f t="shared" si="305"/>
        <v>15.238708520967668</v>
      </c>
      <c r="BC344">
        <f t="shared" si="306"/>
        <v>-1.3205863882168525</v>
      </c>
      <c r="BD344">
        <f t="shared" si="290"/>
        <v>-255.66402661370927</v>
      </c>
      <c r="BF344">
        <f t="shared" si="291"/>
        <v>-46.701441526808281</v>
      </c>
      <c r="BG344">
        <f t="shared" si="292"/>
        <v>-226.64076704279105</v>
      </c>
      <c r="BH344">
        <f t="shared" si="307"/>
        <v>-46.640767042791055</v>
      </c>
      <c r="BI344">
        <f t="shared" si="308"/>
        <v>-46.640767042791055</v>
      </c>
      <c r="BJ344">
        <f t="shared" si="293"/>
        <v>0</v>
      </c>
      <c r="BK344">
        <f t="shared" si="309"/>
        <v>0</v>
      </c>
      <c r="BM344">
        <f t="shared" si="310"/>
        <v>-61.940150047775958</v>
      </c>
      <c r="BN344">
        <f t="shared" si="294"/>
        <v>-150.97674042908181</v>
      </c>
      <c r="BQ344" s="56">
        <f t="shared" si="311"/>
        <v>32.140669321252801</v>
      </c>
      <c r="BR344" s="59"/>
      <c r="BS344" s="59"/>
      <c r="BT344" s="59">
        <v>218776.16200000001</v>
      </c>
      <c r="BU344" s="59">
        <v>13.6015</v>
      </c>
      <c r="BV344" s="59">
        <v>-153.08699999999999</v>
      </c>
      <c r="BY344" s="59"/>
      <c r="BZ344" s="59"/>
      <c r="CA344" s="59"/>
      <c r="CC344" s="59"/>
    </row>
    <row r="345" spans="1:81" x14ac:dyDescent="0.25">
      <c r="A345">
        <f t="shared" si="263"/>
        <v>655000</v>
      </c>
      <c r="B345">
        <f t="shared" si="295"/>
        <v>655</v>
      </c>
      <c r="C345">
        <f t="shared" si="264"/>
        <v>1.1439759532650549</v>
      </c>
      <c r="D345">
        <f t="shared" si="265"/>
        <v>0.50712532920343589</v>
      </c>
      <c r="F345">
        <f t="shared" si="266"/>
        <v>4.5984190795917957E-5</v>
      </c>
      <c r="G345">
        <f t="shared" si="267"/>
        <v>2.6523216105280968E-3</v>
      </c>
      <c r="H345">
        <f t="shared" si="268"/>
        <v>-3.1389403283894719</v>
      </c>
      <c r="J345">
        <f t="shared" si="269"/>
        <v>15</v>
      </c>
      <c r="M345">
        <f t="shared" si="270"/>
        <v>4.0758294118940453E-3</v>
      </c>
      <c r="N345">
        <f t="shared" si="271"/>
        <v>-1.5707963250000001</v>
      </c>
      <c r="O345">
        <f t="shared" si="272"/>
        <v>176.55719730352104</v>
      </c>
      <c r="P345">
        <f t="shared" si="273"/>
        <v>1.5651324095943955</v>
      </c>
      <c r="Q345">
        <f t="shared" si="274"/>
        <v>167.23166311068215</v>
      </c>
      <c r="R345">
        <f t="shared" si="275"/>
        <v>1.5648165623111803</v>
      </c>
      <c r="S345">
        <f t="shared" si="276"/>
        <v>0.22876325020877281</v>
      </c>
      <c r="T345">
        <f t="shared" si="277"/>
        <v>-1.3399892731594318</v>
      </c>
      <c r="U345">
        <f t="shared" si="278"/>
        <v>0.84239004939883622</v>
      </c>
      <c r="V345">
        <f t="shared" si="279"/>
        <v>-0.56909304763697544</v>
      </c>
      <c r="X345">
        <f t="shared" si="296"/>
        <v>-34.751277532901732</v>
      </c>
      <c r="Y345">
        <f t="shared" si="280"/>
        <v>-170.84138554813467</v>
      </c>
      <c r="Z345">
        <f t="shared" si="297"/>
        <v>9.1586144518653327</v>
      </c>
      <c r="AC345">
        <v>1</v>
      </c>
      <c r="AD345">
        <f t="shared" si="281"/>
        <v>176.55436533734999</v>
      </c>
      <c r="AE345">
        <f t="shared" si="282"/>
        <v>-8.7192850124963531E-3</v>
      </c>
      <c r="AF345">
        <f t="shared" si="283"/>
        <v>1.3630490862408001E-2</v>
      </c>
      <c r="AG345">
        <f t="shared" si="298"/>
        <v>9158.3456866998058</v>
      </c>
      <c r="AH345">
        <f t="shared" si="299"/>
        <v>-5931.8646042522851</v>
      </c>
      <c r="AJ345">
        <f t="shared" si="284"/>
        <v>18000</v>
      </c>
      <c r="AK345">
        <f t="shared" si="285"/>
        <v>76597.432346358008</v>
      </c>
      <c r="AL345">
        <v>1</v>
      </c>
      <c r="AM345">
        <f t="shared" si="286"/>
        <v>167.228673219531</v>
      </c>
      <c r="AN345">
        <f t="shared" si="300"/>
        <v>458.6673155871303</v>
      </c>
      <c r="AO345">
        <f t="shared" si="301"/>
        <v>-104.89428844170354</v>
      </c>
      <c r="AQ345">
        <f t="shared" si="287"/>
        <v>5.8271628534684143E-3</v>
      </c>
      <c r="AR345">
        <f t="shared" si="288"/>
        <v>-7.6335833380436231</v>
      </c>
      <c r="AT345">
        <f t="shared" si="313"/>
        <v>-45228.015634766212</v>
      </c>
      <c r="AU345">
        <f t="shared" si="314"/>
        <v>-69945.560979109025</v>
      </c>
      <c r="AV345">
        <f t="shared" si="302"/>
        <v>-2.1447899330020208</v>
      </c>
      <c r="AW345">
        <f t="shared" si="303"/>
        <v>9887.5209522960777</v>
      </c>
      <c r="AX345">
        <f t="shared" si="304"/>
        <v>-10637.955407102598</v>
      </c>
      <c r="AY345">
        <f t="shared" si="312"/>
        <v>-0.8219430083059579</v>
      </c>
      <c r="BA345">
        <f t="shared" si="289"/>
        <v>5.7351848295107439</v>
      </c>
      <c r="BB345">
        <f t="shared" si="305"/>
        <v>15.170948372010404</v>
      </c>
      <c r="BC345">
        <f t="shared" si="306"/>
        <v>-1.322846924696063</v>
      </c>
      <c r="BD345">
        <f t="shared" si="290"/>
        <v>-255.79354581355139</v>
      </c>
      <c r="BF345">
        <f t="shared" si="291"/>
        <v>-46.886717567621481</v>
      </c>
      <c r="BG345">
        <f t="shared" si="292"/>
        <v>-226.58543789844228</v>
      </c>
      <c r="BH345">
        <f t="shared" si="307"/>
        <v>-46.585437898442279</v>
      </c>
      <c r="BI345">
        <f t="shared" si="308"/>
        <v>-46.585437898442279</v>
      </c>
      <c r="BJ345">
        <f t="shared" si="293"/>
        <v>0</v>
      </c>
      <c r="BK345">
        <f t="shared" si="309"/>
        <v>0</v>
      </c>
      <c r="BM345">
        <f t="shared" si="310"/>
        <v>-62.057665939631889</v>
      </c>
      <c r="BN345">
        <f t="shared" si="294"/>
        <v>-150.79189208489092</v>
      </c>
      <c r="BQ345" s="56">
        <f t="shared" si="311"/>
        <v>32.072909172295539</v>
      </c>
      <c r="BR345" s="59"/>
      <c r="BS345" s="59"/>
      <c r="BT345" s="59">
        <v>223872.114</v>
      </c>
      <c r="BU345" s="59">
        <v>13.8704</v>
      </c>
      <c r="BV345" s="59">
        <v>-154.70699999999999</v>
      </c>
      <c r="BY345" s="59"/>
      <c r="BZ345" s="59"/>
      <c r="CA345" s="59"/>
      <c r="CC345" s="59"/>
    </row>
    <row r="346" spans="1:81" x14ac:dyDescent="0.25">
      <c r="A346">
        <f t="shared" si="263"/>
        <v>660000</v>
      </c>
      <c r="B346">
        <f t="shared" si="295"/>
        <v>660</v>
      </c>
      <c r="C346">
        <f t="shared" si="264"/>
        <v>1.1460417338585007</v>
      </c>
      <c r="D346">
        <f t="shared" si="265"/>
        <v>0.51036027545719953</v>
      </c>
      <c r="F346">
        <f t="shared" si="266"/>
        <v>4.5290069991285522E-5</v>
      </c>
      <c r="G346">
        <f t="shared" si="267"/>
        <v>2.6322264881679571E-3</v>
      </c>
      <c r="H346">
        <f t="shared" si="268"/>
        <v>-3.1389604235118322</v>
      </c>
      <c r="J346">
        <f t="shared" si="269"/>
        <v>15</v>
      </c>
      <c r="M346">
        <f t="shared" si="270"/>
        <v>4.0449519163493937E-3</v>
      </c>
      <c r="N346">
        <f t="shared" si="271"/>
        <v>-1.5707963250000001</v>
      </c>
      <c r="O346">
        <f t="shared" si="272"/>
        <v>177.90491909642211</v>
      </c>
      <c r="P346">
        <f t="shared" si="273"/>
        <v>1.5651753171507752</v>
      </c>
      <c r="Q346">
        <f t="shared" si="274"/>
        <v>168.50819521779297</v>
      </c>
      <c r="R346">
        <f t="shared" si="275"/>
        <v>1.5648618624896082</v>
      </c>
      <c r="S346">
        <f t="shared" si="276"/>
        <v>0.22711991572706319</v>
      </c>
      <c r="T346">
        <f t="shared" si="277"/>
        <v>-1.3416770386153165</v>
      </c>
      <c r="U346">
        <f t="shared" si="278"/>
        <v>0.84052188526029747</v>
      </c>
      <c r="V346">
        <f t="shared" si="279"/>
        <v>-0.57255053977881298</v>
      </c>
      <c r="X346">
        <f t="shared" si="296"/>
        <v>-34.883574492611281</v>
      </c>
      <c r="Y346">
        <f t="shared" si="280"/>
        <v>-170.94693576059524</v>
      </c>
      <c r="Z346">
        <f t="shared" si="297"/>
        <v>9.0530642394047618</v>
      </c>
      <c r="AC346">
        <v>1</v>
      </c>
      <c r="AD346">
        <f t="shared" si="281"/>
        <v>177.90210858420002</v>
      </c>
      <c r="AE346">
        <f t="shared" si="282"/>
        <v>-8.8529119548823761E-3</v>
      </c>
      <c r="AF346">
        <f t="shared" si="283"/>
        <v>1.3734540410975998E-2</v>
      </c>
      <c r="AG346">
        <f t="shared" si="298"/>
        <v>9117.7698954821626</v>
      </c>
      <c r="AH346">
        <f t="shared" si="299"/>
        <v>-5949.8761272182692</v>
      </c>
      <c r="AJ346">
        <f t="shared" si="284"/>
        <v>18000</v>
      </c>
      <c r="AK346">
        <f t="shared" si="285"/>
        <v>77182.145570376</v>
      </c>
      <c r="AL346">
        <v>1</v>
      </c>
      <c r="AM346">
        <f t="shared" si="286"/>
        <v>168.50522797693199</v>
      </c>
      <c r="AN346">
        <f t="shared" si="300"/>
        <v>458.65784812256805</v>
      </c>
      <c r="AO346">
        <f t="shared" si="301"/>
        <v>-104.09969092637769</v>
      </c>
      <c r="AQ346">
        <f t="shared" si="287"/>
        <v>5.7392069908132511E-3</v>
      </c>
      <c r="AR346">
        <f t="shared" si="288"/>
        <v>-7.5757532278734914</v>
      </c>
      <c r="AT346">
        <f t="shared" si="313"/>
        <v>-45022.46450749645</v>
      </c>
      <c r="AU346">
        <f t="shared" si="314"/>
        <v>-69108.122287370541</v>
      </c>
      <c r="AV346">
        <f t="shared" si="302"/>
        <v>-2.1482103006051849</v>
      </c>
      <c r="AW346">
        <f t="shared" si="303"/>
        <v>9854.2454475153427</v>
      </c>
      <c r="AX346">
        <f t="shared" si="304"/>
        <v>-10627.577771736647</v>
      </c>
      <c r="AY346">
        <f t="shared" si="312"/>
        <v>-0.82313724280584655</v>
      </c>
      <c r="BA346">
        <f t="shared" si="289"/>
        <v>5.6909639796534091</v>
      </c>
      <c r="BB346">
        <f t="shared" si="305"/>
        <v>15.103716735932913</v>
      </c>
      <c r="BC346">
        <f t="shared" si="306"/>
        <v>-1.3250730577993384</v>
      </c>
      <c r="BD346">
        <f t="shared" si="290"/>
        <v>-255.92109384514919</v>
      </c>
      <c r="BF346">
        <f t="shared" si="291"/>
        <v>-47.070389585375111</v>
      </c>
      <c r="BG346">
        <f t="shared" si="292"/>
        <v>-226.52878852823733</v>
      </c>
      <c r="BH346">
        <f t="shared" si="307"/>
        <v>-46.528788528237328</v>
      </c>
      <c r="BI346">
        <f t="shared" si="308"/>
        <v>-46.528788528237328</v>
      </c>
      <c r="BJ346">
        <f t="shared" si="293"/>
        <v>0</v>
      </c>
      <c r="BK346">
        <f t="shared" si="309"/>
        <v>0</v>
      </c>
      <c r="BM346">
        <f t="shared" si="310"/>
        <v>-62.174106321308031</v>
      </c>
      <c r="BN346">
        <f t="shared" si="294"/>
        <v>-150.60769468308817</v>
      </c>
      <c r="BQ346" s="56">
        <f t="shared" si="311"/>
        <v>32.005677536218052</v>
      </c>
      <c r="BR346" s="59"/>
      <c r="BS346" s="59"/>
      <c r="BT346" s="59">
        <v>229086.76500000001</v>
      </c>
      <c r="BU346" s="59">
        <v>14.1297</v>
      </c>
      <c r="BV346" s="59">
        <v>-156.46</v>
      </c>
      <c r="BY346" s="59"/>
      <c r="BZ346" s="59"/>
      <c r="CA346" s="59"/>
      <c r="CC346" s="59"/>
    </row>
    <row r="347" spans="1:81" x14ac:dyDescent="0.25">
      <c r="A347">
        <f t="shared" si="263"/>
        <v>665000</v>
      </c>
      <c r="B347">
        <f t="shared" si="295"/>
        <v>665</v>
      </c>
      <c r="C347">
        <f t="shared" si="264"/>
        <v>1.1481194644069348</v>
      </c>
      <c r="D347">
        <f t="shared" si="265"/>
        <v>0.51358354689595842</v>
      </c>
      <c r="F347">
        <f t="shared" si="266"/>
        <v>4.4611547993928186E-5</v>
      </c>
      <c r="G347">
        <f t="shared" si="267"/>
        <v>2.6124335877288308E-3</v>
      </c>
      <c r="H347">
        <f t="shared" si="268"/>
        <v>-3.1389802164122713</v>
      </c>
      <c r="J347">
        <f t="shared" si="269"/>
        <v>15</v>
      </c>
      <c r="M347">
        <f t="shared" si="270"/>
        <v>4.0145387440460147E-3</v>
      </c>
      <c r="N347">
        <f t="shared" si="271"/>
        <v>-1.5707963250000001</v>
      </c>
      <c r="O347">
        <f t="shared" si="272"/>
        <v>179.25264121193135</v>
      </c>
      <c r="P347">
        <f t="shared" si="273"/>
        <v>1.5652175795009766</v>
      </c>
      <c r="Q347">
        <f t="shared" si="274"/>
        <v>169.78472766550075</v>
      </c>
      <c r="R347">
        <f t="shared" si="275"/>
        <v>1.5649064814861566</v>
      </c>
      <c r="S347">
        <f t="shared" si="276"/>
        <v>0.22549939416739823</v>
      </c>
      <c r="T347">
        <f t="shared" si="277"/>
        <v>-1.3433407240295259</v>
      </c>
      <c r="U347">
        <f t="shared" si="278"/>
        <v>0.83865202988865273</v>
      </c>
      <c r="V347">
        <f t="shared" si="279"/>
        <v>-0.57599268959288996</v>
      </c>
      <c r="X347">
        <f t="shared" si="296"/>
        <v>-35.014946930314707</v>
      </c>
      <c r="Y347">
        <f t="shared" si="280"/>
        <v>-171.05095483569045</v>
      </c>
      <c r="Z347">
        <f t="shared" si="297"/>
        <v>8.9490451643095525</v>
      </c>
      <c r="AC347">
        <v>1</v>
      </c>
      <c r="AD347">
        <f t="shared" si="281"/>
        <v>179.24985183105002</v>
      </c>
      <c r="AE347">
        <f t="shared" si="282"/>
        <v>-8.9875550717352128E-3</v>
      </c>
      <c r="AF347">
        <f t="shared" si="283"/>
        <v>1.3838589959544E-2</v>
      </c>
      <c r="AG347">
        <f t="shared" si="298"/>
        <v>9077.2475783284008</v>
      </c>
      <c r="AH347">
        <f t="shared" si="299"/>
        <v>-5967.5344635128413</v>
      </c>
      <c r="AJ347">
        <f t="shared" si="284"/>
        <v>18000</v>
      </c>
      <c r="AK347">
        <f t="shared" si="285"/>
        <v>77766.858794394007</v>
      </c>
      <c r="AL347">
        <v>1</v>
      </c>
      <c r="AM347">
        <f t="shared" si="286"/>
        <v>169.78178273433301</v>
      </c>
      <c r="AN347">
        <f t="shared" si="300"/>
        <v>458.64859339611633</v>
      </c>
      <c r="AO347">
        <f t="shared" si="301"/>
        <v>-103.3170409928597</v>
      </c>
      <c r="AQ347">
        <f t="shared" si="287"/>
        <v>5.6532276255143732E-3</v>
      </c>
      <c r="AR347">
        <f t="shared" si="288"/>
        <v>-7.5187927419341163</v>
      </c>
      <c r="AT347">
        <f t="shared" si="313"/>
        <v>-44817.339064728607</v>
      </c>
      <c r="AU347">
        <f t="shared" si="314"/>
        <v>-68283.679039359951</v>
      </c>
      <c r="AV347">
        <f t="shared" si="302"/>
        <v>-2.1516158841241433</v>
      </c>
      <c r="AW347">
        <f t="shared" si="303"/>
        <v>9820.7592495862809</v>
      </c>
      <c r="AX347">
        <f t="shared" si="304"/>
        <v>-10617.266050346851</v>
      </c>
      <c r="AY347">
        <f t="shared" si="312"/>
        <v>-0.82435025934705253</v>
      </c>
      <c r="BA347">
        <f t="shared" si="289"/>
        <v>5.647422411882375</v>
      </c>
      <c r="BB347">
        <f t="shared" si="305"/>
        <v>15.037005460027508</v>
      </c>
      <c r="BC347">
        <f t="shared" si="306"/>
        <v>-1.3272656247770906</v>
      </c>
      <c r="BD347">
        <f t="shared" si="290"/>
        <v>-256.04671867941767</v>
      </c>
      <c r="BF347">
        <f t="shared" si="291"/>
        <v>-47.252481899069359</v>
      </c>
      <c r="BG347">
        <f t="shared" si="292"/>
        <v>-226.47086756228964</v>
      </c>
      <c r="BH347">
        <f t="shared" si="307"/>
        <v>-46.470867562289641</v>
      </c>
      <c r="BI347">
        <f t="shared" si="308"/>
        <v>-46.470867562289641</v>
      </c>
      <c r="BJ347">
        <f t="shared" si="293"/>
        <v>0</v>
      </c>
      <c r="BK347">
        <f t="shared" si="309"/>
        <v>0</v>
      </c>
      <c r="BM347">
        <f t="shared" si="310"/>
        <v>-62.289487359096867</v>
      </c>
      <c r="BN347">
        <f t="shared" si="294"/>
        <v>-150.42414888287195</v>
      </c>
      <c r="BQ347" s="56">
        <f t="shared" si="311"/>
        <v>31.938966260312647</v>
      </c>
      <c r="BR347" s="59"/>
      <c r="BS347" s="59"/>
      <c r="BT347" s="59">
        <v>234422.88200000001</v>
      </c>
      <c r="BU347" s="59">
        <v>14.451599999999999</v>
      </c>
      <c r="BV347" s="59">
        <v>-158.77500000000001</v>
      </c>
      <c r="BY347" s="59"/>
      <c r="BZ347" s="59"/>
      <c r="CA347" s="59"/>
      <c r="CC347" s="59"/>
    </row>
    <row r="348" spans="1:81" x14ac:dyDescent="0.25">
      <c r="A348">
        <f t="shared" si="263"/>
        <v>670000</v>
      </c>
      <c r="B348">
        <f t="shared" si="295"/>
        <v>670</v>
      </c>
      <c r="C348">
        <f t="shared" si="264"/>
        <v>1.1502090801513845</v>
      </c>
      <c r="D348">
        <f t="shared" si="265"/>
        <v>0.51679513999311866</v>
      </c>
      <c r="F348">
        <f t="shared" si="266"/>
        <v>4.3948160877220223E-5</v>
      </c>
      <c r="G348">
        <f t="shared" si="267"/>
        <v>2.5929361418784674E-3</v>
      </c>
      <c r="H348">
        <f t="shared" si="268"/>
        <v>-3.1389997138581216</v>
      </c>
      <c r="J348">
        <f t="shared" si="269"/>
        <v>15</v>
      </c>
      <c r="M348">
        <f t="shared" si="270"/>
        <v>3.9845794996874618E-3</v>
      </c>
      <c r="N348">
        <f t="shared" si="271"/>
        <v>-1.5707963250000001</v>
      </c>
      <c r="O348">
        <f t="shared" si="272"/>
        <v>180.60036364282641</v>
      </c>
      <c r="P348">
        <f t="shared" si="273"/>
        <v>1.5652592110893175</v>
      </c>
      <c r="Q348">
        <f t="shared" si="274"/>
        <v>171.06126044618043</v>
      </c>
      <c r="R348">
        <f t="shared" si="275"/>
        <v>1.5649504345504628</v>
      </c>
      <c r="S348">
        <f t="shared" si="276"/>
        <v>0.22390122730376691</v>
      </c>
      <c r="T348">
        <f t="shared" si="277"/>
        <v>-1.3449808320757992</v>
      </c>
      <c r="U348">
        <f t="shared" si="278"/>
        <v>0.83678062702989287</v>
      </c>
      <c r="V348">
        <f t="shared" si="279"/>
        <v>-0.57941951794768043</v>
      </c>
      <c r="X348">
        <f t="shared" si="296"/>
        <v>-35.145407361091763</v>
      </c>
      <c r="Y348">
        <f t="shared" si="280"/>
        <v>-171.15347165863989</v>
      </c>
      <c r="Z348">
        <f t="shared" si="297"/>
        <v>8.8465283413601128</v>
      </c>
      <c r="AC348">
        <v>1</v>
      </c>
      <c r="AD348">
        <f t="shared" si="281"/>
        <v>180.5975950779</v>
      </c>
      <c r="AE348">
        <f t="shared" si="282"/>
        <v>-9.1232143630548632E-3</v>
      </c>
      <c r="AF348">
        <f t="shared" si="283"/>
        <v>1.3942639508112E-2</v>
      </c>
      <c r="AG348">
        <f t="shared" si="298"/>
        <v>9036.7820848775045</v>
      </c>
      <c r="AH348">
        <f t="shared" si="299"/>
        <v>-5984.8424011825236</v>
      </c>
      <c r="AJ348">
        <f t="shared" si="284"/>
        <v>18000</v>
      </c>
      <c r="AK348">
        <f t="shared" si="285"/>
        <v>78351.572018412015</v>
      </c>
      <c r="AL348">
        <v>1</v>
      </c>
      <c r="AM348">
        <f t="shared" si="286"/>
        <v>171.05833749173399</v>
      </c>
      <c r="AN348">
        <f t="shared" si="300"/>
        <v>458.63954508150232</v>
      </c>
      <c r="AO348">
        <f t="shared" si="301"/>
        <v>-102.54607119495795</v>
      </c>
      <c r="AQ348">
        <f t="shared" si="287"/>
        <v>5.5691659784105714E-3</v>
      </c>
      <c r="AR348">
        <f t="shared" si="288"/>
        <v>-7.4626824110701655</v>
      </c>
      <c r="AT348">
        <f t="shared" si="313"/>
        <v>-44612.650780990341</v>
      </c>
      <c r="AU348">
        <f t="shared" si="314"/>
        <v>-67471.965298176146</v>
      </c>
      <c r="AV348">
        <f t="shared" si="302"/>
        <v>-2.1550066919299766</v>
      </c>
      <c r="AW348">
        <f t="shared" si="303"/>
        <v>9787.0741400052884</v>
      </c>
      <c r="AX348">
        <f t="shared" si="304"/>
        <v>-10607.012997752796</v>
      </c>
      <c r="AY348">
        <f t="shared" si="312"/>
        <v>-0.82558125624593703</v>
      </c>
      <c r="BA348">
        <f t="shared" si="289"/>
        <v>5.6045445896372508</v>
      </c>
      <c r="BB348">
        <f t="shared" si="305"/>
        <v>14.970806575041058</v>
      </c>
      <c r="BC348">
        <f t="shared" si="306"/>
        <v>-1.3294254356840396</v>
      </c>
      <c r="BD348">
        <f t="shared" si="290"/>
        <v>-256.17046672907361</v>
      </c>
      <c r="BF348">
        <f t="shared" si="291"/>
        <v>-47.433018296284352</v>
      </c>
      <c r="BG348">
        <f t="shared" si="292"/>
        <v>-226.41172200311445</v>
      </c>
      <c r="BH348">
        <f t="shared" si="307"/>
        <v>-46.411722003114448</v>
      </c>
      <c r="BI348">
        <f t="shared" si="308"/>
        <v>-46.411722003114448</v>
      </c>
      <c r="BJ348">
        <f t="shared" si="293"/>
        <v>0</v>
      </c>
      <c r="BK348">
        <f t="shared" si="309"/>
        <v>0</v>
      </c>
      <c r="BM348">
        <f t="shared" si="310"/>
        <v>-62.403824871325398</v>
      </c>
      <c r="BN348">
        <f t="shared" si="294"/>
        <v>-150.24125527404087</v>
      </c>
      <c r="BQ348" s="56">
        <f t="shared" si="311"/>
        <v>31.872767375326198</v>
      </c>
      <c r="BR348" s="59"/>
      <c r="BS348" s="59"/>
      <c r="BT348" s="59">
        <v>239883.29199999999</v>
      </c>
      <c r="BU348" s="59">
        <v>14.4628</v>
      </c>
      <c r="BV348" s="59">
        <v>-161.529</v>
      </c>
      <c r="BY348" s="59"/>
      <c r="BZ348" s="59"/>
      <c r="CA348" s="59"/>
      <c r="CC348" s="59"/>
    </row>
    <row r="349" spans="1:81" x14ac:dyDescent="0.25">
      <c r="A349">
        <f t="shared" si="263"/>
        <v>675000</v>
      </c>
      <c r="B349">
        <f t="shared" si="295"/>
        <v>675</v>
      </c>
      <c r="C349">
        <f t="shared" si="264"/>
        <v>1.1523105164335181</v>
      </c>
      <c r="D349">
        <f t="shared" si="265"/>
        <v>0.51999505221121789</v>
      </c>
      <c r="F349">
        <f t="shared" si="266"/>
        <v>4.3299461834544505E-5</v>
      </c>
      <c r="G349">
        <f t="shared" si="267"/>
        <v>2.5737275838410142E-3</v>
      </c>
      <c r="H349">
        <f t="shared" si="268"/>
        <v>-3.1390189224161591</v>
      </c>
      <c r="J349">
        <f t="shared" si="269"/>
        <v>15</v>
      </c>
      <c r="M349">
        <f t="shared" si="270"/>
        <v>3.9550640959860736E-3</v>
      </c>
      <c r="N349">
        <f t="shared" si="271"/>
        <v>-1.5707963250000001</v>
      </c>
      <c r="O349">
        <f t="shared" si="272"/>
        <v>181.94808638209898</v>
      </c>
      <c r="P349">
        <f t="shared" si="273"/>
        <v>1.5653002259321567</v>
      </c>
      <c r="Q349">
        <f t="shared" si="274"/>
        <v>172.33779355243288</v>
      </c>
      <c r="R349">
        <f t="shared" si="275"/>
        <v>1.5649937364803495</v>
      </c>
      <c r="S349">
        <f t="shared" si="276"/>
        <v>0.22232496870881205</v>
      </c>
      <c r="T349">
        <f t="shared" si="277"/>
        <v>-1.3465978517881712</v>
      </c>
      <c r="U349">
        <f t="shared" si="278"/>
        <v>0.83490781843484974</v>
      </c>
      <c r="V349">
        <f t="shared" si="279"/>
        <v>-0.58283104696566868</v>
      </c>
      <c r="X349">
        <f t="shared" si="296"/>
        <v>-35.274968046365238</v>
      </c>
      <c r="Y349">
        <f t="shared" si="280"/>
        <v>-171.25451438725815</v>
      </c>
      <c r="Z349">
        <f t="shared" si="297"/>
        <v>8.7454856127418452</v>
      </c>
      <c r="AC349">
        <v>1</v>
      </c>
      <c r="AD349">
        <f t="shared" si="281"/>
        <v>181.94533832475</v>
      </c>
      <c r="AE349">
        <f t="shared" si="282"/>
        <v>-9.2598898288413292E-3</v>
      </c>
      <c r="AF349">
        <f t="shared" si="283"/>
        <v>1.404668905668E-2</v>
      </c>
      <c r="AG349">
        <f t="shared" si="298"/>
        <v>8996.3766941947397</v>
      </c>
      <c r="AH349">
        <f t="shared" si="299"/>
        <v>-6001.8027527210752</v>
      </c>
      <c r="AJ349">
        <f t="shared" si="284"/>
        <v>18000</v>
      </c>
      <c r="AK349">
        <f t="shared" si="285"/>
        <v>78936.285242430007</v>
      </c>
      <c r="AL349">
        <v>1</v>
      </c>
      <c r="AM349">
        <f t="shared" si="286"/>
        <v>172.33489224913501</v>
      </c>
      <c r="AN349">
        <f t="shared" si="300"/>
        <v>458.63069708587221</v>
      </c>
      <c r="AO349">
        <f t="shared" si="301"/>
        <v>-101.78652200945785</v>
      </c>
      <c r="AQ349">
        <f t="shared" si="287"/>
        <v>5.4869654392507876E-3</v>
      </c>
      <c r="AR349">
        <f t="shared" si="288"/>
        <v>-7.4074033429885633</v>
      </c>
      <c r="AT349">
        <f t="shared" si="313"/>
        <v>-44408.410966464529</v>
      </c>
      <c r="AU349">
        <f t="shared" si="314"/>
        <v>-66672.722483639896</v>
      </c>
      <c r="AV349">
        <f t="shared" si="302"/>
        <v>-2.158382734018045</v>
      </c>
      <c r="AW349">
        <f t="shared" si="303"/>
        <v>9753.2015247742838</v>
      </c>
      <c r="AX349">
        <f t="shared" si="304"/>
        <v>-10596.811704938797</v>
      </c>
      <c r="AY349">
        <f t="shared" si="312"/>
        <v>-0.82682945953803666</v>
      </c>
      <c r="BA349">
        <f t="shared" si="289"/>
        <v>5.5623154444141374</v>
      </c>
      <c r="BB349">
        <f t="shared" si="305"/>
        <v>14.905112289929052</v>
      </c>
      <c r="BC349">
        <f t="shared" si="306"/>
        <v>-1.3315532744800085</v>
      </c>
      <c r="BD349">
        <f t="shared" si="290"/>
        <v>-256.29238291170611</v>
      </c>
      <c r="BF349">
        <f t="shared" si="291"/>
        <v>-47.612022048565819</v>
      </c>
      <c r="BG349">
        <f t="shared" si="292"/>
        <v>-226.35139728993536</v>
      </c>
      <c r="BH349">
        <f t="shared" si="307"/>
        <v>-46.351397289935363</v>
      </c>
      <c r="BI349">
        <f t="shared" si="308"/>
        <v>-46.351397289935363</v>
      </c>
      <c r="BJ349">
        <f t="shared" si="293"/>
        <v>0</v>
      </c>
      <c r="BK349">
        <f t="shared" si="309"/>
        <v>0</v>
      </c>
      <c r="BM349">
        <f t="shared" si="310"/>
        <v>-62.517134338494877</v>
      </c>
      <c r="BN349">
        <f t="shared" si="294"/>
        <v>-150.05901437822928</v>
      </c>
      <c r="BQ349" s="56">
        <f t="shared" si="311"/>
        <v>31.807073090214189</v>
      </c>
      <c r="BR349" s="59"/>
      <c r="BS349" s="59"/>
      <c r="BT349" s="59">
        <v>245470.89199999999</v>
      </c>
      <c r="BU349" s="59">
        <v>14.575900000000001</v>
      </c>
      <c r="BV349" s="59">
        <v>-163.59700000000001</v>
      </c>
      <c r="BY349" s="59"/>
      <c r="BZ349" s="59"/>
      <c r="CA349" s="59"/>
      <c r="CC349" s="59"/>
    </row>
    <row r="350" spans="1:81" x14ac:dyDescent="0.25">
      <c r="A350">
        <f t="shared" si="263"/>
        <v>680000</v>
      </c>
      <c r="B350">
        <f t="shared" si="295"/>
        <v>680</v>
      </c>
      <c r="C350">
        <f t="shared" si="264"/>
        <v>1.1544237087013711</v>
      </c>
      <c r="D350">
        <f t="shared" si="265"/>
        <v>0.52318328198805242</v>
      </c>
      <c r="F350">
        <f t="shared" si="266"/>
        <v>4.2665020426716632E-5</v>
      </c>
      <c r="G350">
        <f t="shared" si="267"/>
        <v>2.5548015400217489E-3</v>
      </c>
      <c r="H350">
        <f t="shared" si="268"/>
        <v>-3.1390378484599784</v>
      </c>
      <c r="J350">
        <f t="shared" si="269"/>
        <v>15</v>
      </c>
      <c r="M350">
        <f t="shared" si="270"/>
        <v>3.925982742339117E-3</v>
      </c>
      <c r="N350">
        <f t="shared" si="271"/>
        <v>-1.5707963250000001</v>
      </c>
      <c r="O350">
        <f t="shared" si="272"/>
        <v>183.29580942294677</v>
      </c>
      <c r="P350">
        <f t="shared" si="273"/>
        <v>1.5653406376336287</v>
      </c>
      <c r="Q350">
        <f t="shared" si="274"/>
        <v>173.61432697707656</v>
      </c>
      <c r="R350">
        <f t="shared" si="275"/>
        <v>1.5650364016384333</v>
      </c>
      <c r="S350">
        <f t="shared" si="276"/>
        <v>0.22077018339083784</v>
      </c>
      <c r="T350">
        <f t="shared" si="277"/>
        <v>-1.3481922590115041</v>
      </c>
      <c r="U350">
        <f t="shared" si="278"/>
        <v>0.83303374386133622</v>
      </c>
      <c r="V350">
        <f t="shared" si="279"/>
        <v>-0.58622729999673562</v>
      </c>
      <c r="X350">
        <f t="shared" si="296"/>
        <v>-35.403641000643468</v>
      </c>
      <c r="Y350">
        <f t="shared" si="280"/>
        <v>-171.35411047560817</v>
      </c>
      <c r="Z350">
        <f t="shared" si="297"/>
        <v>8.6458895243918334</v>
      </c>
      <c r="AC350">
        <v>1</v>
      </c>
      <c r="AD350">
        <f t="shared" si="281"/>
        <v>183.29308157160003</v>
      </c>
      <c r="AE350">
        <f t="shared" si="282"/>
        <v>-9.397581469094609E-3</v>
      </c>
      <c r="AF350">
        <f t="shared" si="283"/>
        <v>1.4150738605248001E-2</v>
      </c>
      <c r="AG350">
        <f t="shared" si="298"/>
        <v>8956.0346152454567</v>
      </c>
      <c r="AH350">
        <f t="shared" si="299"/>
        <v>-6018.4183534572467</v>
      </c>
      <c r="AJ350">
        <f t="shared" si="284"/>
        <v>18000</v>
      </c>
      <c r="AK350">
        <f t="shared" si="285"/>
        <v>79520.998466448</v>
      </c>
      <c r="AL350">
        <v>1</v>
      </c>
      <c r="AM350">
        <f t="shared" si="286"/>
        <v>173.611447006536</v>
      </c>
      <c r="AN350">
        <f t="shared" si="300"/>
        <v>458.62204353953308</v>
      </c>
      <c r="AO350">
        <f t="shared" si="301"/>
        <v>-101.03814154489527</v>
      </c>
      <c r="AQ350">
        <f t="shared" si="287"/>
        <v>5.4065714713605797E-3</v>
      </c>
      <c r="AR350">
        <f t="shared" si="288"/>
        <v>-7.3529372010503886</v>
      </c>
      <c r="AT350">
        <f t="shared" si="313"/>
        <v>-44204.630761372915</v>
      </c>
      <c r="AU350">
        <f t="shared" si="314"/>
        <v>-65885.69910530583</v>
      </c>
      <c r="AV350">
        <f t="shared" si="302"/>
        <v>-2.1617440219677673</v>
      </c>
      <c r="AW350">
        <f t="shared" si="303"/>
        <v>9719.1524479694071</v>
      </c>
      <c r="AX350">
        <f t="shared" si="304"/>
        <v>-10586.655585813249</v>
      </c>
      <c r="AY350">
        <f t="shared" si="312"/>
        <v>-0.82809412189015308</v>
      </c>
      <c r="BA350">
        <f t="shared" si="289"/>
        <v>5.5207203584465523</v>
      </c>
      <c r="BB350">
        <f t="shared" si="305"/>
        <v>14.839914986782665</v>
      </c>
      <c r="BC350">
        <f t="shared" si="306"/>
        <v>-1.3336499000776141</v>
      </c>
      <c r="BD350">
        <f t="shared" si="290"/>
        <v>-256.41251070980525</v>
      </c>
      <c r="BF350">
        <f t="shared" si="291"/>
        <v>-47.789515926263498</v>
      </c>
      <c r="BG350">
        <f t="shared" si="292"/>
        <v>-226.28993735993021</v>
      </c>
      <c r="BH350">
        <f t="shared" si="307"/>
        <v>-46.289937359930207</v>
      </c>
      <c r="BI350">
        <f t="shared" si="308"/>
        <v>-46.289937359930207</v>
      </c>
      <c r="BJ350">
        <f t="shared" si="293"/>
        <v>0</v>
      </c>
      <c r="BK350">
        <f t="shared" si="309"/>
        <v>0</v>
      </c>
      <c r="BM350">
        <f t="shared" si="310"/>
        <v>-62.629430913046171</v>
      </c>
      <c r="BN350">
        <f t="shared" si="294"/>
        <v>-149.87742665012496</v>
      </c>
      <c r="BQ350" s="56">
        <f t="shared" si="311"/>
        <v>31.741875787067801</v>
      </c>
      <c r="BR350" s="59"/>
      <c r="BS350" s="59"/>
      <c r="BT350" s="59">
        <v>251188.64300000001</v>
      </c>
      <c r="BU350" s="59">
        <v>14.7446</v>
      </c>
      <c r="BV350" s="59">
        <v>-165.89599999999999</v>
      </c>
      <c r="BY350" s="59"/>
      <c r="BZ350" s="59"/>
      <c r="CA350" s="59"/>
      <c r="CC350" s="59"/>
    </row>
    <row r="351" spans="1:81" x14ac:dyDescent="0.25">
      <c r="A351">
        <f t="shared" si="263"/>
        <v>685000</v>
      </c>
      <c r="B351">
        <f t="shared" si="295"/>
        <v>685</v>
      </c>
      <c r="C351">
        <f t="shared" si="264"/>
        <v>1.1565485925149601</v>
      </c>
      <c r="D351">
        <f t="shared" si="265"/>
        <v>0.52635982872279274</v>
      </c>
      <c r="F351">
        <f t="shared" si="266"/>
        <v>4.2044421867724923E-5</v>
      </c>
      <c r="G351">
        <f t="shared" si="267"/>
        <v>2.5361518229549138E-3</v>
      </c>
      <c r="H351">
        <f t="shared" si="268"/>
        <v>-3.1390564981770455</v>
      </c>
      <c r="J351">
        <f t="shared" si="269"/>
        <v>15</v>
      </c>
      <c r="M351">
        <f t="shared" si="270"/>
        <v>3.8973259340008754E-3</v>
      </c>
      <c r="N351">
        <f t="shared" si="271"/>
        <v>-1.5707963250000001</v>
      </c>
      <c r="O351">
        <f t="shared" si="272"/>
        <v>184.64353275876616</v>
      </c>
      <c r="P351">
        <f t="shared" si="273"/>
        <v>1.5653804594006864</v>
      </c>
      <c r="Q351">
        <f t="shared" si="274"/>
        <v>174.89086071313969</v>
      </c>
      <c r="R351">
        <f t="shared" si="275"/>
        <v>1.5650784439680079</v>
      </c>
      <c r="S351">
        <f t="shared" si="276"/>
        <v>0.21923644744349974</v>
      </c>
      <c r="T351">
        <f t="shared" si="277"/>
        <v>-1.349764516834661</v>
      </c>
      <c r="U351">
        <f t="shared" si="278"/>
        <v>0.83115854107705556</v>
      </c>
      <c r="V351">
        <f t="shared" si="279"/>
        <v>-0.58960830159172928</v>
      </c>
      <c r="X351">
        <f t="shared" si="296"/>
        <v>-35.531437998046904</v>
      </c>
      <c r="Y351">
        <f t="shared" si="280"/>
        <v>-171.45228669673347</v>
      </c>
      <c r="Z351">
        <f t="shared" si="297"/>
        <v>8.5477133032665336</v>
      </c>
      <c r="AC351">
        <v>1</v>
      </c>
      <c r="AD351">
        <f t="shared" si="281"/>
        <v>184.64082481845</v>
      </c>
      <c r="AE351">
        <f t="shared" si="282"/>
        <v>-9.536289283814699E-3</v>
      </c>
      <c r="AF351">
        <f t="shared" si="283"/>
        <v>1.4254788153815999E-2</v>
      </c>
      <c r="AG351">
        <f t="shared" si="298"/>
        <v>8915.7589873910329</v>
      </c>
      <c r="AH351">
        <f t="shared" si="299"/>
        <v>-6034.6920599800924</v>
      </c>
      <c r="AJ351">
        <f t="shared" si="284"/>
        <v>18000</v>
      </c>
      <c r="AK351">
        <f t="shared" si="285"/>
        <v>80105.711690466007</v>
      </c>
      <c r="AL351">
        <v>1</v>
      </c>
      <c r="AM351">
        <f t="shared" si="286"/>
        <v>174.88800176393701</v>
      </c>
      <c r="AN351">
        <f t="shared" si="300"/>
        <v>458.61357878621533</v>
      </c>
      <c r="AO351">
        <f t="shared" si="301"/>
        <v>-100.30068526308091</v>
      </c>
      <c r="AQ351">
        <f t="shared" si="287"/>
        <v>5.327931521161745E-3</v>
      </c>
      <c r="AR351">
        <f t="shared" si="288"/>
        <v>-7.2992661839915902</v>
      </c>
      <c r="AT351">
        <f t="shared" si="313"/>
        <v>-44001.321130871242</v>
      </c>
      <c r="AU351">
        <f t="shared" si="314"/>
        <v>-65110.650507329345</v>
      </c>
      <c r="AV351">
        <f t="shared" si="302"/>
        <v>-2.1650905689031701</v>
      </c>
      <c r="AW351">
        <f t="shared" si="303"/>
        <v>9684.9376046706839</v>
      </c>
      <c r="AX351">
        <f t="shared" si="304"/>
        <v>-10576.53836451526</v>
      </c>
      <c r="AY351">
        <f t="shared" si="312"/>
        <v>-0.82937452156337299</v>
      </c>
      <c r="BA351">
        <f t="shared" si="289"/>
        <v>5.4797451481371642</v>
      </c>
      <c r="BB351">
        <f t="shared" si="305"/>
        <v>14.775207215922926</v>
      </c>
      <c r="BC351">
        <f t="shared" si="306"/>
        <v>-1.3357160473397971</v>
      </c>
      <c r="BD351">
        <f t="shared" si="290"/>
        <v>-256.53089222791613</v>
      </c>
      <c r="BF351">
        <f t="shared" si="291"/>
        <v>-47.965522212844135</v>
      </c>
      <c r="BG351">
        <f t="shared" si="292"/>
        <v>-226.2273847065847</v>
      </c>
      <c r="BH351">
        <f t="shared" si="307"/>
        <v>-46.227384706584701</v>
      </c>
      <c r="BI351">
        <f t="shared" si="308"/>
        <v>-46.227384706584701</v>
      </c>
      <c r="BJ351">
        <f t="shared" si="293"/>
        <v>0</v>
      </c>
      <c r="BK351">
        <f t="shared" si="309"/>
        <v>0</v>
      </c>
      <c r="BM351">
        <f t="shared" si="310"/>
        <v>-62.740729428767061</v>
      </c>
      <c r="BN351">
        <f t="shared" si="294"/>
        <v>-149.69649247866857</v>
      </c>
      <c r="BQ351" s="56">
        <f t="shared" si="311"/>
        <v>31.677168016208061</v>
      </c>
      <c r="BR351" s="59"/>
      <c r="BS351" s="59"/>
      <c r="BT351" s="59">
        <v>257039.57800000001</v>
      </c>
      <c r="BU351" s="59">
        <v>14.891</v>
      </c>
      <c r="BV351" s="59">
        <v>-168.07</v>
      </c>
      <c r="BY351" s="59"/>
      <c r="BZ351" s="59"/>
      <c r="CA351" s="59"/>
      <c r="CC351" s="59"/>
    </row>
    <row r="352" spans="1:81" x14ac:dyDescent="0.25">
      <c r="A352">
        <f t="shared" si="263"/>
        <v>690000</v>
      </c>
      <c r="B352">
        <f t="shared" si="295"/>
        <v>690</v>
      </c>
      <c r="C352">
        <f t="shared" si="264"/>
        <v>1.1586851035517811</v>
      </c>
      <c r="D352">
        <f t="shared" si="265"/>
        <v>0.52952469276209213</v>
      </c>
      <c r="F352">
        <f t="shared" si="266"/>
        <v>4.1437266346572676E-5</v>
      </c>
      <c r="G352">
        <f t="shared" si="267"/>
        <v>2.5177724245582503E-3</v>
      </c>
      <c r="H352">
        <f t="shared" si="268"/>
        <v>-3.139074877575442</v>
      </c>
      <c r="J352">
        <f t="shared" si="269"/>
        <v>15</v>
      </c>
      <c r="M352">
        <f t="shared" si="270"/>
        <v>3.8690844417255065E-3</v>
      </c>
      <c r="N352">
        <f t="shared" si="271"/>
        <v>-1.5707963250000001</v>
      </c>
      <c r="O352">
        <f t="shared" si="272"/>
        <v>185.99125638314487</v>
      </c>
      <c r="P352">
        <f t="shared" si="273"/>
        <v>1.5654197040574909</v>
      </c>
      <c r="Q352">
        <f t="shared" si="274"/>
        <v>176.16739475385248</v>
      </c>
      <c r="R352">
        <f t="shared" si="275"/>
        <v>1.5651198770082351</v>
      </c>
      <c r="S352">
        <f t="shared" si="276"/>
        <v>0.21772334770769455</v>
      </c>
      <c r="T352">
        <f t="shared" si="277"/>
        <v>-1.3513150760070713</v>
      </c>
      <c r="U352">
        <f t="shared" si="278"/>
        <v>0.82928234586325567</v>
      </c>
      <c r="V352">
        <f t="shared" si="279"/>
        <v>-0.5929740774762261</v>
      </c>
      <c r="X352">
        <f t="shared" si="296"/>
        <v>-35.658370578627178</v>
      </c>
      <c r="Y352">
        <f t="shared" si="280"/>
        <v>-171.54906916450986</v>
      </c>
      <c r="Z352">
        <f t="shared" si="297"/>
        <v>8.4509308354901407</v>
      </c>
      <c r="AC352">
        <v>1</v>
      </c>
      <c r="AD352">
        <f t="shared" si="281"/>
        <v>185.9885680653</v>
      </c>
      <c r="AE352">
        <f t="shared" si="282"/>
        <v>-9.6760132730016029E-3</v>
      </c>
      <c r="AF352">
        <f t="shared" si="283"/>
        <v>1.4358837702383999E-2</v>
      </c>
      <c r="AG352">
        <f t="shared" si="298"/>
        <v>8875.5528809058178</v>
      </c>
      <c r="AH352">
        <f t="shared" si="299"/>
        <v>-6050.6267486014995</v>
      </c>
      <c r="AJ352">
        <f t="shared" si="284"/>
        <v>18000</v>
      </c>
      <c r="AK352">
        <f t="shared" si="285"/>
        <v>80690.424914484014</v>
      </c>
      <c r="AL352">
        <v>1</v>
      </c>
      <c r="AM352">
        <f t="shared" si="286"/>
        <v>176.164556521338</v>
      </c>
      <c r="AN352">
        <f t="shared" si="300"/>
        <v>458.60529737382802</v>
      </c>
      <c r="AO352">
        <f t="shared" si="301"/>
        <v>-99.573915712730013</v>
      </c>
      <c r="AQ352">
        <f t="shared" si="287"/>
        <v>5.2509949322647907E-3</v>
      </c>
      <c r="AR352">
        <f t="shared" si="288"/>
        <v>-7.2463730065254115</v>
      </c>
      <c r="AT352">
        <f t="shared" si="313"/>
        <v>-43798.492860427839</v>
      </c>
      <c r="AU352">
        <f t="shared" si="314"/>
        <v>-64347.338624578704</v>
      </c>
      <c r="AV352">
        <f t="shared" si="302"/>
        <v>-2.1684223894542045</v>
      </c>
      <c r="AW352">
        <f t="shared" si="303"/>
        <v>9650.5673532897472</v>
      </c>
      <c r="AX352">
        <f t="shared" si="304"/>
        <v>-10566.454063242287</v>
      </c>
      <c r="AY352">
        <f t="shared" si="312"/>
        <v>-0.830669961424225</v>
      </c>
      <c r="BA352">
        <f t="shared" si="289"/>
        <v>5.4393760482035285</v>
      </c>
      <c r="BB352">
        <f t="shared" si="305"/>
        <v>14.71098169115624</v>
      </c>
      <c r="BC352">
        <f t="shared" si="306"/>
        <v>-1.3377524280299795</v>
      </c>
      <c r="BD352">
        <f t="shared" si="290"/>
        <v>-256.64756824707888</v>
      </c>
      <c r="BF352">
        <f t="shared" si="291"/>
        <v>-48.140062718701053</v>
      </c>
      <c r="BG352">
        <f t="shared" si="292"/>
        <v>-226.16378043531495</v>
      </c>
      <c r="BH352">
        <f t="shared" si="307"/>
        <v>-46.163780435314948</v>
      </c>
      <c r="BI352">
        <f t="shared" si="308"/>
        <v>-46.163780435314948</v>
      </c>
      <c r="BJ352">
        <f t="shared" si="293"/>
        <v>0</v>
      </c>
      <c r="BK352">
        <f t="shared" si="309"/>
        <v>0</v>
      </c>
      <c r="BM352">
        <f t="shared" si="310"/>
        <v>-62.851044409857295</v>
      </c>
      <c r="BN352">
        <f t="shared" si="294"/>
        <v>-149.51621218823612</v>
      </c>
      <c r="BQ352" s="56">
        <f t="shared" si="311"/>
        <v>31.612942491441377</v>
      </c>
      <c r="BR352" s="59"/>
      <c r="BS352" s="59"/>
      <c r="BT352" s="59">
        <v>263026.799</v>
      </c>
      <c r="BU352" s="59">
        <v>14.9779</v>
      </c>
      <c r="BV352" s="59">
        <v>-170.82400000000001</v>
      </c>
      <c r="BY352" s="59"/>
      <c r="BZ352" s="59"/>
      <c r="CA352" s="59"/>
      <c r="CC352" s="59"/>
    </row>
    <row r="353" spans="1:81" x14ac:dyDescent="0.25">
      <c r="A353">
        <f t="shared" si="263"/>
        <v>695000</v>
      </c>
      <c r="B353">
        <f t="shared" si="295"/>
        <v>695</v>
      </c>
      <c r="C353">
        <f t="shared" si="264"/>
        <v>1.1608331776121958</v>
      </c>
      <c r="D353">
        <f t="shared" si="265"/>
        <v>0.53267787538619482</v>
      </c>
      <c r="F353">
        <f t="shared" si="266"/>
        <v>4.0843168383152258E-5</v>
      </c>
      <c r="G353">
        <f t="shared" si="267"/>
        <v>2.4996575096787911E-3</v>
      </c>
      <c r="H353">
        <f t="shared" si="268"/>
        <v>-3.1390929924903213</v>
      </c>
      <c r="J353">
        <f t="shared" si="269"/>
        <v>15</v>
      </c>
      <c r="M353">
        <f t="shared" si="270"/>
        <v>3.8412493018569784E-3</v>
      </c>
      <c r="N353">
        <f t="shared" si="271"/>
        <v>-1.5707963250000001</v>
      </c>
      <c r="O353">
        <f t="shared" si="272"/>
        <v>187.33898028985527</v>
      </c>
      <c r="P353">
        <f t="shared" si="273"/>
        <v>1.5654583840591811</v>
      </c>
      <c r="Q353">
        <f t="shared" si="274"/>
        <v>177.44392909263993</v>
      </c>
      <c r="R353">
        <f t="shared" si="275"/>
        <v>1.5651607139086818</v>
      </c>
      <c r="S353">
        <f t="shared" si="276"/>
        <v>0.21623048144519011</v>
      </c>
      <c r="T353">
        <f t="shared" si="277"/>
        <v>-1.3528443753394148</v>
      </c>
      <c r="U353">
        <f t="shared" si="278"/>
        <v>0.82740529201910751</v>
      </c>
      <c r="V353">
        <f t="shared" si="279"/>
        <v>-0.59632465452449168</v>
      </c>
      <c r="X353">
        <f t="shared" si="296"/>
        <v>-35.784450054485767</v>
      </c>
      <c r="Y353">
        <f t="shared" si="280"/>
        <v>-171.64448335465465</v>
      </c>
      <c r="Z353">
        <f t="shared" si="297"/>
        <v>8.3555166453453467</v>
      </c>
      <c r="AC353">
        <v>1</v>
      </c>
      <c r="AD353">
        <f t="shared" si="281"/>
        <v>187.33631131215</v>
      </c>
      <c r="AE353">
        <f t="shared" si="282"/>
        <v>-9.816753436655324E-3</v>
      </c>
      <c r="AF353">
        <f t="shared" si="283"/>
        <v>1.4462887250951999E-2</v>
      </c>
      <c r="AG353">
        <f t="shared" si="298"/>
        <v>8835.4192975141959</v>
      </c>
      <c r="AH353">
        <f t="shared" si="299"/>
        <v>-6066.2253138555179</v>
      </c>
      <c r="AJ353">
        <f t="shared" si="284"/>
        <v>18000</v>
      </c>
      <c r="AK353">
        <f t="shared" si="285"/>
        <v>81275.138138502007</v>
      </c>
      <c r="AL353">
        <v>1</v>
      </c>
      <c r="AM353">
        <f t="shared" si="286"/>
        <v>177.44111127873902</v>
      </c>
      <c r="AN353">
        <f t="shared" si="300"/>
        <v>458.59719404567784</v>
      </c>
      <c r="AO353">
        <f t="shared" si="301"/>
        <v>-98.857602274587038</v>
      </c>
      <c r="AQ353">
        <f t="shared" si="287"/>
        <v>5.1757128638720232E-3</v>
      </c>
      <c r="AR353">
        <f t="shared" si="288"/>
        <v>-7.1942408807821119</v>
      </c>
      <c r="AT353">
        <f t="shared" si="313"/>
        <v>-43596.156551658816</v>
      </c>
      <c r="AU353">
        <f t="shared" si="314"/>
        <v>-63595.531749419868</v>
      </c>
      <c r="AV353">
        <f t="shared" si="302"/>
        <v>-2.17173949971879</v>
      </c>
      <c r="AW353">
        <f t="shared" si="303"/>
        <v>9616.0517273304649</v>
      </c>
      <c r="AX353">
        <f t="shared" si="304"/>
        <v>-10556.396990573941</v>
      </c>
      <c r="AY353">
        <f t="shared" si="312"/>
        <v>-0.83197976800134865</v>
      </c>
      <c r="BA353">
        <f t="shared" si="289"/>
        <v>5.3995996965030724</v>
      </c>
      <c r="BB353">
        <f t="shared" si="305"/>
        <v>14.64723128518574</v>
      </c>
      <c r="BC353">
        <f t="shared" si="306"/>
        <v>-1.3397597317174412</v>
      </c>
      <c r="BD353">
        <f t="shared" si="290"/>
        <v>-256.76257827670287</v>
      </c>
      <c r="BF353">
        <f t="shared" si="291"/>
        <v>-48.313158794480501</v>
      </c>
      <c r="BG353">
        <f t="shared" si="292"/>
        <v>-226.09916431650745</v>
      </c>
      <c r="BH353">
        <f t="shared" si="307"/>
        <v>-46.099164316507455</v>
      </c>
      <c r="BI353">
        <f t="shared" si="308"/>
        <v>-46.099164316507455</v>
      </c>
      <c r="BJ353">
        <f t="shared" si="293"/>
        <v>0</v>
      </c>
      <c r="BK353">
        <f t="shared" si="309"/>
        <v>0</v>
      </c>
      <c r="BM353">
        <f t="shared" si="310"/>
        <v>-62.96039007966624</v>
      </c>
      <c r="BN353">
        <f t="shared" si="294"/>
        <v>-149.33658603980462</v>
      </c>
      <c r="BQ353" s="56">
        <f t="shared" si="311"/>
        <v>31.549192085470878</v>
      </c>
      <c r="BR353" s="59"/>
      <c r="BS353" s="59"/>
      <c r="BT353" s="59">
        <v>269153.48</v>
      </c>
      <c r="BU353" s="59">
        <v>15.0854</v>
      </c>
      <c r="BV353" s="59">
        <v>-173.35300000000001</v>
      </c>
      <c r="BY353" s="59"/>
      <c r="BZ353" s="59"/>
      <c r="CA353" s="59"/>
      <c r="CC353" s="59"/>
    </row>
    <row r="354" spans="1:81" x14ac:dyDescent="0.25">
      <c r="A354">
        <f t="shared" si="263"/>
        <v>700000</v>
      </c>
      <c r="B354">
        <f t="shared" si="295"/>
        <v>700</v>
      </c>
      <c r="C354">
        <f t="shared" si="264"/>
        <v>1.1629927506247035</v>
      </c>
      <c r="D354">
        <f t="shared" si="265"/>
        <v>0.53581937879504871</v>
      </c>
      <c r="F354">
        <f t="shared" si="266"/>
        <v>4.0261756216213096E-5</v>
      </c>
      <c r="G354">
        <f t="shared" si="267"/>
        <v>2.4818014099153352E-3</v>
      </c>
      <c r="H354">
        <f t="shared" si="268"/>
        <v>-3.1391108485900849</v>
      </c>
      <c r="J354">
        <f t="shared" si="269"/>
        <v>15</v>
      </c>
      <c r="M354">
        <f t="shared" si="270"/>
        <v>3.8138118068437137E-3</v>
      </c>
      <c r="N354">
        <f t="shared" si="271"/>
        <v>-1.5707963250000001</v>
      </c>
      <c r="O354">
        <f t="shared" si="272"/>
        <v>188.68670447284751</v>
      </c>
      <c r="P354">
        <f t="shared" si="273"/>
        <v>1.5654965115050514</v>
      </c>
      <c r="Q354">
        <f t="shared" si="274"/>
        <v>178.72046372311502</v>
      </c>
      <c r="R354">
        <f t="shared" si="275"/>
        <v>1.565200967443233</v>
      </c>
      <c r="S354">
        <f t="shared" si="276"/>
        <v>0.21475745602355137</v>
      </c>
      <c r="T354">
        <f t="shared" si="277"/>
        <v>-1.354352842089106</v>
      </c>
      <c r="U354">
        <f t="shared" si="278"/>
        <v>0.82552751136678082</v>
      </c>
      <c r="V354">
        <f t="shared" si="279"/>
        <v>-0.59966006073364964</v>
      </c>
      <c r="X354">
        <f t="shared" si="296"/>
        <v>-35.9096875156999</v>
      </c>
      <c r="Y354">
        <f t="shared" si="280"/>
        <v>-171.73855412493128</v>
      </c>
      <c r="Z354">
        <f t="shared" si="297"/>
        <v>8.2614458750687163</v>
      </c>
      <c r="AC354">
        <v>1</v>
      </c>
      <c r="AD354">
        <f t="shared" si="281"/>
        <v>188.68405455900003</v>
      </c>
      <c r="AE354">
        <f t="shared" si="282"/>
        <v>-9.9585097747758571E-3</v>
      </c>
      <c r="AF354">
        <f t="shared" si="283"/>
        <v>1.4566936799520001E-2</v>
      </c>
      <c r="AG354">
        <f t="shared" si="298"/>
        <v>8795.3611709466913</v>
      </c>
      <c r="AH354">
        <f t="shared" si="299"/>
        <v>-6081.4906670341124</v>
      </c>
      <c r="AJ354">
        <f t="shared" si="284"/>
        <v>18000</v>
      </c>
      <c r="AK354">
        <f t="shared" si="285"/>
        <v>81859.851362519999</v>
      </c>
      <c r="AL354">
        <v>1</v>
      </c>
      <c r="AM354">
        <f t="shared" si="286"/>
        <v>178.71766603614</v>
      </c>
      <c r="AN354">
        <f t="shared" si="300"/>
        <v>458.58926373212626</v>
      </c>
      <c r="AO354">
        <f t="shared" si="301"/>
        <v>-98.151520917471444</v>
      </c>
      <c r="AQ354">
        <f t="shared" si="287"/>
        <v>5.1020382132458096E-3</v>
      </c>
      <c r="AR354">
        <f t="shared" si="288"/>
        <v>-7.1428534985441337</v>
      </c>
      <c r="AT354">
        <f t="shared" si="313"/>
        <v>-43394.322618594633</v>
      </c>
      <c r="AU354">
        <f t="shared" si="314"/>
        <v>-62855.004308632509</v>
      </c>
      <c r="AV354">
        <f t="shared" si="302"/>
        <v>-2.1750419172255824</v>
      </c>
      <c r="AW354">
        <f t="shared" si="303"/>
        <v>9581.4004466148435</v>
      </c>
      <c r="AX354">
        <f t="shared" si="304"/>
        <v>-10546.361730268582</v>
      </c>
      <c r="AY354">
        <f t="shared" si="312"/>
        <v>-0.83330329058521779</v>
      </c>
      <c r="BA354">
        <f t="shared" si="289"/>
        <v>5.3604031195043609</v>
      </c>
      <c r="BB354">
        <f t="shared" si="305"/>
        <v>14.583949025173</v>
      </c>
      <c r="BC354">
        <f t="shared" si="306"/>
        <v>-1.3417386266403646</v>
      </c>
      <c r="BD354">
        <f t="shared" si="290"/>
        <v>-256.8759606040158</v>
      </c>
      <c r="BF354">
        <f t="shared" si="291"/>
        <v>-48.484831343944393</v>
      </c>
      <c r="BG354">
        <f t="shared" si="292"/>
        <v>-226.03357483611762</v>
      </c>
      <c r="BH354">
        <f t="shared" si="307"/>
        <v>-46.033574836117623</v>
      </c>
      <c r="BI354">
        <f t="shared" si="308"/>
        <v>-46.033574836117623</v>
      </c>
      <c r="BJ354">
        <f t="shared" si="293"/>
        <v>0</v>
      </c>
      <c r="BK354">
        <f t="shared" si="309"/>
        <v>0</v>
      </c>
      <c r="BM354">
        <f t="shared" si="310"/>
        <v>-63.068780369117398</v>
      </c>
      <c r="BN354">
        <f t="shared" si="294"/>
        <v>-149.15761423210182</v>
      </c>
      <c r="BQ354" s="56">
        <f t="shared" si="311"/>
        <v>31.485909825458137</v>
      </c>
      <c r="BR354" s="59"/>
      <c r="BS354" s="59"/>
      <c r="BT354" s="59">
        <v>275422.87</v>
      </c>
      <c r="BU354" s="59">
        <v>15.1145</v>
      </c>
      <c r="BV354" s="59">
        <v>-175.80699999999999</v>
      </c>
      <c r="BY354" s="59"/>
      <c r="BZ354" s="59"/>
      <c r="CA354" s="59"/>
      <c r="CC354" s="59"/>
    </row>
    <row r="355" spans="1:81" x14ac:dyDescent="0.25">
      <c r="A355">
        <f t="shared" si="263"/>
        <v>705000</v>
      </c>
      <c r="B355">
        <f t="shared" si="295"/>
        <v>705</v>
      </c>
      <c r="C355">
        <f t="shared" si="264"/>
        <v>1.1651637586511003</v>
      </c>
      <c r="D355">
        <f t="shared" si="265"/>
        <v>0.53894920609442809</v>
      </c>
      <c r="F355">
        <f t="shared" si="266"/>
        <v>3.9692671221608872E-5</v>
      </c>
      <c r="G355">
        <f t="shared" si="267"/>
        <v>2.4641986177038723E-3</v>
      </c>
      <c r="H355">
        <f t="shared" si="268"/>
        <v>-3.1391284513822963</v>
      </c>
      <c r="J355">
        <f t="shared" si="269"/>
        <v>15</v>
      </c>
      <c r="M355">
        <f t="shared" si="270"/>
        <v>3.7867634961568793E-3</v>
      </c>
      <c r="N355">
        <f t="shared" si="271"/>
        <v>-1.5707963250000001</v>
      </c>
      <c r="O355">
        <f t="shared" si="272"/>
        <v>190.03442892624341</v>
      </c>
      <c r="P355">
        <f t="shared" si="273"/>
        <v>1.5655340981511698</v>
      </c>
      <c r="Q355">
        <f t="shared" si="274"/>
        <v>179.99699863907171</v>
      </c>
      <c r="R355">
        <f t="shared" si="275"/>
        <v>1.5652406500234126</v>
      </c>
      <c r="S355">
        <f t="shared" si="276"/>
        <v>0.21330388861193594</v>
      </c>
      <c r="T355">
        <f t="shared" si="277"/>
        <v>-1.3558408923312346</v>
      </c>
      <c r="U355">
        <f t="shared" si="278"/>
        <v>0.82364913375719595</v>
      </c>
      <c r="V355">
        <f t="shared" si="279"/>
        <v>-0.60298032519806233</v>
      </c>
      <c r="X355">
        <f t="shared" si="296"/>
        <v>-36.034093836062588</v>
      </c>
      <c r="Y355">
        <f t="shared" si="280"/>
        <v>-171.83130573458169</v>
      </c>
      <c r="Z355">
        <f t="shared" si="297"/>
        <v>8.1686942654183099</v>
      </c>
      <c r="AC355">
        <v>1</v>
      </c>
      <c r="AD355">
        <f t="shared" si="281"/>
        <v>190.03179780585</v>
      </c>
      <c r="AE355">
        <f t="shared" si="282"/>
        <v>-1.0101282287363206E-2</v>
      </c>
      <c r="AF355">
        <f t="shared" si="283"/>
        <v>1.4670986348087998E-2</v>
      </c>
      <c r="AG355">
        <f t="shared" si="298"/>
        <v>8755.3813675141646</v>
      </c>
      <c r="AH355">
        <f t="shared" si="299"/>
        <v>-6096.4257347589355</v>
      </c>
      <c r="AJ355">
        <f t="shared" si="284"/>
        <v>18000</v>
      </c>
      <c r="AK355">
        <f t="shared" si="285"/>
        <v>82444.564586538007</v>
      </c>
      <c r="AL355">
        <v>1</v>
      </c>
      <c r="AM355">
        <f t="shared" si="286"/>
        <v>179.99422079354102</v>
      </c>
      <c r="AN355">
        <f t="shared" si="300"/>
        <v>458.58150154265769</v>
      </c>
      <c r="AO355">
        <f t="shared" si="301"/>
        <v>-97.455453964701988</v>
      </c>
      <c r="AQ355">
        <f t="shared" si="287"/>
        <v>5.0299255420122018E-3</v>
      </c>
      <c r="AR355">
        <f t="shared" si="288"/>
        <v>-7.0921950142372046</v>
      </c>
      <c r="AT355">
        <f t="shared" si="313"/>
        <v>-43193.001284354192</v>
      </c>
      <c r="AU355">
        <f t="shared" si="314"/>
        <v>-62125.53664994752</v>
      </c>
      <c r="AV355">
        <f t="shared" si="302"/>
        <v>-2.1783296608974405</v>
      </c>
      <c r="AW355">
        <f t="shared" si="303"/>
        <v>9546.6229280045918</v>
      </c>
      <c r="AX355">
        <f t="shared" si="304"/>
        <v>-10536.343130510577</v>
      </c>
      <c r="AY355">
        <f t="shared" si="312"/>
        <v>-0.83463990036860936</v>
      </c>
      <c r="BA355">
        <f t="shared" si="289"/>
        <v>5.3217737183734606</v>
      </c>
      <c r="BB355">
        <f t="shared" si="305"/>
        <v>14.521128088444899</v>
      </c>
      <c r="BC355">
        <f t="shared" si="306"/>
        <v>-1.3436897605288312</v>
      </c>
      <c r="BD355">
        <f t="shared" si="290"/>
        <v>-256.98775234121763</v>
      </c>
      <c r="BF355">
        <f t="shared" si="291"/>
        <v>-48.655100836388257</v>
      </c>
      <c r="BG355">
        <f t="shared" si="292"/>
        <v>-225.96704924395777</v>
      </c>
      <c r="BH355">
        <f t="shared" si="307"/>
        <v>-45.967049243957774</v>
      </c>
      <c r="BI355">
        <f t="shared" si="308"/>
        <v>-45.967049243957774</v>
      </c>
      <c r="BJ355">
        <f t="shared" si="293"/>
        <v>0</v>
      </c>
      <c r="BK355">
        <f t="shared" si="309"/>
        <v>0</v>
      </c>
      <c r="BM355">
        <f t="shared" si="310"/>
        <v>-63.176228924833154</v>
      </c>
      <c r="BN355">
        <f t="shared" si="294"/>
        <v>-148.97929690274015</v>
      </c>
      <c r="BQ355" s="56">
        <f t="shared" si="311"/>
        <v>31.423088888730035</v>
      </c>
      <c r="BR355" s="59"/>
      <c r="BS355" s="59"/>
      <c r="BT355" s="59">
        <v>281838.29300000001</v>
      </c>
      <c r="BU355" s="59">
        <v>15.1486</v>
      </c>
      <c r="BV355" s="59">
        <v>-177.72399999999999</v>
      </c>
      <c r="BY355" s="59"/>
      <c r="BZ355" s="59"/>
      <c r="CA355" s="59"/>
      <c r="CC355" s="59"/>
    </row>
    <row r="356" spans="1:81" x14ac:dyDescent="0.25">
      <c r="A356">
        <f t="shared" si="263"/>
        <v>710000</v>
      </c>
      <c r="B356">
        <f t="shared" si="295"/>
        <v>710</v>
      </c>
      <c r="C356">
        <f t="shared" si="264"/>
        <v>1.1673461378915275</v>
      </c>
      <c r="D356">
        <f t="shared" si="265"/>
        <v>0.54206736128207289</v>
      </c>
      <c r="F356">
        <f t="shared" si="266"/>
        <v>3.9135567359124034E-5</v>
      </c>
      <c r="G356">
        <f t="shared" si="267"/>
        <v>2.4468437806529839E-3</v>
      </c>
      <c r="H356">
        <f t="shared" si="268"/>
        <v>-3.1391458062193474</v>
      </c>
      <c r="J356">
        <f t="shared" si="269"/>
        <v>15</v>
      </c>
      <c r="M356">
        <f t="shared" si="270"/>
        <v>3.7600961475923941E-3</v>
      </c>
      <c r="N356">
        <f t="shared" si="271"/>
        <v>-1.5707963250000001</v>
      </c>
      <c r="O356">
        <f t="shared" si="272"/>
        <v>191.3821536443304</v>
      </c>
      <c r="P356">
        <f t="shared" si="273"/>
        <v>1.5655711554224625</v>
      </c>
      <c r="Q356">
        <f t="shared" si="274"/>
        <v>181.27353383447897</v>
      </c>
      <c r="R356">
        <f t="shared" si="275"/>
        <v>1.5652797737111421</v>
      </c>
      <c r="S356">
        <f t="shared" si="276"/>
        <v>0.21186940588734957</v>
      </c>
      <c r="T356">
        <f t="shared" si="277"/>
        <v>-1.3573089313155828</v>
      </c>
      <c r="U356">
        <f t="shared" si="278"/>
        <v>0.82177028707642896</v>
      </c>
      <c r="V356">
        <f t="shared" si="279"/>
        <v>-0.60628547808393385</v>
      </c>
      <c r="X356">
        <f t="shared" si="296"/>
        <v>-36.157679678643348</v>
      </c>
      <c r="Y356">
        <f t="shared" si="280"/>
        <v>-171.92276186302303</v>
      </c>
      <c r="Z356">
        <f t="shared" si="297"/>
        <v>8.0772381369769732</v>
      </c>
      <c r="AC356">
        <v>1</v>
      </c>
      <c r="AD356">
        <f t="shared" si="281"/>
        <v>191.37954105270001</v>
      </c>
      <c r="AE356">
        <f t="shared" si="282"/>
        <v>-1.0245070974417366E-2</v>
      </c>
      <c r="AF356">
        <f t="shared" si="283"/>
        <v>1.4775035896656E-2</v>
      </c>
      <c r="AG356">
        <f t="shared" si="298"/>
        <v>8715.4826866991971</v>
      </c>
      <c r="AH356">
        <f t="shared" si="299"/>
        <v>-6111.0334575887109</v>
      </c>
      <c r="AJ356">
        <f t="shared" si="284"/>
        <v>18000</v>
      </c>
      <c r="AK356">
        <f t="shared" si="285"/>
        <v>83029.277810556014</v>
      </c>
      <c r="AL356">
        <v>1</v>
      </c>
      <c r="AM356">
        <f t="shared" si="286"/>
        <v>181.27077555094201</v>
      </c>
      <c r="AN356">
        <f t="shared" si="300"/>
        <v>458.57390275833916</v>
      </c>
      <c r="AO356">
        <f t="shared" si="301"/>
        <v>-96.769189870388374</v>
      </c>
      <c r="AQ356">
        <f t="shared" si="287"/>
        <v>4.9593310060846033E-3</v>
      </c>
      <c r="AR356">
        <f t="shared" si="288"/>
        <v>-7.0422500286401366</v>
      </c>
      <c r="AT356">
        <f t="shared" si="313"/>
        <v>-42992.202578203789</v>
      </c>
      <c r="AU356">
        <f t="shared" si="314"/>
        <v>-61406.914837725475</v>
      </c>
      <c r="AV356">
        <f t="shared" si="302"/>
        <v>-2.1816027510155678</v>
      </c>
      <c r="AW356">
        <f t="shared" si="303"/>
        <v>9511.7282956467407</v>
      </c>
      <c r="AX356">
        <f t="shared" si="304"/>
        <v>-10526.336293587392</v>
      </c>
      <c r="AY356">
        <f t="shared" si="312"/>
        <v>-0.83598898962565005</v>
      </c>
      <c r="BA356">
        <f t="shared" si="289"/>
        <v>5.2836992556458862</v>
      </c>
      <c r="BB356">
        <f t="shared" si="305"/>
        <v>14.458761798340539</v>
      </c>
      <c r="BC356">
        <f t="shared" si="306"/>
        <v>-1.3456137613899177</v>
      </c>
      <c r="BD356">
        <f t="shared" si="290"/>
        <v>-257.0979894704634</v>
      </c>
      <c r="BF356">
        <f t="shared" si="291"/>
        <v>-48.823987318632078</v>
      </c>
      <c r="BG356">
        <f t="shared" si="292"/>
        <v>-225.89962359979879</v>
      </c>
      <c r="BH356">
        <f t="shared" si="307"/>
        <v>-45.899623599798787</v>
      </c>
      <c r="BI356">
        <f t="shared" si="308"/>
        <v>-45.899623599798787</v>
      </c>
      <c r="BJ356">
        <f t="shared" si="293"/>
        <v>0</v>
      </c>
      <c r="BK356">
        <f t="shared" si="309"/>
        <v>0</v>
      </c>
      <c r="BM356">
        <f t="shared" si="310"/>
        <v>-63.28274911697261</v>
      </c>
      <c r="BN356">
        <f t="shared" si="294"/>
        <v>-148.80163412933544</v>
      </c>
      <c r="BQ356" s="56">
        <f t="shared" si="311"/>
        <v>31.360722598625678</v>
      </c>
      <c r="BR356" s="59"/>
      <c r="BS356" s="59"/>
      <c r="BT356" s="59">
        <v>288403.15000000002</v>
      </c>
      <c r="BU356" s="59">
        <v>14.961</v>
      </c>
      <c r="BV356" s="59">
        <v>-178.92099999999999</v>
      </c>
      <c r="BY356" s="59"/>
      <c r="BZ356" s="59"/>
      <c r="CA356" s="59"/>
      <c r="CC356" s="59"/>
    </row>
    <row r="357" spans="1:81" x14ac:dyDescent="0.25">
      <c r="A357">
        <f t="shared" si="263"/>
        <v>715000</v>
      </c>
      <c r="B357">
        <f t="shared" si="295"/>
        <v>715</v>
      </c>
      <c r="C357">
        <f t="shared" si="264"/>
        <v>1.1695398246894078</v>
      </c>
      <c r="D357">
        <f t="shared" si="265"/>
        <v>0.54517384923384693</v>
      </c>
      <c r="F357">
        <f t="shared" si="266"/>
        <v>3.8590110646286121E-5</v>
      </c>
      <c r="G357">
        <f t="shared" si="267"/>
        <v>2.4297316961169853E-3</v>
      </c>
      <c r="H357">
        <f t="shared" si="268"/>
        <v>-3.1391629183038834</v>
      </c>
      <c r="J357">
        <f t="shared" si="269"/>
        <v>15</v>
      </c>
      <c r="M357">
        <f t="shared" si="270"/>
        <v>3.7338017689379013E-3</v>
      </c>
      <c r="N357">
        <f t="shared" si="271"/>
        <v>-1.5707963250000001</v>
      </c>
      <c r="O357">
        <f t="shared" si="272"/>
        <v>192.72987862155566</v>
      </c>
      <c r="P357">
        <f t="shared" si="273"/>
        <v>1.5656076944242925</v>
      </c>
      <c r="Q357">
        <f t="shared" si="274"/>
        <v>182.55006930347434</v>
      </c>
      <c r="R357">
        <f t="shared" si="275"/>
        <v>1.565318350230964</v>
      </c>
      <c r="S357">
        <f t="shared" si="276"/>
        <v>0.2104536437509687</v>
      </c>
      <c r="T357">
        <f t="shared" si="277"/>
        <v>-1.3587573538103117</v>
      </c>
      <c r="U357">
        <f t="shared" si="278"/>
        <v>0.81989109725274478</v>
      </c>
      <c r="V357">
        <f t="shared" si="279"/>
        <v>-0.60957555060413926</v>
      </c>
      <c r="X357">
        <f t="shared" si="296"/>
        <v>-36.280455501176284</v>
      </c>
      <c r="Y357">
        <f t="shared" si="280"/>
        <v>-172.01294562783673</v>
      </c>
      <c r="Z357">
        <f t="shared" si="297"/>
        <v>7.9870543721632714</v>
      </c>
      <c r="AC357">
        <v>1</v>
      </c>
      <c r="AD357">
        <f t="shared" si="281"/>
        <v>192.72728429955001</v>
      </c>
      <c r="AE357">
        <f t="shared" si="282"/>
        <v>-1.0389875835938343E-2</v>
      </c>
      <c r="AF357">
        <f t="shared" si="283"/>
        <v>1.4879085445224E-2</v>
      </c>
      <c r="AG357">
        <f t="shared" si="298"/>
        <v>8675.6678617636262</v>
      </c>
      <c r="AH357">
        <f t="shared" si="299"/>
        <v>-6125.3167886618512</v>
      </c>
      <c r="AJ357">
        <f t="shared" si="284"/>
        <v>18000</v>
      </c>
      <c r="AK357">
        <f t="shared" si="285"/>
        <v>83613.991034574006</v>
      </c>
      <c r="AL357">
        <v>1</v>
      </c>
      <c r="AM357">
        <f t="shared" si="286"/>
        <v>182.54733030834302</v>
      </c>
      <c r="AN357">
        <f t="shared" si="300"/>
        <v>458.56646282464578</v>
      </c>
      <c r="AO357">
        <f t="shared" si="301"/>
        <v>-96.092523005107196</v>
      </c>
      <c r="AQ357">
        <f t="shared" si="287"/>
        <v>4.8902122890056784E-3</v>
      </c>
      <c r="AR357">
        <f t="shared" si="288"/>
        <v>-6.9930035732781199</v>
      </c>
      <c r="AT357">
        <f t="shared" si="313"/>
        <v>-42791.936332979858</v>
      </c>
      <c r="AU357">
        <f t="shared" si="314"/>
        <v>-60698.930457321156</v>
      </c>
      <c r="AV357">
        <f t="shared" si="302"/>
        <v>-2.18486120918433</v>
      </c>
      <c r="AW357">
        <f t="shared" si="303"/>
        <v>9476.725390769805</v>
      </c>
      <c r="AX357">
        <f t="shared" si="304"/>
        <v>-10516.336565976788</v>
      </c>
      <c r="AY357">
        <f t="shared" si="312"/>
        <v>-0.83734997092740859</v>
      </c>
      <c r="BA357">
        <f t="shared" si="289"/>
        <v>5.2461678424561438</v>
      </c>
      <c r="BB357">
        <f t="shared" si="305"/>
        <v>14.396843620193343</v>
      </c>
      <c r="BC357">
        <f t="shared" si="306"/>
        <v>-1.3475112382569214</v>
      </c>
      <c r="BD357">
        <f t="shared" si="290"/>
        <v>-257.20670688679064</v>
      </c>
      <c r="BF357">
        <f t="shared" si="291"/>
        <v>-48.991510426601231</v>
      </c>
      <c r="BG357">
        <f t="shared" si="292"/>
        <v>-225.83133281740152</v>
      </c>
      <c r="BH357">
        <f t="shared" si="307"/>
        <v>-45.831332817401517</v>
      </c>
      <c r="BI357">
        <f t="shared" si="308"/>
        <v>-45.831332817401517</v>
      </c>
      <c r="BJ357">
        <f t="shared" si="293"/>
        <v>0</v>
      </c>
      <c r="BK357">
        <f t="shared" si="309"/>
        <v>0</v>
      </c>
      <c r="BM357">
        <f t="shared" si="310"/>
        <v>-63.388354046794575</v>
      </c>
      <c r="BN357">
        <f t="shared" si="294"/>
        <v>-148.62462593061088</v>
      </c>
      <c r="BQ357" s="56">
        <f t="shared" si="311"/>
        <v>31.298804420478476</v>
      </c>
      <c r="BR357" s="59"/>
      <c r="BS357" s="59"/>
      <c r="BT357" s="59">
        <v>295120.92300000001</v>
      </c>
      <c r="BU357" s="59">
        <v>14.946199999999999</v>
      </c>
      <c r="BV357" s="59">
        <v>-181.99</v>
      </c>
      <c r="BW357" s="61"/>
      <c r="BY357" s="59"/>
      <c r="BZ357" s="59"/>
      <c r="CA357" s="59"/>
      <c r="CC357" s="59"/>
    </row>
    <row r="358" spans="1:81" x14ac:dyDescent="0.25">
      <c r="A358">
        <f t="shared" si="263"/>
        <v>720000</v>
      </c>
      <c r="B358">
        <f t="shared" si="295"/>
        <v>720</v>
      </c>
      <c r="C358">
        <f t="shared" si="264"/>
        <v>1.1717447555362712</v>
      </c>
      <c r="D358">
        <f t="shared" si="265"/>
        <v>0.54826867568992343</v>
      </c>
      <c r="F358">
        <f t="shared" si="266"/>
        <v>3.8055978657669804E-5</v>
      </c>
      <c r="G358">
        <f t="shared" si="267"/>
        <v>2.4128573059952448E-3</v>
      </c>
      <c r="H358">
        <f t="shared" si="268"/>
        <v>-3.139179792694005</v>
      </c>
      <c r="J358">
        <f t="shared" si="269"/>
        <v>15</v>
      </c>
      <c r="M358">
        <f t="shared" si="270"/>
        <v>3.7078725899869444E-3</v>
      </c>
      <c r="N358">
        <f t="shared" si="271"/>
        <v>-1.5707963250000001</v>
      </c>
      <c r="O358">
        <f t="shared" si="272"/>
        <v>194.07760385252061</v>
      </c>
      <c r="P358">
        <f t="shared" si="273"/>
        <v>1.5656437259535538</v>
      </c>
      <c r="Q358">
        <f t="shared" si="274"/>
        <v>183.82660504035823</v>
      </c>
      <c r="R358">
        <f t="shared" si="275"/>
        <v>1.5653563909817549</v>
      </c>
      <c r="S358">
        <f t="shared" si="276"/>
        <v>0.20905624705415032</v>
      </c>
      <c r="T358">
        <f t="shared" si="277"/>
        <v>-1.3601865444328824</v>
      </c>
      <c r="U358">
        <f t="shared" si="278"/>
        <v>0.81801168826424153</v>
      </c>
      <c r="V358">
        <f t="shared" si="279"/>
        <v>-0.61285057499328588</v>
      </c>
      <c r="X358">
        <f t="shared" si="296"/>
        <v>-36.402431561281588</v>
      </c>
      <c r="Y358">
        <f t="shared" si="280"/>
        <v>-172.10187960208316</v>
      </c>
      <c r="Z358">
        <f t="shared" si="297"/>
        <v>7.8981203979168413</v>
      </c>
      <c r="AC358">
        <v>1</v>
      </c>
      <c r="AD358">
        <f t="shared" si="281"/>
        <v>194.07502754640001</v>
      </c>
      <c r="AE358">
        <f t="shared" si="282"/>
        <v>-1.0535696871926133E-2</v>
      </c>
      <c r="AF358">
        <f t="shared" si="283"/>
        <v>1.4983134993792E-2</v>
      </c>
      <c r="AG358">
        <f t="shared" si="298"/>
        <v>8635.9395603714329</v>
      </c>
      <c r="AH358">
        <f t="shared" si="299"/>
        <v>-6139.2786923738649</v>
      </c>
      <c r="AJ358">
        <f t="shared" si="284"/>
        <v>18000</v>
      </c>
      <c r="AK358">
        <f t="shared" si="285"/>
        <v>84198.704258591999</v>
      </c>
      <c r="AL358">
        <v>1</v>
      </c>
      <c r="AM358">
        <f t="shared" si="286"/>
        <v>183.82388506574401</v>
      </c>
      <c r="AN358">
        <f t="shared" si="300"/>
        <v>458.55917734463611</v>
      </c>
      <c r="AO358">
        <f t="shared" si="301"/>
        <v>-95.425253450506318</v>
      </c>
      <c r="AQ358">
        <f t="shared" si="287"/>
        <v>4.822528538518259E-3</v>
      </c>
      <c r="AR358">
        <f t="shared" si="288"/>
        <v>-6.944441095466293</v>
      </c>
      <c r="AT358">
        <f t="shared" si="313"/>
        <v>-42592.212182854819</v>
      </c>
      <c r="AU358">
        <f t="shared" si="314"/>
        <v>-60001.380427706383</v>
      </c>
      <c r="AV358">
        <f t="shared" si="302"/>
        <v>-2.1881050582967134</v>
      </c>
      <c r="AW358">
        <f t="shared" si="303"/>
        <v>9441.6227810554501</v>
      </c>
      <c r="AX358">
        <f t="shared" si="304"/>
        <v>-10506.339528825467</v>
      </c>
      <c r="AY358">
        <f t="shared" si="312"/>
        <v>-0.83872227639211505</v>
      </c>
      <c r="BA358">
        <f t="shared" si="289"/>
        <v>5.2091679262983526</v>
      </c>
      <c r="BB358">
        <f t="shared" si="305"/>
        <v>14.335367157443448</v>
      </c>
      <c r="BC358">
        <f t="shared" si="306"/>
        <v>-1.3493827819045983</v>
      </c>
      <c r="BD358">
        <f t="shared" si="290"/>
        <v>-257.31393843909956</v>
      </c>
      <c r="BF358">
        <f t="shared" si="291"/>
        <v>-49.157689396513987</v>
      </c>
      <c r="BG358">
        <f t="shared" si="292"/>
        <v>-225.76221070658613</v>
      </c>
      <c r="BH358">
        <f t="shared" si="307"/>
        <v>-45.762210706586131</v>
      </c>
      <c r="BI358">
        <f t="shared" si="308"/>
        <v>-45.762210706586131</v>
      </c>
      <c r="BJ358">
        <f t="shared" si="293"/>
        <v>0</v>
      </c>
      <c r="BK358">
        <f t="shared" si="309"/>
        <v>0</v>
      </c>
      <c r="BM358">
        <f t="shared" si="310"/>
        <v>-63.49305655395743</v>
      </c>
      <c r="BN358">
        <f t="shared" si="294"/>
        <v>-148.44827226748657</v>
      </c>
      <c r="BQ358" s="56">
        <f t="shared" si="311"/>
        <v>31.237327957728589</v>
      </c>
      <c r="BR358" s="59"/>
      <c r="BS358" s="59"/>
      <c r="BT358" s="59">
        <v>301995.17200000002</v>
      </c>
      <c r="BU358" s="59">
        <v>15.1762</v>
      </c>
      <c r="BV358" s="59">
        <v>-183.36099999999999</v>
      </c>
      <c r="BW358" s="61"/>
      <c r="BY358" s="59"/>
      <c r="BZ358" s="59"/>
      <c r="CA358" s="59"/>
      <c r="CC358" s="59"/>
    </row>
    <row r="359" spans="1:81" x14ac:dyDescent="0.25">
      <c r="A359">
        <f t="shared" si="263"/>
        <v>725000</v>
      </c>
      <c r="B359">
        <f t="shared" si="295"/>
        <v>725</v>
      </c>
      <c r="C359">
        <f t="shared" si="264"/>
        <v>1.1739608670764714</v>
      </c>
      <c r="D359">
        <f t="shared" si="265"/>
        <v>0.55135184724099962</v>
      </c>
      <c r="F359">
        <f t="shared" si="266"/>
        <v>3.7532860048290959E-5</v>
      </c>
      <c r="G359">
        <f t="shared" si="267"/>
        <v>2.3962156917467646E-3</v>
      </c>
      <c r="H359">
        <f t="shared" si="268"/>
        <v>-3.1391964343082535</v>
      </c>
      <c r="J359">
        <f t="shared" si="269"/>
        <v>15</v>
      </c>
      <c r="M359">
        <f t="shared" si="270"/>
        <v>3.6823010548835858E-3</v>
      </c>
      <c r="N359">
        <f t="shared" si="271"/>
        <v>-1.5707963250000001</v>
      </c>
      <c r="O359">
        <f t="shared" si="272"/>
        <v>195.4253293319756</v>
      </c>
      <c r="P359">
        <f t="shared" si="273"/>
        <v>1.5656792605093088</v>
      </c>
      <c r="Q359">
        <f t="shared" si="274"/>
        <v>185.10314103958831</v>
      </c>
      <c r="R359">
        <f t="shared" si="275"/>
        <v>1.5653939070479557</v>
      </c>
      <c r="S359">
        <f t="shared" si="276"/>
        <v>0.20767686933376747</v>
      </c>
      <c r="T359">
        <f t="shared" si="277"/>
        <v>-1.361596877968752</v>
      </c>
      <c r="U359">
        <f t="shared" si="278"/>
        <v>0.81613218214707584</v>
      </c>
      <c r="V359">
        <f t="shared" si="279"/>
        <v>-0.61611058448301437</v>
      </c>
      <c r="X359">
        <f t="shared" si="296"/>
        <v>-36.523617921526338</v>
      </c>
      <c r="Y359">
        <f t="shared" si="280"/>
        <v>-172.18958583096889</v>
      </c>
      <c r="Z359">
        <f t="shared" si="297"/>
        <v>7.8104141690311053</v>
      </c>
      <c r="AC359">
        <v>1</v>
      </c>
      <c r="AD359">
        <f t="shared" si="281"/>
        <v>195.42277079325001</v>
      </c>
      <c r="AE359">
        <f t="shared" si="282"/>
        <v>-1.0682534082380736E-2</v>
      </c>
      <c r="AF359">
        <f t="shared" si="283"/>
        <v>1.5087184542359999E-2</v>
      </c>
      <c r="AG359">
        <f t="shared" si="298"/>
        <v>8596.3003852259935</v>
      </c>
      <c r="AH359">
        <f t="shared" si="299"/>
        <v>-6152.9221430891603</v>
      </c>
      <c r="AJ359">
        <f t="shared" si="284"/>
        <v>18000</v>
      </c>
      <c r="AK359">
        <f t="shared" si="285"/>
        <v>84783.417482610006</v>
      </c>
      <c r="AL359">
        <v>1</v>
      </c>
      <c r="AM359">
        <f t="shared" si="286"/>
        <v>185.10043982314502</v>
      </c>
      <c r="AN359">
        <f t="shared" si="300"/>
        <v>458.55204207245333</v>
      </c>
      <c r="AO359">
        <f t="shared" si="301"/>
        <v>-94.767186802406272</v>
      </c>
      <c r="AQ359">
        <f t="shared" si="287"/>
        <v>4.7562403061877263E-3</v>
      </c>
      <c r="AR359">
        <f t="shared" si="288"/>
        <v>-6.8965484439722022</v>
      </c>
      <c r="AT359">
        <f t="shared" si="313"/>
        <v>-42393.039561427351</v>
      </c>
      <c r="AU359">
        <f t="shared" si="314"/>
        <v>-59314.066821945766</v>
      </c>
      <c r="AV359">
        <f t="shared" si="302"/>
        <v>-2.191334322500424</v>
      </c>
      <c r="AW359">
        <f t="shared" si="303"/>
        <v>9406.4287696088213</v>
      </c>
      <c r="AX359">
        <f t="shared" si="304"/>
        <v>-10496.340988801543</v>
      </c>
      <c r="AY359">
        <f t="shared" si="312"/>
        <v>-0.8401053569682132</v>
      </c>
      <c r="BA359">
        <f t="shared" si="289"/>
        <v>5.1726882792928759</v>
      </c>
      <c r="BB359">
        <f t="shared" si="305"/>
        <v>14.274326147875973</v>
      </c>
      <c r="BC359">
        <f t="shared" si="306"/>
        <v>-1.3512289655322109</v>
      </c>
      <c r="BD359">
        <f t="shared" si="290"/>
        <v>-257.4197169692888</v>
      </c>
      <c r="BF359">
        <f t="shared" si="291"/>
        <v>-49.32254307569071</v>
      </c>
      <c r="BG359">
        <f t="shared" si="292"/>
        <v>-225.69229001344385</v>
      </c>
      <c r="BH359">
        <f t="shared" si="307"/>
        <v>-45.692290013443852</v>
      </c>
      <c r="BI359">
        <f t="shared" si="308"/>
        <v>-45.692290013443852</v>
      </c>
      <c r="BJ359">
        <f t="shared" si="293"/>
        <v>0</v>
      </c>
      <c r="BK359">
        <f t="shared" si="309"/>
        <v>0</v>
      </c>
      <c r="BM359">
        <f t="shared" si="310"/>
        <v>-63.596869223566685</v>
      </c>
      <c r="BN359">
        <f t="shared" si="294"/>
        <v>-148.27257304415508</v>
      </c>
      <c r="BQ359" s="56">
        <f t="shared" si="311"/>
        <v>31.176286948161113</v>
      </c>
      <c r="BR359" s="59"/>
      <c r="BS359" s="59"/>
      <c r="BT359" s="59">
        <v>309029.54300000001</v>
      </c>
      <c r="BU359" s="59">
        <v>15.284700000000001</v>
      </c>
      <c r="BV359" s="59">
        <v>-186.209</v>
      </c>
      <c r="BW359" s="61"/>
      <c r="BY359" s="59"/>
      <c r="BZ359" s="59"/>
      <c r="CA359" s="59"/>
      <c r="CC359" s="59"/>
    </row>
    <row r="360" spans="1:81" x14ac:dyDescent="0.25">
      <c r="A360">
        <f t="shared" si="263"/>
        <v>730000</v>
      </c>
      <c r="B360">
        <f t="shared" si="295"/>
        <v>730</v>
      </c>
      <c r="C360">
        <f t="shared" si="264"/>
        <v>1.1761880961117932</v>
      </c>
      <c r="D360">
        <f t="shared" si="265"/>
        <v>0.55442337131454822</v>
      </c>
      <c r="F360">
        <f t="shared" si="266"/>
        <v>3.7020454099775145E-5</v>
      </c>
      <c r="G360">
        <f t="shared" si="267"/>
        <v>2.3798020696096864E-3</v>
      </c>
      <c r="H360">
        <f t="shared" si="268"/>
        <v>-3.1392128479303905</v>
      </c>
      <c r="J360">
        <f t="shared" si="269"/>
        <v>15</v>
      </c>
      <c r="M360">
        <f t="shared" si="270"/>
        <v>3.6570798147816438E-3</v>
      </c>
      <c r="N360">
        <f t="shared" si="271"/>
        <v>-1.5707963250000001</v>
      </c>
      <c r="O360">
        <f t="shared" si="272"/>
        <v>196.77305505481485</v>
      </c>
      <c r="P360">
        <f t="shared" si="273"/>
        <v>1.5657143083029861</v>
      </c>
      <c r="Q360">
        <f t="shared" si="274"/>
        <v>186.37967729577403</v>
      </c>
      <c r="R360">
        <f t="shared" si="275"/>
        <v>1.565430909210338</v>
      </c>
      <c r="S360">
        <f t="shared" si="276"/>
        <v>0.20631517255652046</v>
      </c>
      <c r="T360">
        <f t="shared" si="277"/>
        <v>-1.362988719678351</v>
      </c>
      <c r="U360">
        <f t="shared" si="278"/>
        <v>0.81425269900425534</v>
      </c>
      <c r="V360">
        <f t="shared" si="279"/>
        <v>-0.61935561327754207</v>
      </c>
      <c r="X360">
        <f t="shared" si="296"/>
        <v>-36.644024454330307</v>
      </c>
      <c r="Y360">
        <f t="shared" si="280"/>
        <v>-172.27608584789439</v>
      </c>
      <c r="Z360">
        <f t="shared" si="297"/>
        <v>7.7239141521056069</v>
      </c>
      <c r="AC360">
        <v>1</v>
      </c>
      <c r="AD360">
        <f t="shared" si="281"/>
        <v>196.77051404010001</v>
      </c>
      <c r="AE360">
        <f t="shared" si="282"/>
        <v>-1.0830387467302152E-2</v>
      </c>
      <c r="AF360">
        <f t="shared" si="283"/>
        <v>1.5191234090927999E-2</v>
      </c>
      <c r="AG360">
        <f t="shared" ref="AG360:AG423" si="315">AC360*AE360/(AE360^2+AF360^2)+AD360*AF360/(AE360^2+AF360^2)</f>
        <v>8556.7528747208671</v>
      </c>
      <c r="AH360">
        <f t="shared" ref="AH360:AH423" si="316">AD360*AE360/(AE360^2+AF360^2)-AC360*AF360/(AE360^2+AF360^2)</f>
        <v>-6166.2501238868263</v>
      </c>
      <c r="AJ360">
        <f t="shared" si="284"/>
        <v>18000</v>
      </c>
      <c r="AK360">
        <f t="shared" si="285"/>
        <v>85368.130706628013</v>
      </c>
      <c r="AL360">
        <v>1</v>
      </c>
      <c r="AM360">
        <f t="shared" si="286"/>
        <v>186.37699458054601</v>
      </c>
      <c r="AN360">
        <f t="shared" ref="AN360:AN423" si="317">AJ360*AL360/(AL360^2+AM360^2)+AK360*AM360/(AL360^2+AM360^2)</f>
        <v>458.54505290713888</v>
      </c>
      <c r="AO360">
        <f t="shared" ref="AO360:AO423" si="318">AK360*AL360/(AL360^2+AM360^2)-AJ360*AM360/(AL360^2+AM360^2)</f>
        <v>-94.118133981992187</v>
      </c>
      <c r="AQ360">
        <f t="shared" si="287"/>
        <v>4.691309489909228E-3</v>
      </c>
      <c r="AR360">
        <f t="shared" si="288"/>
        <v>-6.849311855267473</v>
      </c>
      <c r="AT360">
        <f t="shared" si="313"/>
        <v>-42194.427700118576</v>
      </c>
      <c r="AU360">
        <f t="shared" si="314"/>
        <v>-58636.796695143013</v>
      </c>
      <c r="AV360">
        <f t="shared" si="302"/>
        <v>-2.1945490271646073</v>
      </c>
      <c r="AW360">
        <f t="shared" si="303"/>
        <v>9371.151403549462</v>
      </c>
      <c r="AX360">
        <f t="shared" si="304"/>
        <v>-10486.33696930419</v>
      </c>
      <c r="AY360">
        <f t="shared" si="312"/>
        <v>-0.84149868174855236</v>
      </c>
      <c r="BA360">
        <f t="shared" si="289"/>
        <v>5.1367179869350981</v>
      </c>
      <c r="BB360">
        <f t="shared" si="305"/>
        <v>14.213714459980524</v>
      </c>
      <c r="BC360">
        <f t="shared" si="306"/>
        <v>-1.353050345416055</v>
      </c>
      <c r="BD360">
        <f t="shared" si="290"/>
        <v>-257.52407434964232</v>
      </c>
      <c r="BF360">
        <f t="shared" si="291"/>
        <v>-49.486089933000329</v>
      </c>
      <c r="BG360">
        <f t="shared" si="292"/>
        <v>-225.62160245878516</v>
      </c>
      <c r="BH360">
        <f t="shared" si="307"/>
        <v>-45.621602458785162</v>
      </c>
      <c r="BI360">
        <f t="shared" si="308"/>
        <v>-45.621602458785162</v>
      </c>
      <c r="BJ360">
        <f t="shared" si="293"/>
        <v>0</v>
      </c>
      <c r="BK360">
        <f t="shared" si="309"/>
        <v>0</v>
      </c>
      <c r="BM360">
        <f t="shared" si="310"/>
        <v>-63.699804392980852</v>
      </c>
      <c r="BN360">
        <f t="shared" si="294"/>
        <v>-148.09752810914284</v>
      </c>
      <c r="BQ360" s="56">
        <f t="shared" si="311"/>
        <v>31.115675260265661</v>
      </c>
      <c r="BR360" s="59"/>
      <c r="BS360" s="59"/>
      <c r="BT360" s="59">
        <v>316227.766</v>
      </c>
      <c r="BU360" s="59">
        <v>15.331799999999999</v>
      </c>
      <c r="BV360" s="59">
        <v>-189.75</v>
      </c>
      <c r="BW360" s="61"/>
      <c r="BY360" s="59"/>
      <c r="BZ360" s="59"/>
      <c r="CA360" s="59"/>
      <c r="CC360" s="59"/>
    </row>
    <row r="361" spans="1:81" x14ac:dyDescent="0.25">
      <c r="A361">
        <f t="shared" si="263"/>
        <v>735000</v>
      </c>
      <c r="B361">
        <f t="shared" si="295"/>
        <v>735</v>
      </c>
      <c r="C361">
        <f t="shared" si="264"/>
        <v>1.1784263796059511</v>
      </c>
      <c r="D361">
        <f t="shared" si="265"/>
        <v>0.5574832561611065</v>
      </c>
      <c r="F361">
        <f t="shared" si="266"/>
        <v>3.6518470288065223E-5</v>
      </c>
      <c r="G361">
        <f t="shared" si="267"/>
        <v>2.3636117860159752E-3</v>
      </c>
      <c r="H361">
        <f t="shared" si="268"/>
        <v>-3.1392290382139842</v>
      </c>
      <c r="J361">
        <f t="shared" si="269"/>
        <v>15</v>
      </c>
      <c r="M361">
        <f t="shared" si="270"/>
        <v>3.6322017208035369E-3</v>
      </c>
      <c r="N361">
        <f t="shared" si="271"/>
        <v>-1.5707963250000001</v>
      </c>
      <c r="O361">
        <f t="shared" si="272"/>
        <v>198.12078101607142</v>
      </c>
      <c r="P361">
        <f t="shared" si="273"/>
        <v>1.5657488792681651</v>
      </c>
      <c r="Q361">
        <f t="shared" si="274"/>
        <v>187.65621380367159</v>
      </c>
      <c r="R361">
        <f t="shared" si="275"/>
        <v>1.5654674079563342</v>
      </c>
      <c r="S361">
        <f t="shared" si="276"/>
        <v>0.20497082687188778</v>
      </c>
      <c r="T361">
        <f t="shared" si="277"/>
        <v>-1.3643624255928408</v>
      </c>
      <c r="U361">
        <f t="shared" si="278"/>
        <v>0.81237335701497093</v>
      </c>
      <c r="V361">
        <f t="shared" si="279"/>
        <v>-0.62258569652945683</v>
      </c>
      <c r="X361">
        <f t="shared" si="296"/>
        <v>-36.763660846722374</v>
      </c>
      <c r="Y361">
        <f t="shared" si="280"/>
        <v>-172.36140068990855</v>
      </c>
      <c r="Z361">
        <f t="shared" si="297"/>
        <v>7.6385993100914504</v>
      </c>
      <c r="AC361">
        <v>1</v>
      </c>
      <c r="AD361">
        <f t="shared" si="281"/>
        <v>198.11825728695001</v>
      </c>
      <c r="AE361">
        <f t="shared" si="282"/>
        <v>-1.0979257026690383E-2</v>
      </c>
      <c r="AF361">
        <f t="shared" si="283"/>
        <v>1.5295283639495999E-2</v>
      </c>
      <c r="AG361">
        <f t="shared" si="315"/>
        <v>8517.2995036032335</v>
      </c>
      <c r="AH361">
        <f t="shared" si="316"/>
        <v>-6179.26562533996</v>
      </c>
      <c r="AJ361">
        <f t="shared" si="284"/>
        <v>18000</v>
      </c>
      <c r="AK361">
        <f t="shared" si="285"/>
        <v>85952.843930646006</v>
      </c>
      <c r="AL361">
        <v>1</v>
      </c>
      <c r="AM361">
        <f t="shared" si="286"/>
        <v>187.653549337947</v>
      </c>
      <c r="AN361">
        <f t="shared" si="317"/>
        <v>458.53820588673818</v>
      </c>
      <c r="AO361">
        <f t="shared" si="318"/>
        <v>-93.477911054710091</v>
      </c>
      <c r="AQ361">
        <f t="shared" si="287"/>
        <v>4.627699279143283E-3</v>
      </c>
      <c r="AR361">
        <f t="shared" si="288"/>
        <v>-6.8027179403406262</v>
      </c>
      <c r="AT361">
        <f t="shared" si="313"/>
        <v>-41996.385626857213</v>
      </c>
      <c r="AU361">
        <f t="shared" si="314"/>
        <v>-57969.381919496045</v>
      </c>
      <c r="AV361">
        <f t="shared" si="302"/>
        <v>-2.1977491988471778</v>
      </c>
      <c r="AW361">
        <f t="shared" si="303"/>
        <v>9335.7984822431408</v>
      </c>
      <c r="AX361">
        <f t="shared" si="304"/>
        <v>-10476.323702014568</v>
      </c>
      <c r="AY361">
        <f t="shared" si="312"/>
        <v>-0.84290173731412721</v>
      </c>
      <c r="BA361">
        <f t="shared" si="289"/>
        <v>5.1012464373038569</v>
      </c>
      <c r="BB361">
        <f t="shared" si="305"/>
        <v>14.153526089427809</v>
      </c>
      <c r="BC361">
        <f t="shared" si="306"/>
        <v>-1.3548474615330506</v>
      </c>
      <c r="BD361">
        <f t="shared" si="290"/>
        <v>-257.62704151855877</v>
      </c>
      <c r="BF361">
        <f t="shared" si="291"/>
        <v>-49.648348068957667</v>
      </c>
      <c r="BG361">
        <f t="shared" si="292"/>
        <v>-225.55017877491758</v>
      </c>
      <c r="BH361">
        <f t="shared" si="307"/>
        <v>-45.550178774917583</v>
      </c>
      <c r="BI361">
        <f t="shared" si="308"/>
        <v>-45.550178774917583</v>
      </c>
      <c r="BJ361">
        <f t="shared" si="293"/>
        <v>0</v>
      </c>
      <c r="BK361">
        <f t="shared" si="309"/>
        <v>0</v>
      </c>
      <c r="BM361">
        <f t="shared" si="310"/>
        <v>-63.80187415838548</v>
      </c>
      <c r="BN361">
        <f t="shared" si="294"/>
        <v>-147.92313725635879</v>
      </c>
      <c r="BQ361" s="56">
        <f t="shared" si="311"/>
        <v>31.055486889712945</v>
      </c>
      <c r="BR361" s="59"/>
      <c r="BS361" s="59"/>
      <c r="BT361" s="59">
        <v>323593.65700000001</v>
      </c>
      <c r="BU361" s="59">
        <v>15.3347</v>
      </c>
      <c r="BV361" s="59">
        <v>-192.398</v>
      </c>
      <c r="BW361" s="61"/>
      <c r="BY361" s="59"/>
      <c r="BZ361" s="59"/>
      <c r="CA361" s="59"/>
      <c r="CC361" s="59"/>
    </row>
    <row r="362" spans="1:81" x14ac:dyDescent="0.25">
      <c r="A362">
        <f t="shared" si="263"/>
        <v>740000</v>
      </c>
      <c r="B362">
        <f t="shared" si="295"/>
        <v>740</v>
      </c>
      <c r="C362">
        <f t="shared" si="264"/>
        <v>1.1806756546889807</v>
      </c>
      <c r="D362">
        <f t="shared" si="265"/>
        <v>0.56053151084061148</v>
      </c>
      <c r="F362">
        <f t="shared" si="266"/>
        <v>3.6026627871507584E-5</v>
      </c>
      <c r="G362">
        <f t="shared" si="267"/>
        <v>2.3476403131920411E-3</v>
      </c>
      <c r="H362">
        <f t="shared" si="268"/>
        <v>-3.1392450096868081</v>
      </c>
      <c r="J362">
        <f t="shared" si="269"/>
        <v>15</v>
      </c>
      <c r="M362">
        <f t="shared" si="270"/>
        <v>3.6076598172845946E-3</v>
      </c>
      <c r="N362">
        <f t="shared" si="271"/>
        <v>-1.5707963250000001</v>
      </c>
      <c r="O362">
        <f t="shared" si="272"/>
        <v>199.46850721091263</v>
      </c>
      <c r="P362">
        <f t="shared" si="273"/>
        <v>1.5657829830699608</v>
      </c>
      <c r="Q362">
        <f t="shared" si="274"/>
        <v>188.93275055817884</v>
      </c>
      <c r="R362">
        <f t="shared" si="275"/>
        <v>1.565503413489945</v>
      </c>
      <c r="S362">
        <f t="shared" si="276"/>
        <v>0.20364351037339617</v>
      </c>
      <c r="T362">
        <f t="shared" si="277"/>
        <v>-1.3657183427991089</v>
      </c>
      <c r="U362">
        <f t="shared" si="278"/>
        <v>0.8104942724444516</v>
      </c>
      <c r="V362">
        <f t="shared" si="279"/>
        <v>-0.6258008703157617</v>
      </c>
      <c r="X362">
        <f t="shared" si="296"/>
        <v>-36.882536604952577</v>
      </c>
      <c r="Y362">
        <f t="shared" si="280"/>
        <v>-172.44555091259491</v>
      </c>
      <c r="Z362">
        <f t="shared" si="297"/>
        <v>7.5544490874050894</v>
      </c>
      <c r="AC362">
        <v>1</v>
      </c>
      <c r="AD362">
        <f t="shared" si="281"/>
        <v>199.46600053380001</v>
      </c>
      <c r="AE362">
        <f t="shared" si="282"/>
        <v>-1.1129142760545429E-2</v>
      </c>
      <c r="AF362">
        <f t="shared" si="283"/>
        <v>1.5399333188064E-2</v>
      </c>
      <c r="AG362">
        <f t="shared" si="315"/>
        <v>8477.9426836491748</v>
      </c>
      <c r="AH362">
        <f t="shared" si="316"/>
        <v>-6191.9716443281241</v>
      </c>
      <c r="AJ362">
        <f t="shared" si="284"/>
        <v>18000</v>
      </c>
      <c r="AK362">
        <f t="shared" si="285"/>
        <v>86537.557154663999</v>
      </c>
      <c r="AL362">
        <v>1</v>
      </c>
      <c r="AM362">
        <f t="shared" si="286"/>
        <v>188.93010409534799</v>
      </c>
      <c r="AN362">
        <f t="shared" si="317"/>
        <v>458.53149718268531</v>
      </c>
      <c r="AO362">
        <f t="shared" si="318"/>
        <v>-92.846339056504206</v>
      </c>
      <c r="AQ362">
        <f t="shared" si="287"/>
        <v>4.5653741027327872E-3</v>
      </c>
      <c r="AR362">
        <f t="shared" si="288"/>
        <v>-6.7567536720445256</v>
      </c>
      <c r="AT362">
        <f t="shared" si="313"/>
        <v>-41798.922165037249</v>
      </c>
      <c r="AU362">
        <f t="shared" si="314"/>
        <v>-57311.639026119446</v>
      </c>
      <c r="AV362">
        <f t="shared" si="302"/>
        <v>-2.2009348652627425</v>
      </c>
      <c r="AW362">
        <f t="shared" si="303"/>
        <v>9300.3775651938686</v>
      </c>
      <c r="AX362">
        <f t="shared" si="304"/>
        <v>-10466.297618773195</v>
      </c>
      <c r="AY362">
        <f t="shared" si="312"/>
        <v>-0.84431402710586501</v>
      </c>
      <c r="BA362">
        <f t="shared" si="289"/>
        <v>5.0662633107080728</v>
      </c>
      <c r="BB362">
        <f t="shared" si="305"/>
        <v>14.093755155659078</v>
      </c>
      <c r="BC362">
        <f t="shared" si="306"/>
        <v>-1.3566208381568776</v>
      </c>
      <c r="BD362">
        <f t="shared" si="290"/>
        <v>-257.72864851470729</v>
      </c>
      <c r="BF362">
        <f t="shared" si="291"/>
        <v>-49.809335225485867</v>
      </c>
      <c r="BG362">
        <f t="shared" si="292"/>
        <v>-225.47804874083639</v>
      </c>
      <c r="BH362">
        <f t="shared" si="307"/>
        <v>-45.478048740836385</v>
      </c>
      <c r="BI362">
        <f t="shared" si="308"/>
        <v>-45.478048740836385</v>
      </c>
      <c r="BJ362">
        <f t="shared" si="293"/>
        <v>0</v>
      </c>
      <c r="BK362">
        <f t="shared" si="309"/>
        <v>0</v>
      </c>
      <c r="BM362">
        <f t="shared" si="310"/>
        <v>-63.903090381144949</v>
      </c>
      <c r="BN362">
        <f t="shared" si="294"/>
        <v>-147.74940022612907</v>
      </c>
      <c r="BQ362" s="56">
        <f t="shared" si="311"/>
        <v>30.995715955944213</v>
      </c>
      <c r="BR362" s="59"/>
      <c r="BS362" s="59"/>
      <c r="BT362" s="59">
        <v>331131.12099999998</v>
      </c>
      <c r="BU362" s="59">
        <v>15.331</v>
      </c>
      <c r="BV362" s="59">
        <v>-194.60300000000001</v>
      </c>
      <c r="BW362" s="61"/>
      <c r="BY362" s="59"/>
      <c r="BZ362" s="59"/>
      <c r="CA362" s="59"/>
      <c r="CC362" s="59"/>
    </row>
    <row r="363" spans="1:81" x14ac:dyDescent="0.25">
      <c r="A363">
        <f t="shared" si="263"/>
        <v>745000</v>
      </c>
      <c r="B363">
        <f t="shared" si="295"/>
        <v>745</v>
      </c>
      <c r="C363">
        <f t="shared" si="264"/>
        <v>1.1829358586615242</v>
      </c>
      <c r="D363">
        <f t="shared" si="265"/>
        <v>0.56356814520878262</v>
      </c>
      <c r="F363">
        <f t="shared" si="266"/>
        <v>3.5544655498226557E-5</v>
      </c>
      <c r="G363">
        <f t="shared" si="267"/>
        <v>2.3318832449365549E-3</v>
      </c>
      <c r="H363">
        <f t="shared" si="268"/>
        <v>-3.1392607667550636</v>
      </c>
      <c r="J363">
        <f t="shared" si="269"/>
        <v>15</v>
      </c>
      <c r="M363">
        <f t="shared" si="270"/>
        <v>3.5834473352893957E-3</v>
      </c>
      <c r="N363">
        <f t="shared" si="271"/>
        <v>-1.5707963250000001</v>
      </c>
      <c r="O363">
        <f t="shared" si="272"/>
        <v>200.81623363463561</v>
      </c>
      <c r="P363">
        <f t="shared" si="273"/>
        <v>1.5658166291140332</v>
      </c>
      <c r="Q363">
        <f t="shared" si="274"/>
        <v>190.20928755433064</v>
      </c>
      <c r="R363">
        <f t="shared" si="275"/>
        <v>1.5655389357412517</v>
      </c>
      <c r="S363">
        <f t="shared" si="276"/>
        <v>0.20233290886789948</v>
      </c>
      <c r="T363">
        <f t="shared" si="277"/>
        <v>-1.3670568097144509</v>
      </c>
      <c r="U363">
        <f t="shared" si="278"/>
        <v>0.80861555965431686</v>
      </c>
      <c r="V363">
        <f t="shared" si="279"/>
        <v>-0.6290011716141799</v>
      </c>
      <c r="X363">
        <f t="shared" si="296"/>
        <v>-37.000661058965015</v>
      </c>
      <c r="Y363">
        <f t="shared" si="280"/>
        <v>-172.52855660441298</v>
      </c>
      <c r="Z363">
        <f t="shared" si="297"/>
        <v>7.4714433955870163</v>
      </c>
      <c r="AC363">
        <v>1</v>
      </c>
      <c r="AD363">
        <f t="shared" si="281"/>
        <v>200.81374378065001</v>
      </c>
      <c r="AE363">
        <f t="shared" si="282"/>
        <v>-1.1280044668867287E-2</v>
      </c>
      <c r="AF363">
        <f t="shared" si="283"/>
        <v>1.5503382736632002E-2</v>
      </c>
      <c r="AG363">
        <f t="shared" si="315"/>
        <v>8438.6847643499605</v>
      </c>
      <c r="AH363">
        <f t="shared" si="316"/>
        <v>-6204.3711828824826</v>
      </c>
      <c r="AJ363">
        <f t="shared" si="284"/>
        <v>18000</v>
      </c>
      <c r="AK363">
        <f t="shared" si="285"/>
        <v>87122.270378682006</v>
      </c>
      <c r="AL363">
        <v>1</v>
      </c>
      <c r="AM363">
        <f t="shared" si="286"/>
        <v>190.206658852749</v>
      </c>
      <c r="AN363">
        <f t="shared" si="317"/>
        <v>458.52492309445017</v>
      </c>
      <c r="AO363">
        <f t="shared" si="318"/>
        <v>-92.223243827049799</v>
      </c>
      <c r="AQ363">
        <f t="shared" si="287"/>
        <v>4.50429957916329E-3</v>
      </c>
      <c r="AR363">
        <f t="shared" si="288"/>
        <v>-6.7114063729533022</v>
      </c>
      <c r="AT363">
        <f t="shared" si="313"/>
        <v>-41602.045932732559</v>
      </c>
      <c r="AU363">
        <f t="shared" si="314"/>
        <v>-56663.389053310297</v>
      </c>
      <c r="AV363">
        <f t="shared" si="302"/>
        <v>-2.2041060552511098</v>
      </c>
      <c r="AW363">
        <f t="shared" si="303"/>
        <v>9264.8959796140098</v>
      </c>
      <c r="AX363">
        <f t="shared" si="304"/>
        <v>-10456.25534376943</v>
      </c>
      <c r="AY363">
        <f t="shared" si="312"/>
        <v>-0.84573507082304911</v>
      </c>
      <c r="BA363">
        <f t="shared" si="289"/>
        <v>5.0317585697513136</v>
      </c>
      <c r="BB363">
        <f t="shared" si="305"/>
        <v>14.034395898584506</v>
      </c>
      <c r="BC363">
        <f t="shared" si="306"/>
        <v>-1.3583709844280607</v>
      </c>
      <c r="BD363">
        <f t="shared" si="290"/>
        <v>-257.82892450969126</v>
      </c>
      <c r="BF363">
        <f t="shared" si="291"/>
        <v>-49.96906879535652</v>
      </c>
      <c r="BG363">
        <f t="shared" si="292"/>
        <v>-225.40524121591048</v>
      </c>
      <c r="BH363">
        <f t="shared" si="307"/>
        <v>-45.405241215910479</v>
      </c>
      <c r="BI363">
        <f t="shared" si="308"/>
        <v>-45.405241215910479</v>
      </c>
      <c r="BJ363">
        <f t="shared" si="293"/>
        <v>0</v>
      </c>
      <c r="BK363">
        <f t="shared" si="309"/>
        <v>0</v>
      </c>
      <c r="BM363">
        <f t="shared" si="310"/>
        <v>-64.003464693941027</v>
      </c>
      <c r="BN363">
        <f t="shared" si="294"/>
        <v>-147.57631670621925</v>
      </c>
      <c r="BQ363" s="56">
        <f t="shared" si="311"/>
        <v>30.936356698869645</v>
      </c>
      <c r="BR363" s="59"/>
      <c r="BS363" s="59"/>
      <c r="BT363" s="59">
        <v>338844.15600000002</v>
      </c>
      <c r="BU363" s="59">
        <v>15.2844</v>
      </c>
      <c r="BV363" s="59">
        <v>-197.85300000000001</v>
      </c>
      <c r="BW363" s="61"/>
      <c r="BY363" s="59"/>
      <c r="BZ363" s="59"/>
      <c r="CA363" s="59"/>
      <c r="CC363" s="59"/>
    </row>
    <row r="364" spans="1:81" x14ac:dyDescent="0.25">
      <c r="A364">
        <f t="shared" ref="A364:A427" si="319">A363+5000</f>
        <v>750000</v>
      </c>
      <c r="B364">
        <f t="shared" si="295"/>
        <v>750</v>
      </c>
      <c r="C364">
        <f t="shared" si="264"/>
        <v>1.1852069289990086</v>
      </c>
      <c r="D364">
        <f t="shared" si="265"/>
        <v>0.56659316990355713</v>
      </c>
      <c r="F364">
        <f t="shared" si="266"/>
        <v>3.5072290831761511E-5</v>
      </c>
      <c r="G364">
        <f t="shared" si="267"/>
        <v>2.3163362925671979E-3</v>
      </c>
      <c r="H364">
        <f t="shared" si="268"/>
        <v>-3.1392763137074331</v>
      </c>
      <c r="J364">
        <f t="shared" si="269"/>
        <v>15</v>
      </c>
      <c r="M364">
        <f t="shared" si="270"/>
        <v>3.559557686387466E-3</v>
      </c>
      <c r="N364">
        <f t="shared" si="271"/>
        <v>-1.5707963250000001</v>
      </c>
      <c r="O364">
        <f t="shared" si="272"/>
        <v>202.1639602826628</v>
      </c>
      <c r="P364">
        <f t="shared" si="273"/>
        <v>1.5658498265552352</v>
      </c>
      <c r="Q364">
        <f t="shared" si="274"/>
        <v>191.48582478729421</v>
      </c>
      <c r="R364">
        <f t="shared" si="275"/>
        <v>1.5655739843755452</v>
      </c>
      <c r="S364">
        <f t="shared" si="276"/>
        <v>0.20103871565256845</v>
      </c>
      <c r="T364">
        <f t="shared" si="277"/>
        <v>-1.3683781563513668</v>
      </c>
      <c r="U364">
        <f t="shared" si="278"/>
        <v>0.8067373311134115</v>
      </c>
      <c r="V364">
        <f t="shared" si="279"/>
        <v>-0.63218663827971877</v>
      </c>
      <c r="X364">
        <f t="shared" si="296"/>
        <v>-37.118043366736352</v>
      </c>
      <c r="Y364">
        <f t="shared" si="280"/>
        <v>-172.61043740051804</v>
      </c>
      <c r="Z364">
        <f t="shared" si="297"/>
        <v>7.3895625994819625</v>
      </c>
      <c r="AC364">
        <v>1</v>
      </c>
      <c r="AD364">
        <f t="shared" si="281"/>
        <v>202.16148702749999</v>
      </c>
      <c r="AE364">
        <f t="shared" si="282"/>
        <v>-1.143196275165596E-2</v>
      </c>
      <c r="AF364">
        <f t="shared" si="283"/>
        <v>1.5607432285199998E-2</v>
      </c>
      <c r="AG364">
        <f t="shared" si="315"/>
        <v>8399.5280336085234</v>
      </c>
      <c r="AH364">
        <f t="shared" si="316"/>
        <v>-6216.4672470632095</v>
      </c>
      <c r="AJ364">
        <f t="shared" si="284"/>
        <v>18000</v>
      </c>
      <c r="AK364">
        <f t="shared" si="285"/>
        <v>87706.983602700013</v>
      </c>
      <c r="AL364">
        <v>1</v>
      </c>
      <c r="AM364">
        <f t="shared" si="286"/>
        <v>191.48321361014999</v>
      </c>
      <c r="AN364">
        <f t="shared" si="317"/>
        <v>458.51848004443411</v>
      </c>
      <c r="AO364">
        <f t="shared" si="318"/>
        <v>-91.608455849655428</v>
      </c>
      <c r="AQ364">
        <f t="shared" si="287"/>
        <v>4.4444424691366807E-3</v>
      </c>
      <c r="AR364">
        <f t="shared" si="288"/>
        <v>-6.6666637037050203</v>
      </c>
      <c r="AT364">
        <f t="shared" si="313"/>
        <v>-41405.765342154096</v>
      </c>
      <c r="AU364">
        <f t="shared" si="314"/>
        <v>-56024.457400951585</v>
      </c>
      <c r="AV364">
        <f t="shared" si="302"/>
        <v>-2.2072627987463758</v>
      </c>
      <c r="AW364">
        <f t="shared" si="303"/>
        <v>9229.3608276893519</v>
      </c>
      <c r="AX364">
        <f t="shared" si="304"/>
        <v>-10446.193686029734</v>
      </c>
      <c r="AY364">
        <f t="shared" si="312"/>
        <v>-0.84716440384705116</v>
      </c>
      <c r="BA364">
        <f t="shared" si="289"/>
        <v>4.9977224497950514</v>
      </c>
      <c r="BB364">
        <f t="shared" si="305"/>
        <v>13.975442675386567</v>
      </c>
      <c r="BC364">
        <f t="shared" si="306"/>
        <v>-1.3600983948993246</v>
      </c>
      <c r="BD364">
        <f t="shared" si="290"/>
        <v>-257.92789783929447</v>
      </c>
      <c r="BF364">
        <f t="shared" si="291"/>
        <v>-50.127565831320155</v>
      </c>
      <c r="BG364">
        <f t="shared" si="292"/>
        <v>-225.3317841721383</v>
      </c>
      <c r="BH364">
        <f t="shared" si="307"/>
        <v>-45.331784172138299</v>
      </c>
      <c r="BI364">
        <f t="shared" si="308"/>
        <v>-45.331784172138299</v>
      </c>
      <c r="BJ364">
        <f t="shared" si="293"/>
        <v>0</v>
      </c>
      <c r="BK364">
        <f t="shared" si="309"/>
        <v>0</v>
      </c>
      <c r="BM364">
        <f t="shared" si="310"/>
        <v>-64.103008506706715</v>
      </c>
      <c r="BN364">
        <f t="shared" si="294"/>
        <v>-147.40388633284383</v>
      </c>
      <c r="BQ364" s="56">
        <f t="shared" si="311"/>
        <v>30.877403475671702</v>
      </c>
      <c r="BR364" s="59"/>
      <c r="BS364" s="59"/>
      <c r="BT364" s="59">
        <v>346736.85</v>
      </c>
      <c r="BU364" s="59">
        <v>15.295400000000001</v>
      </c>
      <c r="BV364" s="59">
        <v>-200.482</v>
      </c>
      <c r="BW364" s="61"/>
      <c r="BY364" s="59"/>
      <c r="BZ364" s="59"/>
      <c r="CA364" s="59"/>
      <c r="CC364" s="59"/>
    </row>
    <row r="365" spans="1:81" x14ac:dyDescent="0.25">
      <c r="A365">
        <f t="shared" si="319"/>
        <v>755000</v>
      </c>
      <c r="B365">
        <f t="shared" si="295"/>
        <v>755</v>
      </c>
      <c r="C365">
        <f t="shared" si="264"/>
        <v>1.1874888033557218</v>
      </c>
      <c r="D365">
        <f t="shared" si="265"/>
        <v>0.56960659633158217</v>
      </c>
      <c r="F365">
        <f t="shared" si="266"/>
        <v>3.4609280194002325E-5</v>
      </c>
      <c r="G365">
        <f t="shared" si="267"/>
        <v>2.3009952810285066E-3</v>
      </c>
      <c r="H365">
        <f t="shared" si="268"/>
        <v>-3.1392916547189715</v>
      </c>
      <c r="J365">
        <f t="shared" si="269"/>
        <v>15</v>
      </c>
      <c r="M365">
        <f t="shared" si="270"/>
        <v>3.5359844566762912E-3</v>
      </c>
      <c r="N365">
        <f t="shared" si="271"/>
        <v>-1.5707963250000001</v>
      </c>
      <c r="O365">
        <f t="shared" si="272"/>
        <v>203.51168715053791</v>
      </c>
      <c r="P365">
        <f t="shared" si="273"/>
        <v>1.565882584305917</v>
      </c>
      <c r="Q365">
        <f t="shared" si="274"/>
        <v>192.76236225236482</v>
      </c>
      <c r="R365">
        <f t="shared" si="275"/>
        <v>1.5656085688020938</v>
      </c>
      <c r="S365">
        <f t="shared" si="276"/>
        <v>0.19976063129930766</v>
      </c>
      <c r="T365">
        <f t="shared" si="277"/>
        <v>-1.3696827045728692</v>
      </c>
      <c r="U365">
        <f t="shared" si="278"/>
        <v>0.80485969740909624</v>
      </c>
      <c r="V365">
        <f t="shared" si="279"/>
        <v>-0.63535730902150145</v>
      </c>
      <c r="X365">
        <f t="shared" si="296"/>
        <v>-37.23469251848455</v>
      </c>
      <c r="Y365">
        <f t="shared" si="280"/>
        <v>-172.69121249608057</v>
      </c>
      <c r="Z365">
        <f t="shared" si="297"/>
        <v>7.308787503919433</v>
      </c>
      <c r="AC365">
        <v>1</v>
      </c>
      <c r="AD365">
        <f t="shared" si="281"/>
        <v>203.50923027434999</v>
      </c>
      <c r="AE365">
        <f t="shared" si="282"/>
        <v>-1.1584897008911446E-2</v>
      </c>
      <c r="AF365">
        <f t="shared" si="283"/>
        <v>1.5711481833767998E-2</v>
      </c>
      <c r="AG365">
        <f t="shared" si="315"/>
        <v>8360.4747184454063</v>
      </c>
      <c r="AH365">
        <f t="shared" si="316"/>
        <v>-6228.2628458686804</v>
      </c>
      <c r="AJ365">
        <f t="shared" si="284"/>
        <v>18000</v>
      </c>
      <c r="AK365">
        <f t="shared" si="285"/>
        <v>88291.696826718005</v>
      </c>
      <c r="AL365">
        <v>1</v>
      </c>
      <c r="AM365">
        <f t="shared" si="286"/>
        <v>192.759768367551</v>
      </c>
      <c r="AN365">
        <f t="shared" si="317"/>
        <v>458.51216457310176</v>
      </c>
      <c r="AO365">
        <f t="shared" si="318"/>
        <v>-91.001810097525592</v>
      </c>
      <c r="AQ365">
        <f t="shared" si="287"/>
        <v>4.3857706303361121E-3</v>
      </c>
      <c r="AR365">
        <f t="shared" si="288"/>
        <v>-6.6225136518075294</v>
      </c>
      <c r="AT365">
        <f t="shared" si="313"/>
        <v>-41210.088599335126</v>
      </c>
      <c r="AU365">
        <f t="shared" si="314"/>
        <v>-55394.673690763841</v>
      </c>
      <c r="AV365">
        <f t="shared" si="302"/>
        <v>-2.2104051267465645</v>
      </c>
      <c r="AW365">
        <f t="shared" si="303"/>
        <v>9193.7789935550318</v>
      </c>
      <c r="AX365">
        <f t="shared" si="304"/>
        <v>-10436.109632191816</v>
      </c>
      <c r="AY365">
        <f t="shared" si="312"/>
        <v>-0.8486015766891104</v>
      </c>
      <c r="BA365">
        <f t="shared" si="289"/>
        <v>4.9641454498023361</v>
      </c>
      <c r="BB365">
        <f t="shared" si="305"/>
        <v>13.916889957424761</v>
      </c>
      <c r="BC365">
        <f t="shared" si="306"/>
        <v>-1.3618035500574541</v>
      </c>
      <c r="BD365">
        <f t="shared" si="290"/>
        <v>-258.02559603338193</v>
      </c>
      <c r="BF365">
        <f t="shared" si="291"/>
        <v>-50.284843054939032</v>
      </c>
      <c r="BG365">
        <f t="shared" si="292"/>
        <v>-225.25770472504504</v>
      </c>
      <c r="BH365">
        <f t="shared" si="307"/>
        <v>-45.257704725045045</v>
      </c>
      <c r="BI365">
        <f t="shared" si="308"/>
        <v>-45.257704725045045</v>
      </c>
      <c r="BJ365">
        <f t="shared" si="293"/>
        <v>0</v>
      </c>
      <c r="BK365">
        <f t="shared" si="309"/>
        <v>0</v>
      </c>
      <c r="BM365">
        <f t="shared" si="310"/>
        <v>-64.201733012363789</v>
      </c>
      <c r="BN365">
        <f t="shared" si="294"/>
        <v>-147.23210869166314</v>
      </c>
      <c r="BQ365" s="56">
        <f t="shared" si="311"/>
        <v>30.818850757709896</v>
      </c>
      <c r="BR365" s="59"/>
      <c r="BS365" s="59"/>
      <c r="BT365" s="59">
        <v>354813.38900000002</v>
      </c>
      <c r="BU365" s="59">
        <v>15.3028</v>
      </c>
      <c r="BV365" s="59">
        <v>-203.33199999999999</v>
      </c>
      <c r="BW365" s="61"/>
      <c r="BY365" s="59"/>
      <c r="BZ365" s="59"/>
      <c r="CA365" s="59"/>
      <c r="CC365" s="59"/>
    </row>
    <row r="366" spans="1:81" x14ac:dyDescent="0.25">
      <c r="A366">
        <f t="shared" si="319"/>
        <v>760000</v>
      </c>
      <c r="B366">
        <f t="shared" si="295"/>
        <v>760</v>
      </c>
      <c r="C366">
        <f t="shared" si="264"/>
        <v>1.1897814195687826</v>
      </c>
      <c r="D366">
        <f t="shared" si="265"/>
        <v>0.57260843665476768</v>
      </c>
      <c r="F366">
        <f t="shared" si="266"/>
        <v>3.4155378224515618E-5</v>
      </c>
      <c r="G366">
        <f t="shared" si="267"/>
        <v>2.2858561451533864E-3</v>
      </c>
      <c r="H366">
        <f t="shared" si="268"/>
        <v>-3.1393067938548467</v>
      </c>
      <c r="J366">
        <f t="shared" si="269"/>
        <v>15</v>
      </c>
      <c r="M366">
        <f t="shared" si="270"/>
        <v>3.5127214010402625E-3</v>
      </c>
      <c r="N366">
        <f t="shared" si="271"/>
        <v>-1.5707963250000001</v>
      </c>
      <c r="O366">
        <f t="shared" si="272"/>
        <v>204.859414233922</v>
      </c>
      <c r="P366">
        <f t="shared" si="273"/>
        <v>1.5659149110439019</v>
      </c>
      <c r="Q366">
        <f t="shared" si="274"/>
        <v>194.03889994496149</v>
      </c>
      <c r="R366">
        <f t="shared" si="275"/>
        <v>1.5656426981825651</v>
      </c>
      <c r="S366">
        <f t="shared" si="276"/>
        <v>0.19849836344632388</v>
      </c>
      <c r="T366">
        <f t="shared" si="277"/>
        <v>-1.3709707683386965</v>
      </c>
      <c r="U366">
        <f t="shared" si="278"/>
        <v>0.80298276725897944</v>
      </c>
      <c r="V366">
        <f t="shared" si="279"/>
        <v>-0.63851322337986538</v>
      </c>
      <c r="X366">
        <f t="shared" si="296"/>
        <v>-37.350617340752414</v>
      </c>
      <c r="Y366">
        <f t="shared" si="280"/>
        <v>-172.77090065912626</v>
      </c>
      <c r="Z366">
        <f t="shared" si="297"/>
        <v>7.2290993408737449</v>
      </c>
      <c r="AC366">
        <v>1</v>
      </c>
      <c r="AD366">
        <f t="shared" si="281"/>
        <v>204.85697352120002</v>
      </c>
      <c r="AE366">
        <f t="shared" si="282"/>
        <v>-1.1738847440633748E-2</v>
      </c>
      <c r="AF366">
        <f t="shared" si="283"/>
        <v>1.5815531382336E-2</v>
      </c>
      <c r="AG366">
        <f t="shared" si="315"/>
        <v>8321.5269857133408</v>
      </c>
      <c r="AH366">
        <f t="shared" si="316"/>
        <v>-6239.7609901760798</v>
      </c>
      <c r="AJ366">
        <f t="shared" si="284"/>
        <v>18000</v>
      </c>
      <c r="AK366">
        <f t="shared" si="285"/>
        <v>88876.410050736013</v>
      </c>
      <c r="AL366">
        <v>1</v>
      </c>
      <c r="AM366">
        <f t="shared" si="286"/>
        <v>194.03632312495199</v>
      </c>
      <c r="AN366">
        <f t="shared" si="317"/>
        <v>458.50597333433734</v>
      </c>
      <c r="AO366">
        <f t="shared" si="318"/>
        <v>-90.40314588609067</v>
      </c>
      <c r="AQ366">
        <f t="shared" si="287"/>
        <v>4.3282529742672375E-3</v>
      </c>
      <c r="AR366">
        <f t="shared" si="288"/>
        <v>-6.5789445208862007</v>
      </c>
      <c r="AT366">
        <f t="shared" si="313"/>
        <v>-41015.023704032013</v>
      </c>
      <c r="AU366">
        <f t="shared" si="314"/>
        <v>-54773.871632129885</v>
      </c>
      <c r="AV366">
        <f t="shared" si="302"/>
        <v>-2.2135330712838326</v>
      </c>
      <c r="AW366">
        <f t="shared" si="303"/>
        <v>9158.1571499971615</v>
      </c>
      <c r="AX366">
        <f t="shared" si="304"/>
        <v>-10426.000339552715</v>
      </c>
      <c r="AY366">
        <f t="shared" si="312"/>
        <v>-0.85004615446098652</v>
      </c>
      <c r="BA366">
        <f t="shared" si="289"/>
        <v>4.9310183235445235</v>
      </c>
      <c r="BB366">
        <f t="shared" si="305"/>
        <v>13.858732327238005</v>
      </c>
      <c r="BC366">
        <f t="shared" si="306"/>
        <v>-1.3634869168228461</v>
      </c>
      <c r="BD366">
        <f t="shared" si="290"/>
        <v>-258.12204584452167</v>
      </c>
      <c r="BF366">
        <f t="shared" si="291"/>
        <v>-50.440916865133659</v>
      </c>
      <c r="BG366">
        <f t="shared" si="292"/>
        <v>-225.18302916328966</v>
      </c>
      <c r="BH366">
        <f t="shared" si="307"/>
        <v>-45.18302916328966</v>
      </c>
      <c r="BI366">
        <f t="shared" si="308"/>
        <v>-45.18302916328966</v>
      </c>
      <c r="BJ366">
        <f t="shared" si="293"/>
        <v>0</v>
      </c>
      <c r="BK366">
        <f t="shared" si="309"/>
        <v>0</v>
      </c>
      <c r="BM366">
        <f t="shared" si="310"/>
        <v>-64.29964919237166</v>
      </c>
      <c r="BN366">
        <f t="shared" si="294"/>
        <v>-147.06098331876802</v>
      </c>
      <c r="BQ366" s="56">
        <f t="shared" si="311"/>
        <v>30.76069312752314</v>
      </c>
      <c r="BR366" s="59"/>
      <c r="BS366" s="59"/>
      <c r="BT366" s="59">
        <v>363078.05499999999</v>
      </c>
      <c r="BU366" s="59">
        <v>15.049200000000001</v>
      </c>
      <c r="BV366" s="59">
        <v>-205.19499999999999</v>
      </c>
      <c r="BW366" s="61"/>
      <c r="BY366" s="59"/>
      <c r="BZ366" s="59"/>
      <c r="CA366" s="59"/>
      <c r="CC366" s="59"/>
    </row>
    <row r="367" spans="1:81" x14ac:dyDescent="0.25">
      <c r="A367">
        <f t="shared" si="319"/>
        <v>765000</v>
      </c>
      <c r="B367">
        <f t="shared" si="295"/>
        <v>765</v>
      </c>
      <c r="C367">
        <f t="shared" si="264"/>
        <v>1.1920847156620078</v>
      </c>
      <c r="D367">
        <f t="shared" si="265"/>
        <v>0.57559870377690314</v>
      </c>
      <c r="F367">
        <f t="shared" si="266"/>
        <v>3.3710347555407489E-5</v>
      </c>
      <c r="G367">
        <f t="shared" si="267"/>
        <v>2.2709149260712732E-3</v>
      </c>
      <c r="H367">
        <f t="shared" si="268"/>
        <v>-3.1393217350739291</v>
      </c>
      <c r="J367">
        <f t="shared" si="269"/>
        <v>15</v>
      </c>
      <c r="M367">
        <f t="shared" si="270"/>
        <v>3.4897624376347713E-3</v>
      </c>
      <c r="N367">
        <f t="shared" si="271"/>
        <v>-1.5707963250000001</v>
      </c>
      <c r="O367">
        <f t="shared" si="272"/>
        <v>206.20714152858946</v>
      </c>
      <c r="P367">
        <f t="shared" si="273"/>
        <v>1.5659468152201523</v>
      </c>
      <c r="Q367">
        <f t="shared" si="274"/>
        <v>195.31543786062312</v>
      </c>
      <c r="R367">
        <f t="shared" si="275"/>
        <v>1.5656763814391159</v>
      </c>
      <c r="S367">
        <f t="shared" si="276"/>
        <v>0.19725162659658274</v>
      </c>
      <c r="T367">
        <f t="shared" si="277"/>
        <v>-1.3722426539427979</v>
      </c>
      <c r="U367">
        <f t="shared" si="278"/>
        <v>0.80110664752306804</v>
      </c>
      <c r="V367">
        <f t="shared" si="279"/>
        <v>-0.64165442170373432</v>
      </c>
      <c r="X367">
        <f t="shared" si="296"/>
        <v>-37.46582650037017</v>
      </c>
      <c r="Y367">
        <f t="shared" si="280"/>
        <v>-172.8495202429163</v>
      </c>
      <c r="Z367">
        <f t="shared" si="297"/>
        <v>7.1504797570837013</v>
      </c>
      <c r="AC367">
        <v>1</v>
      </c>
      <c r="AD367">
        <f t="shared" si="281"/>
        <v>206.20471676805002</v>
      </c>
      <c r="AE367">
        <f t="shared" si="282"/>
        <v>-1.1893814046822862E-2</v>
      </c>
      <c r="AF367">
        <f t="shared" si="283"/>
        <v>1.5919580930904002E-2</v>
      </c>
      <c r="AG367">
        <f t="shared" si="315"/>
        <v>8282.6869428198042</v>
      </c>
      <c r="AH367">
        <f t="shared" si="316"/>
        <v>-6250.9646917128748</v>
      </c>
      <c r="AJ367">
        <f t="shared" si="284"/>
        <v>18000</v>
      </c>
      <c r="AK367">
        <f t="shared" si="285"/>
        <v>89461.123274754005</v>
      </c>
      <c r="AL367">
        <v>1</v>
      </c>
      <c r="AM367">
        <f t="shared" si="286"/>
        <v>195.31287788235301</v>
      </c>
      <c r="AN367">
        <f t="shared" si="317"/>
        <v>458.49990309101008</v>
      </c>
      <c r="AO367">
        <f t="shared" si="318"/>
        <v>-89.812306731126753</v>
      </c>
      <c r="AQ367">
        <f t="shared" si="287"/>
        <v>4.2718594250675274E-3</v>
      </c>
      <c r="AR367">
        <f t="shared" si="288"/>
        <v>-6.5359449203533169</v>
      </c>
      <c r="AT367">
        <f t="shared" si="313"/>
        <v>-40820.578449827131</v>
      </c>
      <c r="AU367">
        <f t="shared" si="314"/>
        <v>-54161.888893233903</v>
      </c>
      <c r="AV367">
        <f t="shared" si="302"/>
        <v>-2.2166466653952019</v>
      </c>
      <c r="AW367">
        <f t="shared" si="303"/>
        <v>9122.5017648940866</v>
      </c>
      <c r="AX367">
        <f t="shared" si="304"/>
        <v>-10415.863129379082</v>
      </c>
      <c r="AY367">
        <f t="shared" si="312"/>
        <v>-0.85149771636736038</v>
      </c>
      <c r="BA367">
        <f t="shared" si="289"/>
        <v>4.8983320711546776</v>
      </c>
      <c r="BB367">
        <f t="shared" si="305"/>
        <v>13.800964475641388</v>
      </c>
      <c r="BC367">
        <f t="shared" si="306"/>
        <v>-1.3651489490278417</v>
      </c>
      <c r="BD367">
        <f t="shared" si="290"/>
        <v>-258.21727327539156</v>
      </c>
      <c r="BF367">
        <f t="shared" si="291"/>
        <v>-50.595803346453863</v>
      </c>
      <c r="BG367">
        <f t="shared" si="292"/>
        <v>-225.10778297704385</v>
      </c>
      <c r="BH367">
        <f t="shared" si="307"/>
        <v>-45.107782977043854</v>
      </c>
      <c r="BI367">
        <f t="shared" si="308"/>
        <v>-45.107782977043854</v>
      </c>
      <c r="BJ367">
        <f t="shared" si="293"/>
        <v>0</v>
      </c>
      <c r="BK367">
        <f t="shared" si="309"/>
        <v>0</v>
      </c>
      <c r="BM367">
        <f t="shared" si="310"/>
        <v>-64.396767822095256</v>
      </c>
      <c r="BN367">
        <f t="shared" si="294"/>
        <v>-146.89050970165232</v>
      </c>
      <c r="BQ367" s="56">
        <f t="shared" si="311"/>
        <v>30.702925275926525</v>
      </c>
      <c r="BR367" s="59"/>
      <c r="BS367" s="59"/>
      <c r="BT367" s="59">
        <v>371535.22899999999</v>
      </c>
      <c r="BU367" s="59">
        <v>14.9002</v>
      </c>
      <c r="BV367" s="59">
        <v>-207.41</v>
      </c>
      <c r="BW367" s="61"/>
      <c r="BY367" s="59"/>
      <c r="BZ367" s="59"/>
      <c r="CA367" s="59"/>
      <c r="CC367" s="59"/>
    </row>
    <row r="368" spans="1:81" x14ac:dyDescent="0.25">
      <c r="A368">
        <f t="shared" si="319"/>
        <v>770000</v>
      </c>
      <c r="B368">
        <f t="shared" si="295"/>
        <v>770</v>
      </c>
      <c r="C368">
        <f t="shared" si="264"/>
        <v>1.19439862984968</v>
      </c>
      <c r="D368">
        <f t="shared" si="265"/>
        <v>0.57857741133034235</v>
      </c>
      <c r="F368">
        <f t="shared" si="266"/>
        <v>3.3273958500918282E-5</v>
      </c>
      <c r="G368">
        <f t="shared" si="267"/>
        <v>2.2561677677562656E-3</v>
      </c>
      <c r="H368">
        <f t="shared" si="268"/>
        <v>-3.139336482232244</v>
      </c>
      <c r="J368">
        <f t="shared" si="269"/>
        <v>15</v>
      </c>
      <c r="M368">
        <f t="shared" si="270"/>
        <v>3.4671016425851945E-3</v>
      </c>
      <c r="N368">
        <f t="shared" si="271"/>
        <v>-1.5707963250000001</v>
      </c>
      <c r="O368">
        <f t="shared" si="272"/>
        <v>207.5548690304245</v>
      </c>
      <c r="P368">
        <f t="shared" si="273"/>
        <v>1.5659783050661324</v>
      </c>
      <c r="Q368">
        <f t="shared" si="274"/>
        <v>196.59197599500436</v>
      </c>
      <c r="R368">
        <f t="shared" si="275"/>
        <v>1.5657096272621693</v>
      </c>
      <c r="S368">
        <f t="shared" si="276"/>
        <v>0.19602014192290135</v>
      </c>
      <c r="T368">
        <f t="shared" si="277"/>
        <v>-1.3734986602424422</v>
      </c>
      <c r="U368">
        <f t="shared" si="278"/>
        <v>0.799231443216319</v>
      </c>
      <c r="V368">
        <f t="shared" si="279"/>
        <v>-0.64478094512826356</v>
      </c>
      <c r="X368">
        <f t="shared" si="296"/>
        <v>-37.580328508301157</v>
      </c>
      <c r="Y368">
        <f t="shared" si="280"/>
        <v>-172.9270891978866</v>
      </c>
      <c r="Z368">
        <f t="shared" si="297"/>
        <v>7.0729108021133982</v>
      </c>
      <c r="AC368">
        <v>1</v>
      </c>
      <c r="AD368">
        <f t="shared" si="281"/>
        <v>207.55246001490002</v>
      </c>
      <c r="AE368">
        <f t="shared" si="282"/>
        <v>-1.2049796827478785E-2</v>
      </c>
      <c r="AF368">
        <f t="shared" si="283"/>
        <v>1.6023630479471997E-2</v>
      </c>
      <c r="AG368">
        <f t="shared" si="315"/>
        <v>8243.9566384567661</v>
      </c>
      <c r="AH368">
        <f t="shared" si="316"/>
        <v>-6261.8769620588064</v>
      </c>
      <c r="AJ368">
        <f t="shared" si="284"/>
        <v>18000</v>
      </c>
      <c r="AK368">
        <f t="shared" si="285"/>
        <v>90045.836498771998</v>
      </c>
      <c r="AL368">
        <v>1</v>
      </c>
      <c r="AM368">
        <f t="shared" si="286"/>
        <v>196.58943263975399</v>
      </c>
      <c r="AN368">
        <f t="shared" si="317"/>
        <v>458.49395071074355</v>
      </c>
      <c r="AO368">
        <f t="shared" si="318"/>
        <v>-89.229140212402456</v>
      </c>
      <c r="AQ368">
        <f t="shared" si="287"/>
        <v>4.2165608801817845E-3</v>
      </c>
      <c r="AR368">
        <f t="shared" si="288"/>
        <v>-6.4935037554799475</v>
      </c>
      <c r="AT368">
        <f t="shared" si="313"/>
        <v>-40626.760424422595</v>
      </c>
      <c r="AU368">
        <f t="shared" si="314"/>
        <v>-53558.566977267583</v>
      </c>
      <c r="AV368">
        <f t="shared" si="302"/>
        <v>-2.2197459430938409</v>
      </c>
      <c r="AW368">
        <f t="shared" si="303"/>
        <v>9086.819107410498</v>
      </c>
      <c r="AX368">
        <f t="shared" si="304"/>
        <v>-10405.69548046895</v>
      </c>
      <c r="AY368">
        <f t="shared" si="312"/>
        <v>-0.85295585521893769</v>
      </c>
      <c r="BA368">
        <f t="shared" si="289"/>
        <v>4.866077931011918</v>
      </c>
      <c r="BB368">
        <f t="shared" si="305"/>
        <v>13.743581198913779</v>
      </c>
      <c r="BC368">
        <f t="shared" si="306"/>
        <v>-1.3667900878749033</v>
      </c>
      <c r="BD368">
        <f t="shared" si="290"/>
        <v>-258.31130360503056</v>
      </c>
      <c r="BF368">
        <f t="shared" si="291"/>
        <v>-50.749518277084931</v>
      </c>
      <c r="BG368">
        <f t="shared" si="292"/>
        <v>-225.03199088520429</v>
      </c>
      <c r="BH368">
        <f t="shared" si="307"/>
        <v>-45.031990885204294</v>
      </c>
      <c r="BI368">
        <f t="shared" si="308"/>
        <v>-45.031990885204294</v>
      </c>
      <c r="BJ368">
        <f t="shared" si="293"/>
        <v>0</v>
      </c>
      <c r="BK368">
        <f t="shared" si="309"/>
        <v>0</v>
      </c>
      <c r="BM368">
        <f t="shared" si="310"/>
        <v>-64.493099475998719</v>
      </c>
      <c r="BN368">
        <f t="shared" si="294"/>
        <v>-146.72068728017373</v>
      </c>
      <c r="BQ368" s="56">
        <f t="shared" si="311"/>
        <v>30.645541999198915</v>
      </c>
      <c r="BR368" s="59"/>
      <c r="BS368" s="59"/>
      <c r="BT368" s="59">
        <v>380189.39600000001</v>
      </c>
      <c r="BU368" s="59">
        <v>14.938000000000001</v>
      </c>
      <c r="BV368" s="59">
        <v>-210.39400000000001</v>
      </c>
      <c r="BW368" s="61"/>
      <c r="BY368" s="59"/>
      <c r="BZ368" s="59"/>
      <c r="CA368" s="59"/>
      <c r="CC368" s="59"/>
    </row>
    <row r="369" spans="1:81" x14ac:dyDescent="0.25">
      <c r="A369">
        <f t="shared" si="319"/>
        <v>775000</v>
      </c>
      <c r="B369">
        <f t="shared" si="295"/>
        <v>775</v>
      </c>
      <c r="C369">
        <f t="shared" si="264"/>
        <v>1.1967231005402108</v>
      </c>
      <c r="D369">
        <f t="shared" si="265"/>
        <v>0.58154457366275925</v>
      </c>
      <c r="F369">
        <f t="shared" si="266"/>
        <v>3.2845988760991297E-5</v>
      </c>
      <c r="G369">
        <f t="shared" si="267"/>
        <v>2.2416109137089074E-3</v>
      </c>
      <c r="H369">
        <f t="shared" si="268"/>
        <v>-3.1393510390862911</v>
      </c>
      <c r="J369">
        <f t="shared" si="269"/>
        <v>15</v>
      </c>
      <c r="M369">
        <f t="shared" si="270"/>
        <v>3.4447332448910967E-3</v>
      </c>
      <c r="N369">
        <f t="shared" si="271"/>
        <v>-1.5707963250000001</v>
      </c>
      <c r="O369">
        <f t="shared" si="272"/>
        <v>208.90259673541752</v>
      </c>
      <c r="P369">
        <f t="shared" si="273"/>
        <v>1.5660093886008908</v>
      </c>
      <c r="Q369">
        <f t="shared" si="274"/>
        <v>197.86851434387202</v>
      </c>
      <c r="R369">
        <f t="shared" si="275"/>
        <v>1.5657424441178891</v>
      </c>
      <c r="S369">
        <f t="shared" si="276"/>
        <v>0.19480363707943271</v>
      </c>
      <c r="T369">
        <f t="shared" si="277"/>
        <v>-1.3747390788792881</v>
      </c>
      <c r="U369">
        <f t="shared" si="278"/>
        <v>0.79735725752157138</v>
      </c>
      <c r="V369">
        <f t="shared" si="279"/>
        <v>-0.64789283555276389</v>
      </c>
      <c r="X369">
        <f t="shared" si="296"/>
        <v>-37.694131723374767</v>
      </c>
      <c r="Y369">
        <f t="shared" si="280"/>
        <v>-173.00362508316431</v>
      </c>
      <c r="Z369">
        <f t="shared" si="297"/>
        <v>6.9963749168356912</v>
      </c>
      <c r="AC369">
        <v>1</v>
      </c>
      <c r="AD369">
        <f t="shared" si="281"/>
        <v>208.90020326175002</v>
      </c>
      <c r="AE369">
        <f t="shared" si="282"/>
        <v>-1.2206795782601528E-2</v>
      </c>
      <c r="AF369">
        <f t="shared" si="283"/>
        <v>1.6127680028039999E-2</v>
      </c>
      <c r="AG369">
        <f t="shared" si="315"/>
        <v>8205.3380633369761</v>
      </c>
      <c r="AH369">
        <f t="shared" si="316"/>
        <v>-6272.5008116778527</v>
      </c>
      <c r="AJ369">
        <f t="shared" si="284"/>
        <v>18000</v>
      </c>
      <c r="AK369">
        <f t="shared" si="285"/>
        <v>90630.549722790005</v>
      </c>
      <c r="AL369">
        <v>1</v>
      </c>
      <c r="AM369">
        <f t="shared" si="286"/>
        <v>197.86598739715498</v>
      </c>
      <c r="AN369">
        <f t="shared" si="317"/>
        <v>458.4881131618734</v>
      </c>
      <c r="AO369">
        <f t="shared" si="318"/>
        <v>-88.653497842602661</v>
      </c>
      <c r="AQ369">
        <f t="shared" si="287"/>
        <v>4.1623291728078368E-3</v>
      </c>
      <c r="AR369">
        <f t="shared" si="288"/>
        <v>-6.4516102178521466</v>
      </c>
      <c r="AT369">
        <f t="shared" si="313"/>
        <v>-40433.577010112938</v>
      </c>
      <c r="AU369">
        <f t="shared" si="314"/>
        <v>-52963.751103470888</v>
      </c>
      <c r="AV369">
        <f t="shared" si="302"/>
        <v>-2.2228309393408558</v>
      </c>
      <c r="AW369">
        <f t="shared" si="303"/>
        <v>9051.1152539566683</v>
      </c>
      <c r="AX369">
        <f t="shared" si="304"/>
        <v>-10395.495022954412</v>
      </c>
      <c r="AY369">
        <f t="shared" si="312"/>
        <v>-0.85442017696525341</v>
      </c>
      <c r="BA369">
        <f t="shared" si="289"/>
        <v>4.8342473719419674</v>
      </c>
      <c r="BB369">
        <f t="shared" si="305"/>
        <v>13.686577396073234</v>
      </c>
      <c r="BC369">
        <f t="shared" si="306"/>
        <v>-1.3684107623756026</v>
      </c>
      <c r="BD369">
        <f t="shared" si="290"/>
        <v>-258.40416141399123</v>
      </c>
      <c r="BF369">
        <f t="shared" si="291"/>
        <v>-50.902077136598933</v>
      </c>
      <c r="BG369">
        <f t="shared" si="292"/>
        <v>-224.95567686149386</v>
      </c>
      <c r="BH369">
        <f t="shared" si="307"/>
        <v>-44.955676861493856</v>
      </c>
      <c r="BI369">
        <f t="shared" si="308"/>
        <v>-44.955676861493856</v>
      </c>
      <c r="BJ369">
        <f t="shared" si="293"/>
        <v>0</v>
      </c>
      <c r="BK369">
        <f t="shared" si="309"/>
        <v>0</v>
      </c>
      <c r="BM369">
        <f t="shared" si="310"/>
        <v>-64.588654532672166</v>
      </c>
      <c r="BN369">
        <f t="shared" si="294"/>
        <v>-146.55151544750265</v>
      </c>
      <c r="BQ369" s="56">
        <f t="shared" si="311"/>
        <v>30.588538196358371</v>
      </c>
      <c r="BR369" s="59"/>
      <c r="BS369" s="59"/>
      <c r="BT369" s="59">
        <v>389045.14500000002</v>
      </c>
      <c r="BU369" s="59">
        <v>14.7561</v>
      </c>
      <c r="BV369" s="59">
        <v>-213.04300000000001</v>
      </c>
      <c r="BW369" s="61"/>
      <c r="BY369" s="59"/>
      <c r="BZ369" s="59"/>
      <c r="CA369" s="59"/>
      <c r="CC369" s="59"/>
    </row>
    <row r="370" spans="1:81" x14ac:dyDescent="0.25">
      <c r="A370">
        <f t="shared" si="319"/>
        <v>780000</v>
      </c>
      <c r="B370">
        <f t="shared" si="295"/>
        <v>780</v>
      </c>
      <c r="C370">
        <f t="shared" si="264"/>
        <v>1.199058066339707</v>
      </c>
      <c r="D370">
        <f t="shared" si="265"/>
        <v>0.58450020582397888</v>
      </c>
      <c r="F370">
        <f t="shared" si="266"/>
        <v>3.2426223138101181E-5</v>
      </c>
      <c r="G370">
        <f t="shared" si="267"/>
        <v>2.2272407037656266E-3</v>
      </c>
      <c r="H370">
        <f t="shared" si="268"/>
        <v>-3.1393654092962344</v>
      </c>
      <c r="J370">
        <f t="shared" si="269"/>
        <v>15</v>
      </c>
      <c r="M370">
        <f t="shared" si="270"/>
        <v>3.4226516215264098E-3</v>
      </c>
      <c r="N370">
        <f t="shared" si="271"/>
        <v>-1.5707963250000001</v>
      </c>
      <c r="O370">
        <f t="shared" si="272"/>
        <v>210.2503246396617</v>
      </c>
      <c r="P370">
        <f t="shared" si="273"/>
        <v>1.5660400736378666</v>
      </c>
      <c r="Q370">
        <f t="shared" si="274"/>
        <v>199.14505290310154</v>
      </c>
      <c r="R370">
        <f t="shared" si="275"/>
        <v>1.5657748402553668</v>
      </c>
      <c r="S370">
        <f t="shared" si="276"/>
        <v>0.19360184601930944</v>
      </c>
      <c r="T370">
        <f t="shared" si="277"/>
        <v>-1.3759641944927357</v>
      </c>
      <c r="U370">
        <f t="shared" si="278"/>
        <v>0.79548419180284335</v>
      </c>
      <c r="V370">
        <f t="shared" si="279"/>
        <v>-0.65099013561890451</v>
      </c>
      <c r="X370">
        <f t="shared" si="296"/>
        <v>-37.807244355910242</v>
      </c>
      <c r="Y370">
        <f t="shared" si="280"/>
        <v>-173.0791450776787</v>
      </c>
      <c r="Z370">
        <f t="shared" si="297"/>
        <v>6.920854922321297</v>
      </c>
      <c r="AC370">
        <v>1</v>
      </c>
      <c r="AD370">
        <f t="shared" si="281"/>
        <v>210.24794650859999</v>
      </c>
      <c r="AE370">
        <f t="shared" si="282"/>
        <v>-1.2364810912191085E-2</v>
      </c>
      <c r="AF370">
        <f t="shared" si="283"/>
        <v>1.6231729576608001E-2</v>
      </c>
      <c r="AG370">
        <f t="shared" si="315"/>
        <v>8166.8331509361087</v>
      </c>
      <c r="AH370">
        <f t="shared" si="316"/>
        <v>-6282.8392489797807</v>
      </c>
      <c r="AJ370">
        <f t="shared" si="284"/>
        <v>18000</v>
      </c>
      <c r="AK370">
        <f t="shared" si="285"/>
        <v>91215.262946808012</v>
      </c>
      <c r="AL370">
        <v>1</v>
      </c>
      <c r="AM370">
        <f t="shared" si="286"/>
        <v>199.142542154556</v>
      </c>
      <c r="AN370">
        <f t="shared" si="317"/>
        <v>458.48238750958643</v>
      </c>
      <c r="AO370">
        <f t="shared" si="318"/>
        <v>-88.08523494129301</v>
      </c>
      <c r="AQ370">
        <f t="shared" si="287"/>
        <v>4.1091370360219282E-3</v>
      </c>
      <c r="AR370">
        <f t="shared" si="288"/>
        <v>-6.4102537761942076</v>
      </c>
      <c r="AT370">
        <f t="shared" si="313"/>
        <v>-40241.035384426294</v>
      </c>
      <c r="AU370">
        <f t="shared" si="314"/>
        <v>-52377.290092785581</v>
      </c>
      <c r="AV370">
        <f t="shared" si="302"/>
        <v>-2.2259016900176074</v>
      </c>
      <c r="AW370">
        <f t="shared" si="303"/>
        <v>9015.3960939245117</v>
      </c>
      <c r="AX370">
        <f t="shared" si="304"/>
        <v>-10385.259532335427</v>
      </c>
      <c r="AY370">
        <f t="shared" si="312"/>
        <v>-0.85589030024624035</v>
      </c>
      <c r="BA370">
        <f t="shared" si="289"/>
        <v>4.802832085719726</v>
      </c>
      <c r="BB370">
        <f t="shared" si="305"/>
        <v>13.629948066237032</v>
      </c>
      <c r="BC370">
        <f t="shared" si="306"/>
        <v>-1.370011389771367</v>
      </c>
      <c r="BD370">
        <f t="shared" si="290"/>
        <v>-258.49587060844635</v>
      </c>
      <c r="BF370">
        <f t="shared" si="291"/>
        <v>-51.053495113460585</v>
      </c>
      <c r="BG370">
        <f t="shared" si="292"/>
        <v>-224.87886415950584</v>
      </c>
      <c r="BH370">
        <f t="shared" si="307"/>
        <v>-44.878864159505838</v>
      </c>
      <c r="BI370">
        <f t="shared" si="308"/>
        <v>-44.878864159505838</v>
      </c>
      <c r="BJ370">
        <f t="shared" si="293"/>
        <v>0</v>
      </c>
      <c r="BK370">
        <f t="shared" si="309"/>
        <v>0</v>
      </c>
      <c r="BM370">
        <f t="shared" si="310"/>
        <v>-64.683443179697619</v>
      </c>
      <c r="BN370">
        <f t="shared" si="294"/>
        <v>-146.38299355105951</v>
      </c>
      <c r="BQ370" s="56">
        <f t="shared" si="311"/>
        <v>30.531908866522169</v>
      </c>
      <c r="BR370" s="59"/>
      <c r="BS370" s="59"/>
      <c r="BT370" s="59">
        <v>398107.17099999997</v>
      </c>
      <c r="BU370" s="59">
        <v>14.525499999999999</v>
      </c>
      <c r="BV370" s="59">
        <v>-214.58500000000001</v>
      </c>
      <c r="BW370" s="61"/>
      <c r="BY370" s="59"/>
      <c r="BZ370" s="59"/>
      <c r="CA370" s="59"/>
      <c r="CC370" s="59"/>
    </row>
    <row r="371" spans="1:81" x14ac:dyDescent="0.25">
      <c r="A371">
        <f t="shared" si="319"/>
        <v>785000</v>
      </c>
      <c r="B371">
        <f t="shared" si="295"/>
        <v>785</v>
      </c>
      <c r="C371">
        <f t="shared" si="264"/>
        <v>1.2014034660554378</v>
      </c>
      <c r="D371">
        <f t="shared" si="265"/>
        <v>0.58744432355288601</v>
      </c>
      <c r="F371">
        <f t="shared" si="266"/>
        <v>3.2014453266668382E-5</v>
      </c>
      <c r="G371">
        <f t="shared" si="267"/>
        <v>2.2130535710301298E-3</v>
      </c>
      <c r="H371">
        <f t="shared" si="268"/>
        <v>-3.1393795964289701</v>
      </c>
      <c r="J371">
        <f t="shared" si="269"/>
        <v>15</v>
      </c>
      <c r="M371">
        <f t="shared" si="270"/>
        <v>3.4008512927268786E-3</v>
      </c>
      <c r="N371">
        <f t="shared" si="271"/>
        <v>-1.5707963250000001</v>
      </c>
      <c r="O371">
        <f t="shared" si="272"/>
        <v>211.59805273934978</v>
      </c>
      <c r="P371">
        <f t="shared" si="273"/>
        <v>1.5660703677914383</v>
      </c>
      <c r="Q371">
        <f t="shared" si="274"/>
        <v>200.42159166867327</v>
      </c>
      <c r="R371">
        <f t="shared" si="275"/>
        <v>1.5658068237135352</v>
      </c>
      <c r="S371">
        <f t="shared" si="276"/>
        <v>0.19241450881822178</v>
      </c>
      <c r="T371">
        <f t="shared" si="277"/>
        <v>-1.3771742849258697</v>
      </c>
      <c r="U371">
        <f t="shared" si="278"/>
        <v>0.7936123456189722</v>
      </c>
      <c r="V371">
        <f t="shared" si="279"/>
        <v>-0.65407288868919777</v>
      </c>
      <c r="X371">
        <f t="shared" si="296"/>
        <v>-37.919674471235226</v>
      </c>
      <c r="Y371">
        <f t="shared" si="280"/>
        <v>-173.15366599088276</v>
      </c>
      <c r="Z371">
        <f t="shared" si="297"/>
        <v>6.8463340091172427</v>
      </c>
      <c r="AC371">
        <v>1</v>
      </c>
      <c r="AD371">
        <f t="shared" si="281"/>
        <v>211.59568975545</v>
      </c>
      <c r="AE371">
        <f t="shared" si="282"/>
        <v>-1.2523842216247454E-2</v>
      </c>
      <c r="AF371">
        <f t="shared" si="283"/>
        <v>1.6335779125176E-2</v>
      </c>
      <c r="AG371">
        <f t="shared" si="315"/>
        <v>8128.4437782400801</v>
      </c>
      <c r="AH371">
        <f t="shared" si="316"/>
        <v>-6292.8952794107718</v>
      </c>
      <c r="AJ371">
        <f t="shared" si="284"/>
        <v>18000</v>
      </c>
      <c r="AK371">
        <f t="shared" si="285"/>
        <v>91799.976170826005</v>
      </c>
      <c r="AL371">
        <v>1</v>
      </c>
      <c r="AM371">
        <f t="shared" si="286"/>
        <v>200.41909691195698</v>
      </c>
      <c r="AN371">
        <f t="shared" si="317"/>
        <v>458.47677091223193</v>
      </c>
      <c r="AO371">
        <f t="shared" si="318"/>
        <v>-87.524210513700012</v>
      </c>
      <c r="AQ371">
        <f t="shared" si="287"/>
        <v>4.056958068498491E-3</v>
      </c>
      <c r="AR371">
        <f t="shared" si="288"/>
        <v>-6.3694241675426317</v>
      </c>
      <c r="AT371">
        <f t="shared" si="313"/>
        <v>-40049.142520923444</v>
      </c>
      <c r="AU371">
        <f t="shared" si="314"/>
        <v>-51799.036257911932</v>
      </c>
      <c r="AV371">
        <f t="shared" si="302"/>
        <v>-2.2289582318985284</v>
      </c>
      <c r="AW371">
        <f t="shared" si="303"/>
        <v>8979.6673352113212</v>
      </c>
      <c r="AX371">
        <f t="shared" si="304"/>
        <v>-10374.986923735301</v>
      </c>
      <c r="AY371">
        <f t="shared" si="312"/>
        <v>-0.85736585596167447</v>
      </c>
      <c r="BA371">
        <f t="shared" si="289"/>
        <v>4.7718239798605211</v>
      </c>
      <c r="BB371">
        <f t="shared" si="305"/>
        <v>13.573688306063392</v>
      </c>
      <c r="BC371">
        <f t="shared" si="306"/>
        <v>-1.3715923759368538</v>
      </c>
      <c r="BD371">
        <f t="shared" si="290"/>
        <v>-258.58645444330079</v>
      </c>
      <c r="BF371">
        <f t="shared" si="291"/>
        <v>-51.203787112297064</v>
      </c>
      <c r="BG371">
        <f t="shared" si="292"/>
        <v>-224.80157533674162</v>
      </c>
      <c r="BH371">
        <f t="shared" si="307"/>
        <v>-44.801575336741621</v>
      </c>
      <c r="BI371">
        <f t="shared" si="308"/>
        <v>-44.801575336741621</v>
      </c>
      <c r="BJ371">
        <f t="shared" si="293"/>
        <v>0</v>
      </c>
      <c r="BK371">
        <f t="shared" si="309"/>
        <v>0</v>
      </c>
      <c r="BM371">
        <f t="shared" si="310"/>
        <v>-64.777475418360453</v>
      </c>
      <c r="BN371">
        <f t="shared" si="294"/>
        <v>-146.21512089344083</v>
      </c>
      <c r="BQ371" s="56">
        <f t="shared" si="311"/>
        <v>30.475649106348527</v>
      </c>
      <c r="BR371" s="59"/>
      <c r="BS371" s="59"/>
      <c r="BT371" s="59">
        <v>407380.27799999999</v>
      </c>
      <c r="BU371" s="59">
        <v>14.4298</v>
      </c>
      <c r="BV371" s="59">
        <v>-217.34299999999999</v>
      </c>
      <c r="BW371" s="61"/>
      <c r="BY371" s="59"/>
      <c r="BZ371" s="59"/>
      <c r="CA371" s="59"/>
      <c r="CC371" s="59"/>
    </row>
    <row r="372" spans="1:81" x14ac:dyDescent="0.25">
      <c r="A372">
        <f t="shared" si="319"/>
        <v>790000</v>
      </c>
      <c r="B372">
        <f t="shared" si="295"/>
        <v>790</v>
      </c>
      <c r="C372">
        <f t="shared" si="264"/>
        <v>1.2037592386992013</v>
      </c>
      <c r="D372">
        <f t="shared" si="265"/>
        <v>0.59037694326441426</v>
      </c>
      <c r="F372">
        <f t="shared" si="266"/>
        <v>3.1610477354424473E-5</v>
      </c>
      <c r="G372">
        <f t="shared" si="267"/>
        <v>2.1990460389213528E-3</v>
      </c>
      <c r="H372">
        <f t="shared" si="268"/>
        <v>-3.139393603961079</v>
      </c>
      <c r="J372">
        <f t="shared" si="269"/>
        <v>15</v>
      </c>
      <c r="M372">
        <f t="shared" si="270"/>
        <v>3.3793269174564556E-3</v>
      </c>
      <c r="N372">
        <f t="shared" si="271"/>
        <v>-1.5707963250000001</v>
      </c>
      <c r="O372">
        <f t="shared" si="272"/>
        <v>212.94578103077092</v>
      </c>
      <c r="P372">
        <f t="shared" si="273"/>
        <v>1.5661002784832221</v>
      </c>
      <c r="Q372">
        <f t="shared" si="274"/>
        <v>201.6981306366695</v>
      </c>
      <c r="R372">
        <f t="shared" si="275"/>
        <v>1.5658384023278178</v>
      </c>
      <c r="S372">
        <f t="shared" si="276"/>
        <v>0.19124137150371429</v>
      </c>
      <c r="T372">
        <f t="shared" si="277"/>
        <v>-1.378369621424284</v>
      </c>
      <c r="U372">
        <f t="shared" si="278"/>
        <v>0.79174181673758315</v>
      </c>
      <c r="V372">
        <f t="shared" si="279"/>
        <v>-0.65714113882576797</v>
      </c>
      <c r="X372">
        <f t="shared" si="296"/>
        <v>-38.031429993102385</v>
      </c>
      <c r="Y372">
        <f t="shared" si="280"/>
        <v>-173.22720427310074</v>
      </c>
      <c r="Z372">
        <f t="shared" si="297"/>
        <v>6.7727957268992611</v>
      </c>
      <c r="AC372">
        <v>1</v>
      </c>
      <c r="AD372">
        <f t="shared" si="281"/>
        <v>212.9434330023</v>
      </c>
      <c r="AE372">
        <f t="shared" si="282"/>
        <v>-1.2683889694770639E-2</v>
      </c>
      <c r="AF372">
        <f t="shared" si="283"/>
        <v>1.6439828673743998E-2</v>
      </c>
      <c r="AG372">
        <f t="shared" si="315"/>
        <v>8090.1717664969174</v>
      </c>
      <c r="AH372">
        <f t="shared" si="316"/>
        <v>-6302.6719045726786</v>
      </c>
      <c r="AJ372">
        <f t="shared" si="284"/>
        <v>18000</v>
      </c>
      <c r="AK372">
        <f t="shared" si="285"/>
        <v>92384.689394843997</v>
      </c>
      <c r="AL372">
        <v>1</v>
      </c>
      <c r="AM372">
        <f t="shared" si="286"/>
        <v>201.695651669358</v>
      </c>
      <c r="AN372">
        <f t="shared" si="317"/>
        <v>458.47126061779426</v>
      </c>
      <c r="AO372">
        <f t="shared" si="318"/>
        <v>-86.970287134093681</v>
      </c>
      <c r="AQ372">
        <f t="shared" si="287"/>
        <v>4.0057667017438306E-3</v>
      </c>
      <c r="AR372">
        <f t="shared" si="288"/>
        <v>-6.3291113887552521</v>
      </c>
      <c r="AT372">
        <f t="shared" si="313"/>
        <v>-39857.905190145073</v>
      </c>
      <c r="AU372">
        <f t="shared" si="314"/>
        <v>-51228.845297569191</v>
      </c>
      <c r="AV372">
        <f t="shared" si="302"/>
        <v>-2.2320006026244439</v>
      </c>
      <c r="AW372">
        <f t="shared" si="303"/>
        <v>8943.9345095415301</v>
      </c>
      <c r="AX372">
        <f t="shared" si="304"/>
        <v>-10364.675246368859</v>
      </c>
      <c r="AY372">
        <f t="shared" si="312"/>
        <v>-0.85884648685765408</v>
      </c>
      <c r="BA372">
        <f t="shared" si="289"/>
        <v>4.7412151706872647</v>
      </c>
      <c r="BB372">
        <f t="shared" si="305"/>
        <v>13.517793307271983</v>
      </c>
      <c r="BC372">
        <f t="shared" si="306"/>
        <v>-1.3731541157667899</v>
      </c>
      <c r="BD372">
        <f t="shared" si="290"/>
        <v>-258.67593554435587</v>
      </c>
      <c r="BF372">
        <f t="shared" si="291"/>
        <v>-51.35296776094043</v>
      </c>
      <c r="BG372">
        <f t="shared" si="292"/>
        <v>-224.72383227768941</v>
      </c>
      <c r="BH372">
        <f t="shared" si="307"/>
        <v>-44.723832277689411</v>
      </c>
      <c r="BI372">
        <f t="shared" si="308"/>
        <v>-44.723832277689411</v>
      </c>
      <c r="BJ372">
        <f t="shared" si="293"/>
        <v>0</v>
      </c>
      <c r="BK372">
        <f t="shared" si="309"/>
        <v>0</v>
      </c>
      <c r="BM372">
        <f t="shared" si="310"/>
        <v>-64.870761068212403</v>
      </c>
      <c r="BN372">
        <f t="shared" si="294"/>
        <v>-146.04789673333354</v>
      </c>
      <c r="BQ372" s="56">
        <f t="shared" si="311"/>
        <v>30.419754107557118</v>
      </c>
      <c r="BR372" s="59"/>
      <c r="BS372" s="59"/>
      <c r="BT372" s="59">
        <v>416869.38299999997</v>
      </c>
      <c r="BU372" s="59">
        <v>14.126799999999999</v>
      </c>
      <c r="BV372" s="59">
        <v>-219.017</v>
      </c>
      <c r="BW372" s="61"/>
      <c r="BY372" s="59"/>
      <c r="BZ372" s="59"/>
      <c r="CA372" s="59"/>
      <c r="CC372" s="59"/>
    </row>
    <row r="373" spans="1:81" x14ac:dyDescent="0.25">
      <c r="A373">
        <f t="shared" si="319"/>
        <v>795000</v>
      </c>
      <c r="B373">
        <f t="shared" si="295"/>
        <v>795</v>
      </c>
      <c r="C373">
        <f t="shared" si="264"/>
        <v>1.2061253234905991</v>
      </c>
      <c r="D373">
        <f t="shared" si="265"/>
        <v>0.5932980820366206</v>
      </c>
      <c r="F373">
        <f t="shared" si="266"/>
        <v>3.1214099935128684E-5</v>
      </c>
      <c r="G373">
        <f t="shared" si="267"/>
        <v>2.1852147183328329E-3</v>
      </c>
      <c r="H373">
        <f t="shared" si="268"/>
        <v>-3.1394074352816674</v>
      </c>
      <c r="J373">
        <f t="shared" si="269"/>
        <v>15</v>
      </c>
      <c r="M373">
        <f t="shared" si="270"/>
        <v>3.3580732890447795E-3</v>
      </c>
      <c r="N373">
        <f t="shared" si="271"/>
        <v>-1.5707963250000001</v>
      </c>
      <c r="O373">
        <f t="shared" si="272"/>
        <v>214.29350951030759</v>
      </c>
      <c r="P373">
        <f t="shared" si="273"/>
        <v>1.5661298129481342</v>
      </c>
      <c r="Q373">
        <f t="shared" si="274"/>
        <v>202.97466980327093</v>
      </c>
      <c r="R373">
        <f t="shared" si="275"/>
        <v>1.5658695837365293</v>
      </c>
      <c r="S373">
        <f t="shared" si="276"/>
        <v>0.19008218588999462</v>
      </c>
      <c r="T373">
        <f t="shared" si="277"/>
        <v>-1.3795504688280706</v>
      </c>
      <c r="U373">
        <f t="shared" si="278"/>
        <v>0.78987270114936736</v>
      </c>
      <c r="V373">
        <f t="shared" si="279"/>
        <v>-0.66019493076940494</v>
      </c>
      <c r="X373">
        <f t="shared" si="296"/>
        <v>-38.14251870700776</v>
      </c>
      <c r="Y373">
        <f t="shared" si="280"/>
        <v>-173.29977602551833</v>
      </c>
      <c r="Z373">
        <f t="shared" si="297"/>
        <v>6.7002239744816734</v>
      </c>
      <c r="AC373">
        <v>1</v>
      </c>
      <c r="AD373">
        <f t="shared" si="281"/>
        <v>214.29117624915</v>
      </c>
      <c r="AE373">
        <f t="shared" si="282"/>
        <v>-1.2844953347760635E-2</v>
      </c>
      <c r="AF373">
        <f t="shared" si="283"/>
        <v>1.6543878222312E-2</v>
      </c>
      <c r="AG373">
        <f t="shared" si="315"/>
        <v>8052.0188819725836</v>
      </c>
      <c r="AH373">
        <f t="shared" si="316"/>
        <v>-6312.1721213704532</v>
      </c>
      <c r="AJ373">
        <f t="shared" si="284"/>
        <v>18000</v>
      </c>
      <c r="AK373">
        <f t="shared" si="285"/>
        <v>92969.402618862005</v>
      </c>
      <c r="AL373">
        <v>1</v>
      </c>
      <c r="AM373">
        <f t="shared" si="286"/>
        <v>202.97220642675899</v>
      </c>
      <c r="AN373">
        <f t="shared" si="317"/>
        <v>458.46585396052279</v>
      </c>
      <c r="AO373">
        <f t="shared" si="318"/>
        <v>-86.423330833570105</v>
      </c>
      <c r="AQ373">
        <f t="shared" si="287"/>
        <v>3.9555381687677825E-3</v>
      </c>
      <c r="AR373">
        <f t="shared" si="288"/>
        <v>-6.2893056883407743</v>
      </c>
      <c r="AT373">
        <f t="shared" si="313"/>
        <v>-39667.329960697964</v>
      </c>
      <c r="AU373">
        <f t="shared" si="314"/>
        <v>-50666.576194771405</v>
      </c>
      <c r="AV373">
        <f t="shared" si="302"/>
        <v>-2.235028840676379</v>
      </c>
      <c r="AW373">
        <f t="shared" si="303"/>
        <v>8908.2029775961892</v>
      </c>
      <c r="AX373">
        <f t="shared" si="304"/>
        <v>-10354.322678214829</v>
      </c>
      <c r="AY373">
        <f t="shared" si="312"/>
        <v>-0.8603318471293202</v>
      </c>
      <c r="BA373">
        <f t="shared" si="289"/>
        <v>4.7109979766614405</v>
      </c>
      <c r="BB373">
        <f t="shared" si="305"/>
        <v>13.462258354240538</v>
      </c>
      <c r="BC373">
        <f t="shared" si="306"/>
        <v>-1.3746969935470588</v>
      </c>
      <c r="BD373">
        <f t="shared" si="290"/>
        <v>-258.76433592957079</v>
      </c>
      <c r="BF373">
        <f t="shared" si="291"/>
        <v>-51.501051417251063</v>
      </c>
      <c r="BG373">
        <f t="shared" si="292"/>
        <v>-224.64565621598936</v>
      </c>
      <c r="BH373">
        <f t="shared" si="307"/>
        <v>-44.645656215989362</v>
      </c>
      <c r="BI373">
        <f t="shared" si="308"/>
        <v>-44.645656215989362</v>
      </c>
      <c r="BJ373">
        <f t="shared" si="293"/>
        <v>0</v>
      </c>
      <c r="BK373">
        <f t="shared" si="309"/>
        <v>0</v>
      </c>
      <c r="BM373">
        <f t="shared" si="310"/>
        <v>-64.963309771491595</v>
      </c>
      <c r="BN373">
        <f t="shared" si="294"/>
        <v>-145.88132028641854</v>
      </c>
      <c r="BQ373" s="56">
        <f t="shared" si="311"/>
        <v>30.364219154525674</v>
      </c>
      <c r="BR373" s="59"/>
      <c r="BS373" s="59"/>
      <c r="BT373" s="59">
        <v>426579.51899999997</v>
      </c>
      <c r="BU373" s="59">
        <v>14.106299999999999</v>
      </c>
      <c r="BV373" s="59">
        <v>-221.39400000000001</v>
      </c>
      <c r="BW373" s="61"/>
      <c r="BY373" s="59"/>
      <c r="BZ373" s="59"/>
      <c r="CA373" s="59"/>
      <c r="CC373" s="59"/>
    </row>
    <row r="374" spans="1:81" x14ac:dyDescent="0.25">
      <c r="A374">
        <f t="shared" si="319"/>
        <v>800000</v>
      </c>
      <c r="B374">
        <f t="shared" si="295"/>
        <v>800</v>
      </c>
      <c r="C374">
        <f t="shared" si="264"/>
        <v>1.2085016598602103</v>
      </c>
      <c r="D374">
        <f t="shared" si="265"/>
        <v>0.5962077575978445</v>
      </c>
      <c r="F374">
        <f t="shared" si="266"/>
        <v>3.0825131632070116E-5</v>
      </c>
      <c r="G374">
        <f t="shared" si="267"/>
        <v>2.1715563048986313E-3</v>
      </c>
      <c r="H374">
        <f t="shared" si="268"/>
        <v>-3.1394210936951015</v>
      </c>
      <c r="J374">
        <f t="shared" si="269"/>
        <v>15</v>
      </c>
      <c r="M374">
        <f t="shared" si="270"/>
        <v>3.3370853309882499E-3</v>
      </c>
      <c r="N374">
        <f t="shared" si="271"/>
        <v>-1.5707963250000001</v>
      </c>
      <c r="O374">
        <f t="shared" si="272"/>
        <v>215.64123817443263</v>
      </c>
      <c r="P374">
        <f t="shared" si="273"/>
        <v>1.5661589782402243</v>
      </c>
      <c r="Q374">
        <f t="shared" si="274"/>
        <v>204.25120916475385</v>
      </c>
      <c r="R374">
        <f t="shared" si="275"/>
        <v>1.5659003753870337</v>
      </c>
      <c r="S374">
        <f t="shared" si="276"/>
        <v>0.18893670941805532</v>
      </c>
      <c r="T374">
        <f t="shared" si="277"/>
        <v>-1.3807170857572419</v>
      </c>
      <c r="U374">
        <f t="shared" si="278"/>
        <v>0.78800509308265354</v>
      </c>
      <c r="V374">
        <f t="shared" si="279"/>
        <v>-0.66323430991890442</v>
      </c>
      <c r="X374">
        <f t="shared" si="296"/>
        <v>-38.252948263413806</v>
      </c>
      <c r="Y374">
        <f t="shared" si="280"/>
        <v>-173.37139700982752</v>
      </c>
      <c r="Z374">
        <f t="shared" si="297"/>
        <v>6.6286029901724817</v>
      </c>
      <c r="AC374">
        <v>1</v>
      </c>
      <c r="AD374">
        <f t="shared" si="281"/>
        <v>215.63891949600003</v>
      </c>
      <c r="AE374">
        <f t="shared" si="282"/>
        <v>-1.3007033175217448E-2</v>
      </c>
      <c r="AF374">
        <f t="shared" si="283"/>
        <v>1.6647927770879999E-2</v>
      </c>
      <c r="AG374">
        <f t="shared" si="315"/>
        <v>8013.986836710128</v>
      </c>
      <c r="AH374">
        <f t="shared" si="316"/>
        <v>-6321.3989211872786</v>
      </c>
      <c r="AJ374">
        <f t="shared" si="284"/>
        <v>18000</v>
      </c>
      <c r="AK374">
        <f t="shared" si="285"/>
        <v>93554.115842880012</v>
      </c>
      <c r="AL374">
        <v>1</v>
      </c>
      <c r="AM374">
        <f t="shared" si="286"/>
        <v>204.24876118416</v>
      </c>
      <c r="AN374">
        <f t="shared" si="317"/>
        <v>458.46054835770565</v>
      </c>
      <c r="AO374">
        <f t="shared" si="318"/>
        <v>-85.883210992041427</v>
      </c>
      <c r="AQ374">
        <f t="shared" si="287"/>
        <v>3.90624847412169E-3</v>
      </c>
      <c r="AR374">
        <f t="shared" si="288"/>
        <v>-6.2499975585947034</v>
      </c>
      <c r="AT374">
        <f t="shared" si="313"/>
        <v>-39477.423200471152</v>
      </c>
      <c r="AU374">
        <f t="shared" si="314"/>
        <v>-50112.091118938595</v>
      </c>
      <c r="AV374">
        <f t="shared" si="302"/>
        <v>-2.2380429853498534</v>
      </c>
      <c r="AW374">
        <f t="shared" si="303"/>
        <v>8872.4779339592678</v>
      </c>
      <c r="AX374">
        <f t="shared" si="304"/>
        <v>-10343.927520884259</v>
      </c>
      <c r="AY374">
        <f t="shared" si="312"/>
        <v>-0.86182160203906577</v>
      </c>
      <c r="BA374">
        <f t="shared" si="289"/>
        <v>4.6811649119663805</v>
      </c>
      <c r="BB374">
        <f t="shared" si="305"/>
        <v>13.407078821674812</v>
      </c>
      <c r="BC374">
        <f t="shared" si="306"/>
        <v>-1.3762213833107877</v>
      </c>
      <c r="BD374">
        <f t="shared" si="290"/>
        <v>-258.85167702946524</v>
      </c>
      <c r="BF374">
        <f t="shared" si="291"/>
        <v>-51.648052175730285</v>
      </c>
      <c r="BG374">
        <f t="shared" si="292"/>
        <v>-224.56706775572826</v>
      </c>
      <c r="BH374">
        <f t="shared" si="307"/>
        <v>-44.56706775572826</v>
      </c>
      <c r="BI374">
        <f t="shared" si="308"/>
        <v>-44.56706775572826</v>
      </c>
      <c r="BJ374">
        <f t="shared" si="293"/>
        <v>0</v>
      </c>
      <c r="BK374">
        <f t="shared" si="309"/>
        <v>0</v>
      </c>
      <c r="BM374">
        <f t="shared" si="310"/>
        <v>-65.055130997405101</v>
      </c>
      <c r="BN374">
        <f t="shared" si="294"/>
        <v>-145.71539072626308</v>
      </c>
      <c r="BQ374" s="56">
        <f t="shared" si="311"/>
        <v>30.309039621959954</v>
      </c>
      <c r="BR374" s="59"/>
      <c r="BS374" s="59"/>
      <c r="BT374" s="59">
        <v>436515.83199999999</v>
      </c>
      <c r="BU374" s="59">
        <v>13.8226</v>
      </c>
      <c r="BV374" s="59">
        <v>-223.214</v>
      </c>
      <c r="BW374" s="61"/>
      <c r="BY374" s="59"/>
      <c r="BZ374" s="59"/>
      <c r="CA374" s="59"/>
      <c r="CC374" s="59"/>
    </row>
    <row r="375" spans="1:81" x14ac:dyDescent="0.25">
      <c r="A375">
        <f t="shared" si="319"/>
        <v>805000</v>
      </c>
      <c r="B375">
        <f t="shared" si="295"/>
        <v>805</v>
      </c>
      <c r="C375">
        <f t="shared" si="264"/>
        <v>1.2108881874526749</v>
      </c>
      <c r="D375">
        <f t="shared" si="265"/>
        <v>0.59910598831395834</v>
      </c>
      <c r="F375">
        <f t="shared" si="266"/>
        <v>3.0443388931821014E-5</v>
      </c>
      <c r="G375">
        <f t="shared" si="267"/>
        <v>2.1580675763611611E-3</v>
      </c>
      <c r="H375">
        <f t="shared" si="268"/>
        <v>-3.1394345824236392</v>
      </c>
      <c r="J375">
        <f t="shared" si="269"/>
        <v>15</v>
      </c>
      <c r="M375">
        <f t="shared" si="270"/>
        <v>3.3163580929075772E-3</v>
      </c>
      <c r="N375">
        <f t="shared" si="271"/>
        <v>-1.5707963250000001</v>
      </c>
      <c r="O375">
        <f t="shared" si="272"/>
        <v>216.98896701970665</v>
      </c>
      <c r="P375">
        <f t="shared" si="273"/>
        <v>1.5661877812382925</v>
      </c>
      <c r="Q375">
        <f t="shared" si="274"/>
        <v>205.52774871748696</v>
      </c>
      <c r="R375">
        <f t="shared" si="275"/>
        <v>1.565930784541675</v>
      </c>
      <c r="S375">
        <f t="shared" si="276"/>
        <v>0.18780470500091656</v>
      </c>
      <c r="T375">
        <f t="shared" si="277"/>
        <v>-1.3818697247908391</v>
      </c>
      <c r="U375">
        <f t="shared" si="278"/>
        <v>0.78613908501825536</v>
      </c>
      <c r="V375">
        <f t="shared" si="279"/>
        <v>-0.66625932231069662</v>
      </c>
      <c r="X375">
        <f t="shared" si="296"/>
        <v>-38.3627261808806</v>
      </c>
      <c r="Y375">
        <f t="shared" si="280"/>
        <v>-173.4420826575415</v>
      </c>
      <c r="Z375">
        <f t="shared" si="297"/>
        <v>6.5579173424584951</v>
      </c>
      <c r="AC375">
        <v>1</v>
      </c>
      <c r="AD375">
        <f t="shared" si="281"/>
        <v>216.98666274285003</v>
      </c>
      <c r="AE375">
        <f t="shared" si="282"/>
        <v>-1.3170129177141072E-2</v>
      </c>
      <c r="AF375">
        <f t="shared" si="283"/>
        <v>1.6751977319448001E-2</v>
      </c>
      <c r="AG375">
        <f t="shared" si="315"/>
        <v>7976.0772892916029</v>
      </c>
      <c r="AH375">
        <f t="shared" si="316"/>
        <v>-6330.3552890869105</v>
      </c>
      <c r="AJ375">
        <f t="shared" si="284"/>
        <v>18000</v>
      </c>
      <c r="AK375">
        <f t="shared" si="285"/>
        <v>94138.829066898004</v>
      </c>
      <c r="AL375">
        <v>1</v>
      </c>
      <c r="AM375">
        <f t="shared" si="286"/>
        <v>205.52531594156099</v>
      </c>
      <c r="AN375">
        <f t="shared" si="317"/>
        <v>458.45534130658598</v>
      </c>
      <c r="AO375">
        <f t="shared" si="318"/>
        <v>-85.349800234250338</v>
      </c>
      <c r="AQ375">
        <f t="shared" si="287"/>
        <v>3.8578743652349966E-3</v>
      </c>
      <c r="AR375">
        <f t="shared" si="288"/>
        <v>-6.2111777280283444</v>
      </c>
      <c r="AT375">
        <f t="shared" si="313"/>
        <v>-39288.191077973563</v>
      </c>
      <c r="AU375">
        <f t="shared" si="314"/>
        <v>-49565.255331673296</v>
      </c>
      <c r="AV375">
        <f t="shared" si="302"/>
        <v>-2.2410430767296483</v>
      </c>
      <c r="AW375">
        <f t="shared" si="303"/>
        <v>8836.7644118894259</v>
      </c>
      <c r="AX375">
        <f t="shared" si="304"/>
        <v>-10333.488194677244</v>
      </c>
      <c r="AY375">
        <f t="shared" si="312"/>
        <v>-0.86331542754952262</v>
      </c>
      <c r="BA375">
        <f t="shared" si="289"/>
        <v>4.6517086803318959</v>
      </c>
      <c r="BB375">
        <f t="shared" si="305"/>
        <v>13.352250172349439</v>
      </c>
      <c r="BC375">
        <f t="shared" si="306"/>
        <v>-1.3777276491801258</v>
      </c>
      <c r="BD375">
        <f t="shared" si="290"/>
        <v>-258.93797970670153</v>
      </c>
      <c r="BF375">
        <f t="shared" si="291"/>
        <v>-51.793983873929804</v>
      </c>
      <c r="BG375">
        <f t="shared" si="292"/>
        <v>-224.48808689190341</v>
      </c>
      <c r="BH375">
        <f t="shared" si="307"/>
        <v>-44.488086891903407</v>
      </c>
      <c r="BI375">
        <f t="shared" si="308"/>
        <v>-44.488086891903407</v>
      </c>
      <c r="BJ375">
        <f t="shared" si="293"/>
        <v>0</v>
      </c>
      <c r="BK375">
        <f t="shared" si="309"/>
        <v>0</v>
      </c>
      <c r="BM375">
        <f t="shared" si="310"/>
        <v>-65.146234046279247</v>
      </c>
      <c r="BN375">
        <f t="shared" si="294"/>
        <v>-145.55010718520191</v>
      </c>
      <c r="BQ375" s="56">
        <f t="shared" si="311"/>
        <v>30.254210972634578</v>
      </c>
      <c r="BR375" s="59"/>
      <c r="BS375" s="59"/>
      <c r="BT375" s="59">
        <v>446683.592</v>
      </c>
      <c r="BU375" s="59">
        <v>13.599500000000001</v>
      </c>
      <c r="BV375" s="59">
        <v>-225.053</v>
      </c>
      <c r="BW375" s="61"/>
      <c r="BY375" s="59"/>
      <c r="BZ375" s="59"/>
      <c r="CA375" s="59"/>
      <c r="CC375" s="59"/>
    </row>
    <row r="376" spans="1:81" x14ac:dyDescent="0.25">
      <c r="A376">
        <f t="shared" si="319"/>
        <v>810000</v>
      </c>
      <c r="B376">
        <f t="shared" si="295"/>
        <v>810</v>
      </c>
      <c r="C376">
        <f t="shared" si="264"/>
        <v>1.2132848461296817</v>
      </c>
      <c r="D376">
        <f t="shared" si="265"/>
        <v>0.60199279317570931</v>
      </c>
      <c r="F376">
        <f t="shared" si="266"/>
        <v>3.0068693967736653E-5</v>
      </c>
      <c r="G376">
        <f t="shared" si="267"/>
        <v>2.1447453900365304E-3</v>
      </c>
      <c r="H376">
        <f t="shared" si="268"/>
        <v>-3.1394479046099635</v>
      </c>
      <c r="J376">
        <f t="shared" si="269"/>
        <v>15</v>
      </c>
      <c r="M376">
        <f t="shared" si="270"/>
        <v>3.2958867466550612E-3</v>
      </c>
      <c r="N376">
        <f t="shared" si="271"/>
        <v>-1.5707963250000001</v>
      </c>
      <c r="O376">
        <f t="shared" si="272"/>
        <v>218.33669604277509</v>
      </c>
      <c r="P376">
        <f t="shared" si="273"/>
        <v>1.5662162286512975</v>
      </c>
      <c r="Q376">
        <f t="shared" si="274"/>
        <v>206.80428845792875</v>
      </c>
      <c r="R376">
        <f t="shared" si="275"/>
        <v>1.5659608182834868</v>
      </c>
      <c r="S376">
        <f t="shared" si="276"/>
        <v>0.18668594087380749</v>
      </c>
      <c r="T376">
        <f t="shared" si="277"/>
        <v>-1.3830086326399769</v>
      </c>
      <c r="U376">
        <f t="shared" si="278"/>
        <v>0.78427476770457882</v>
      </c>
      <c r="V376">
        <f t="shared" si="279"/>
        <v>-0.66927001459876234</v>
      </c>
      <c r="X376">
        <f t="shared" si="296"/>
        <v>-38.471859849108</v>
      </c>
      <c r="Y376">
        <f t="shared" si="280"/>
        <v>-173.5118480789919</v>
      </c>
      <c r="Z376">
        <f t="shared" si="297"/>
        <v>6.4881519210080967</v>
      </c>
      <c r="AC376">
        <v>1</v>
      </c>
      <c r="AD376">
        <f t="shared" si="281"/>
        <v>218.33440598970003</v>
      </c>
      <c r="AE376">
        <f t="shared" si="282"/>
        <v>-1.3334241353531512E-2</v>
      </c>
      <c r="AF376">
        <f t="shared" si="283"/>
        <v>1.6856026868016002E-2</v>
      </c>
      <c r="AG376">
        <f t="shared" si="315"/>
        <v>7938.2918456021716</v>
      </c>
      <c r="AH376">
        <f t="shared" si="316"/>
        <v>-6339.0442030427967</v>
      </c>
      <c r="AJ376">
        <f t="shared" si="284"/>
        <v>18000</v>
      </c>
      <c r="AK376">
        <f t="shared" si="285"/>
        <v>94723.542290915997</v>
      </c>
      <c r="AL376">
        <v>1</v>
      </c>
      <c r="AM376">
        <f t="shared" si="286"/>
        <v>206.80187069896201</v>
      </c>
      <c r="AN376">
        <f t="shared" si="317"/>
        <v>458.45023038140971</v>
      </c>
      <c r="AO376">
        <f t="shared" si="318"/>
        <v>-84.822974329635187</v>
      </c>
      <c r="AQ376">
        <f t="shared" si="287"/>
        <v>3.8103933049865473E-3</v>
      </c>
      <c r="AR376">
        <f t="shared" si="288"/>
        <v>-6.1728371540782065</v>
      </c>
      <c r="AT376">
        <f t="shared" si="313"/>
        <v>-39099.639563785138</v>
      </c>
      <c r="AU376">
        <f t="shared" si="314"/>
        <v>-49025.937096040434</v>
      </c>
      <c r="AV376">
        <f t="shared" si="302"/>
        <v>-2.2440291556650438</v>
      </c>
      <c r="AW376">
        <f t="shared" si="303"/>
        <v>8801.067287925347</v>
      </c>
      <c r="AX376">
        <f t="shared" si="304"/>
        <v>-10323.003233820516</v>
      </c>
      <c r="AY376">
        <f t="shared" si="312"/>
        <v>-0.86481300997064992</v>
      </c>
      <c r="BA376">
        <f t="shared" si="289"/>
        <v>4.6226221690898344</v>
      </c>
      <c r="BB376">
        <f t="shared" si="305"/>
        <v>13.297767954917145</v>
      </c>
      <c r="BC376">
        <f t="shared" si="306"/>
        <v>-1.3792161456943939</v>
      </c>
      <c r="BD376">
        <f t="shared" si="290"/>
        <v>-259.02326427488646</v>
      </c>
      <c r="BF376">
        <f t="shared" si="291"/>
        <v>-51.938860098665451</v>
      </c>
      <c r="BG376">
        <f t="shared" si="292"/>
        <v>-224.40873303009434</v>
      </c>
      <c r="BH376">
        <f t="shared" si="307"/>
        <v>-44.408733030094339</v>
      </c>
      <c r="BI376">
        <f t="shared" si="308"/>
        <v>-44.408733030094339</v>
      </c>
      <c r="BJ376">
        <f t="shared" si="293"/>
        <v>0</v>
      </c>
      <c r="BK376">
        <f t="shared" si="309"/>
        <v>0</v>
      </c>
      <c r="BM376">
        <f t="shared" si="310"/>
        <v>-65.236628053582592</v>
      </c>
      <c r="BN376">
        <f t="shared" si="294"/>
        <v>-145.38546875520788</v>
      </c>
      <c r="BQ376" s="56">
        <f t="shared" si="311"/>
        <v>30.199728755202283</v>
      </c>
      <c r="BR376" s="59"/>
      <c r="BS376" s="59"/>
      <c r="BT376" s="59">
        <v>457088.19</v>
      </c>
      <c r="BU376" s="59">
        <v>13.3674</v>
      </c>
      <c r="BV376" s="59">
        <v>-226.50200000000001</v>
      </c>
      <c r="BW376" s="61"/>
      <c r="BY376" s="59"/>
      <c r="BZ376" s="59"/>
      <c r="CA376" s="59"/>
      <c r="CC376" s="59"/>
    </row>
    <row r="377" spans="1:81" x14ac:dyDescent="0.25">
      <c r="A377">
        <f t="shared" si="319"/>
        <v>815000</v>
      </c>
      <c r="B377">
        <f t="shared" si="295"/>
        <v>815</v>
      </c>
      <c r="C377">
        <f t="shared" si="264"/>
        <v>1.2156915759728639</v>
      </c>
      <c r="D377">
        <f t="shared" si="265"/>
        <v>0.6048681917861557</v>
      </c>
      <c r="F377">
        <f t="shared" si="266"/>
        <v>2.9700874312724775E-5</v>
      </c>
      <c r="G377">
        <f t="shared" si="267"/>
        <v>2.1315866803731979E-3</v>
      </c>
      <c r="H377">
        <f t="shared" si="268"/>
        <v>-3.1394610633196272</v>
      </c>
      <c r="J377">
        <f t="shared" si="269"/>
        <v>15</v>
      </c>
      <c r="M377">
        <f t="shared" si="270"/>
        <v>3.2756665825651532E-3</v>
      </c>
      <c r="N377">
        <f t="shared" si="271"/>
        <v>-1.5707963250000001</v>
      </c>
      <c r="O377">
        <f t="shared" si="272"/>
        <v>219.6844252403657</v>
      </c>
      <c r="P377">
        <f t="shared" si="273"/>
        <v>1.5662443270235678</v>
      </c>
      <c r="Q377">
        <f t="shared" si="274"/>
        <v>208.08082838262445</v>
      </c>
      <c r="R377">
        <f t="shared" si="275"/>
        <v>1.5659904835216929</v>
      </c>
      <c r="S377">
        <f t="shared" si="276"/>
        <v>0.18558019044910842</v>
      </c>
      <c r="T377">
        <f t="shared" si="277"/>
        <v>-1.3841340503150554</v>
      </c>
      <c r="U377">
        <f t="shared" si="278"/>
        <v>0.78241223017297534</v>
      </c>
      <c r="V377">
        <f t="shared" si="279"/>
        <v>-0.67226643403483999</v>
      </c>
      <c r="X377">
        <f t="shared" si="296"/>
        <v>-38.580356531891823</v>
      </c>
      <c r="Y377">
        <f t="shared" si="280"/>
        <v>-173.58070807202174</v>
      </c>
      <c r="Z377">
        <f t="shared" si="297"/>
        <v>6.4192919279782643</v>
      </c>
      <c r="AC377">
        <v>1</v>
      </c>
      <c r="AD377">
        <f t="shared" si="281"/>
        <v>219.68214923655</v>
      </c>
      <c r="AE377">
        <f t="shared" si="282"/>
        <v>-1.3499369704388763E-2</v>
      </c>
      <c r="AF377">
        <f t="shared" si="283"/>
        <v>1.6960076416583997E-2</v>
      </c>
      <c r="AG377">
        <f t="shared" si="315"/>
        <v>7900.6320595959014</v>
      </c>
      <c r="AH377">
        <f t="shared" si="316"/>
        <v>-6347.4686331934863</v>
      </c>
      <c r="AJ377">
        <f t="shared" si="284"/>
        <v>18000</v>
      </c>
      <c r="AK377">
        <f t="shared" si="285"/>
        <v>95308.255514934004</v>
      </c>
      <c r="AL377">
        <v>1</v>
      </c>
      <c r="AM377">
        <f t="shared" si="286"/>
        <v>208.07842545636299</v>
      </c>
      <c r="AN377">
        <f t="shared" si="317"/>
        <v>458.44521323060025</v>
      </c>
      <c r="AO377">
        <f t="shared" si="318"/>
        <v>-84.302612095880704</v>
      </c>
      <c r="AQ377">
        <f t="shared" si="287"/>
        <v>3.7637834454501691E-3</v>
      </c>
      <c r="AR377">
        <f t="shared" si="288"/>
        <v>-6.1349670160837757</v>
      </c>
      <c r="AT377">
        <f t="shared" si="313"/>
        <v>-38911.774432113903</v>
      </c>
      <c r="AU377">
        <f t="shared" si="314"/>
        <v>-48494.007589197005</v>
      </c>
      <c r="AV377">
        <f t="shared" si="302"/>
        <v>-2.2470012637455192</v>
      </c>
      <c r="AW377">
        <f t="shared" si="303"/>
        <v>8765.3912863323021</v>
      </c>
      <c r="AX377">
        <f t="shared" si="304"/>
        <v>-10312.471281878958</v>
      </c>
      <c r="AY377">
        <f t="shared" si="312"/>
        <v>-0.86631404562029057</v>
      </c>
      <c r="BA377">
        <f t="shared" si="289"/>
        <v>4.5938984434506516</v>
      </c>
      <c r="BB377">
        <f t="shared" si="305"/>
        <v>13.243627801783997</v>
      </c>
      <c r="BC377">
        <f t="shared" si="306"/>
        <v>-1.3806872181252285</v>
      </c>
      <c r="BD377">
        <f t="shared" si="290"/>
        <v>-259.10755051662761</v>
      </c>
      <c r="BF377">
        <f t="shared" si="291"/>
        <v>-52.082694192042176</v>
      </c>
      <c r="BG377">
        <f t="shared" si="292"/>
        <v>-224.32902500537935</v>
      </c>
      <c r="BH377">
        <f t="shared" si="307"/>
        <v>-44.32902500537935</v>
      </c>
      <c r="BI377">
        <f t="shared" si="308"/>
        <v>-44.32902500537935</v>
      </c>
      <c r="BJ377">
        <f t="shared" si="293"/>
        <v>0</v>
      </c>
      <c r="BK377">
        <f t="shared" si="309"/>
        <v>0</v>
      </c>
      <c r="BM377">
        <f t="shared" si="310"/>
        <v>-65.32632199382617</v>
      </c>
      <c r="BN377">
        <f t="shared" si="294"/>
        <v>-145.22147448875171</v>
      </c>
      <c r="BQ377" s="56">
        <f t="shared" si="311"/>
        <v>30.145588602069132</v>
      </c>
      <c r="BR377" s="59"/>
      <c r="BS377" s="59"/>
      <c r="BT377" s="59">
        <v>467735.141</v>
      </c>
      <c r="BU377" s="59">
        <v>13.1959</v>
      </c>
      <c r="BV377" s="59">
        <v>131.81700000000001</v>
      </c>
      <c r="BY377" s="59"/>
      <c r="BZ377" s="59"/>
      <c r="CA377" s="59"/>
      <c r="CC377" s="59"/>
    </row>
    <row r="378" spans="1:81" x14ac:dyDescent="0.25">
      <c r="A378">
        <f t="shared" si="319"/>
        <v>820000</v>
      </c>
      <c r="B378">
        <f t="shared" si="295"/>
        <v>820</v>
      </c>
      <c r="C378">
        <f t="shared" si="264"/>
        <v>1.2181083172866056</v>
      </c>
      <c r="D378">
        <f t="shared" si="265"/>
        <v>0.6077322043482003</v>
      </c>
      <c r="F378">
        <f t="shared" si="266"/>
        <v>2.9339762780833778E-5</v>
      </c>
      <c r="G378">
        <f t="shared" si="267"/>
        <v>2.1185884565999747E-3</v>
      </c>
      <c r="H378">
        <f t="shared" si="268"/>
        <v>-3.1394740615434</v>
      </c>
      <c r="J378">
        <f t="shared" si="269"/>
        <v>15</v>
      </c>
      <c r="M378">
        <f t="shared" si="270"/>
        <v>3.2556930058421948E-3</v>
      </c>
      <c r="N378">
        <f t="shared" si="271"/>
        <v>-1.5707963250000001</v>
      </c>
      <c r="O378">
        <f t="shared" si="272"/>
        <v>221.03215460928612</v>
      </c>
      <c r="P378">
        <f t="shared" si="273"/>
        <v>1.5662720827398184</v>
      </c>
      <c r="Q378">
        <f t="shared" si="274"/>
        <v>209.35736848820372</v>
      </c>
      <c r="R378">
        <f t="shared" si="275"/>
        <v>1.5660197869970061</v>
      </c>
      <c r="S378">
        <f t="shared" si="276"/>
        <v>0.18448723217588445</v>
      </c>
      <c r="T378">
        <f t="shared" si="277"/>
        <v>-1.3852462132873657</v>
      </c>
      <c r="U378">
        <f t="shared" si="278"/>
        <v>0.78055155975332269</v>
      </c>
      <c r="V378">
        <f t="shared" si="279"/>
        <v>-0.67524862844892175</v>
      </c>
      <c r="X378">
        <f t="shared" si="296"/>
        <v>-38.68822336999682</v>
      </c>
      <c r="Y378">
        <f t="shared" si="280"/>
        <v>-173.64867713038456</v>
      </c>
      <c r="Z378">
        <f t="shared" si="297"/>
        <v>6.3513228696154442</v>
      </c>
      <c r="AC378">
        <v>1</v>
      </c>
      <c r="AD378">
        <f t="shared" si="281"/>
        <v>221.0298924834</v>
      </c>
      <c r="AE378">
        <f t="shared" si="282"/>
        <v>-1.3665514229712832E-2</v>
      </c>
      <c r="AF378">
        <f t="shared" si="283"/>
        <v>1.7064125965151999E-2</v>
      </c>
      <c r="AG378">
        <f t="shared" si="315"/>
        <v>7863.0994340626594</v>
      </c>
      <c r="AH378">
        <f t="shared" si="316"/>
        <v>-6355.6315411238311</v>
      </c>
      <c r="AJ378">
        <f t="shared" si="284"/>
        <v>18000</v>
      </c>
      <c r="AK378">
        <f t="shared" si="285"/>
        <v>95892.968738952011</v>
      </c>
      <c r="AL378">
        <v>1</v>
      </c>
      <c r="AM378">
        <f t="shared" si="286"/>
        <v>209.35498021376401</v>
      </c>
      <c r="AN378">
        <f t="shared" si="317"/>
        <v>458.44028757405238</v>
      </c>
      <c r="AO378">
        <f t="shared" si="318"/>
        <v>-83.788595305996367</v>
      </c>
      <c r="AQ378">
        <f t="shared" si="287"/>
        <v>3.7180236027574351E-3</v>
      </c>
      <c r="AR378">
        <f t="shared" si="288"/>
        <v>-6.0975587085221932</v>
      </c>
      <c r="AT378">
        <f t="shared" si="313"/>
        <v>-38724.601262451273</v>
      </c>
      <c r="AU378">
        <f t="shared" si="314"/>
        <v>-47969.340818225028</v>
      </c>
      <c r="AV378">
        <f t="shared" si="302"/>
        <v>-2.249959443276905</v>
      </c>
      <c r="AW378">
        <f t="shared" si="303"/>
        <v>8729.7409833971797</v>
      </c>
      <c r="AX378">
        <f t="shared" si="304"/>
        <v>-10301.891087334105</v>
      </c>
      <c r="AY378">
        <f t="shared" si="312"/>
        <v>-0.8678182404975826</v>
      </c>
      <c r="BA378">
        <f t="shared" si="289"/>
        <v>4.5655307409915604</v>
      </c>
      <c r="BB378">
        <f t="shared" si="305"/>
        <v>13.189825427048394</v>
      </c>
      <c r="BC378">
        <f t="shared" si="306"/>
        <v>-1.3821412027793225</v>
      </c>
      <c r="BD378">
        <f t="shared" si="290"/>
        <v>-259.19085770087918</v>
      </c>
      <c r="BF378">
        <f t="shared" si="291"/>
        <v>-52.2254992572974</v>
      </c>
      <c r="BG378">
        <f t="shared" si="292"/>
        <v>-224.24898110052996</v>
      </c>
      <c r="BH378">
        <f t="shared" si="307"/>
        <v>-44.24898110052996</v>
      </c>
      <c r="BI378">
        <f t="shared" si="308"/>
        <v>-44.24898110052996</v>
      </c>
      <c r="BJ378">
        <f t="shared" si="293"/>
        <v>0</v>
      </c>
      <c r="BK378">
        <f t="shared" si="309"/>
        <v>0</v>
      </c>
      <c r="BM378">
        <f t="shared" si="310"/>
        <v>-65.415324684345791</v>
      </c>
      <c r="BN378">
        <f t="shared" si="294"/>
        <v>-145.05812339965078</v>
      </c>
      <c r="BQ378" s="56">
        <f t="shared" si="311"/>
        <v>30.091786227333529</v>
      </c>
      <c r="BR378" s="59"/>
      <c r="BS378" s="59"/>
      <c r="BT378" s="59">
        <v>478630.092</v>
      </c>
      <c r="BU378" s="59">
        <v>13.0069</v>
      </c>
      <c r="BV378" s="59">
        <v>129.95699999999999</v>
      </c>
      <c r="BY378" s="59"/>
      <c r="BZ378" s="59"/>
      <c r="CA378" s="59"/>
      <c r="CC378" s="59"/>
    </row>
    <row r="379" spans="1:81" x14ac:dyDescent="0.25">
      <c r="A379">
        <f t="shared" si="319"/>
        <v>825000</v>
      </c>
      <c r="B379">
        <f t="shared" si="295"/>
        <v>825</v>
      </c>
      <c r="C379">
        <f t="shared" si="264"/>
        <v>1.2205350106007551</v>
      </c>
      <c r="D379">
        <f t="shared" si="265"/>
        <v>0.61058485165222309</v>
      </c>
      <c r="F379">
        <f t="shared" si="266"/>
        <v>2.8985197237233407E-5</v>
      </c>
      <c r="G379">
        <f t="shared" si="267"/>
        <v>2.1057478004595552E-3</v>
      </c>
      <c r="H379">
        <f t="shared" si="268"/>
        <v>-3.1394869021995406</v>
      </c>
      <c r="J379">
        <f t="shared" si="269"/>
        <v>15</v>
      </c>
      <c r="M379">
        <f t="shared" si="270"/>
        <v>3.2359615330795149E-3</v>
      </c>
      <c r="N379">
        <f t="shared" si="271"/>
        <v>-1.5707963250000001</v>
      </c>
      <c r="O379">
        <f t="shared" si="272"/>
        <v>222.37988414642132</v>
      </c>
      <c r="P379">
        <f t="shared" si="273"/>
        <v>1.5662995020299897</v>
      </c>
      <c r="Q379">
        <f t="shared" si="274"/>
        <v>210.6339087713778</v>
      </c>
      <c r="R379">
        <f t="shared" si="275"/>
        <v>1.5660487352867341</v>
      </c>
      <c r="S379">
        <f t="shared" si="276"/>
        <v>0.18340684940384774</v>
      </c>
      <c r="T379">
        <f t="shared" si="277"/>
        <v>-1.386345351645303</v>
      </c>
      <c r="U379">
        <f t="shared" si="278"/>
        <v>0.77869284208981904</v>
      </c>
      <c r="V379">
        <f t="shared" si="279"/>
        <v>-0.67821664623003985</v>
      </c>
      <c r="X379">
        <f t="shared" si="296"/>
        <v>-38.795467383949088</v>
      </c>
      <c r="Y379">
        <f t="shared" si="280"/>
        <v>-173.71576945186337</v>
      </c>
      <c r="Z379">
        <f t="shared" si="297"/>
        <v>6.2842305481366338</v>
      </c>
      <c r="AC379">
        <v>1</v>
      </c>
      <c r="AD379">
        <f t="shared" si="281"/>
        <v>222.37763573025001</v>
      </c>
      <c r="AE379">
        <f t="shared" si="282"/>
        <v>-1.3832674929503713E-2</v>
      </c>
      <c r="AF379">
        <f t="shared" si="283"/>
        <v>1.7168175513720001E-2</v>
      </c>
      <c r="AG379">
        <f t="shared" si="315"/>
        <v>7825.6954213956815</v>
      </c>
      <c r="AH379">
        <f t="shared" si="316"/>
        <v>-6363.5358791715698</v>
      </c>
      <c r="AJ379">
        <f t="shared" si="284"/>
        <v>18000</v>
      </c>
      <c r="AK379">
        <f t="shared" si="285"/>
        <v>96477.681962970004</v>
      </c>
      <c r="AL379">
        <v>1</v>
      </c>
      <c r="AM379">
        <f t="shared" si="286"/>
        <v>210.631534971165</v>
      </c>
      <c r="AN379">
        <f t="shared" si="317"/>
        <v>458.43545120054205</v>
      </c>
      <c r="AO379">
        <f t="shared" si="318"/>
        <v>-83.28080859877349</v>
      </c>
      <c r="AQ379">
        <f t="shared" si="287"/>
        <v>3.6730932330236057E-3</v>
      </c>
      <c r="AR379">
        <f t="shared" si="288"/>
        <v>-6.0606038344889495</v>
      </c>
      <c r="AT379">
        <f t="shared" si="313"/>
        <v>-38538.125441319193</v>
      </c>
      <c r="AU379">
        <f t="shared" si="314"/>
        <v>-47451.813539029165</v>
      </c>
      <c r="AV379">
        <f t="shared" si="302"/>
        <v>-2.252903737257987</v>
      </c>
      <c r="AW379">
        <f t="shared" si="303"/>
        <v>8694.120811578794</v>
      </c>
      <c r="AX379">
        <f t="shared" si="304"/>
        <v>-10291.261499323453</v>
      </c>
      <c r="AY379">
        <f t="shared" si="312"/>
        <v>-0.86932530996866098</v>
      </c>
      <c r="BA379">
        <f t="shared" si="289"/>
        <v>4.537512466347251</v>
      </c>
      <c r="BB379">
        <f t="shared" si="305"/>
        <v>13.136356624501598</v>
      </c>
      <c r="BC379">
        <f t="shared" si="306"/>
        <v>-1.3835784272893261</v>
      </c>
      <c r="BD379">
        <f t="shared" si="290"/>
        <v>-259.27320459960924</v>
      </c>
      <c r="BF379">
        <f t="shared" si="291"/>
        <v>-52.367288164468889</v>
      </c>
      <c r="BG379">
        <f t="shared" si="292"/>
        <v>-224.16861906351727</v>
      </c>
      <c r="BH379">
        <f t="shared" si="307"/>
        <v>-44.168619063517269</v>
      </c>
      <c r="BI379">
        <f t="shared" si="308"/>
        <v>-44.168619063517269</v>
      </c>
      <c r="BJ379">
        <f t="shared" si="293"/>
        <v>0</v>
      </c>
      <c r="BK379">
        <f t="shared" si="309"/>
        <v>0</v>
      </c>
      <c r="BM379">
        <f t="shared" si="310"/>
        <v>-65.50364478897049</v>
      </c>
      <c r="BN379">
        <f t="shared" si="294"/>
        <v>-144.895414463908</v>
      </c>
      <c r="BQ379" s="56">
        <f t="shared" si="311"/>
        <v>30.038317424786733</v>
      </c>
      <c r="BR379" s="59"/>
      <c r="BS379" s="59"/>
      <c r="BT379" s="59">
        <v>489778.81900000002</v>
      </c>
      <c r="BU379" s="59">
        <v>12.7394</v>
      </c>
      <c r="BV379" s="59">
        <v>126.41800000000001</v>
      </c>
      <c r="BY379" s="59"/>
      <c r="BZ379" s="59"/>
      <c r="CA379" s="59"/>
      <c r="CC379" s="59"/>
    </row>
    <row r="380" spans="1:81" x14ac:dyDescent="0.25">
      <c r="A380">
        <f t="shared" si="319"/>
        <v>830000</v>
      </c>
      <c r="B380">
        <f t="shared" si="295"/>
        <v>830</v>
      </c>
      <c r="C380">
        <f t="shared" si="264"/>
        <v>1.2229715966732528</v>
      </c>
      <c r="D380">
        <f t="shared" si="265"/>
        <v>0.61342615506381515</v>
      </c>
      <c r="F380">
        <f t="shared" si="266"/>
        <v>2.8637020416184565E-5</v>
      </c>
      <c r="G380">
        <f t="shared" si="267"/>
        <v>2.0930618640240019E-3</v>
      </c>
      <c r="H380">
        <f t="shared" si="268"/>
        <v>-3.1394995881359762</v>
      </c>
      <c r="J380">
        <f t="shared" si="269"/>
        <v>15</v>
      </c>
      <c r="M380">
        <f t="shared" si="270"/>
        <v>3.216467788904337E-3</v>
      </c>
      <c r="N380">
        <f t="shared" si="271"/>
        <v>-1.5707963250000001</v>
      </c>
      <c r="O380">
        <f t="shared" si="272"/>
        <v>223.72761384873129</v>
      </c>
      <c r="P380">
        <f t="shared" si="273"/>
        <v>1.5663265909739073</v>
      </c>
      <c r="Q380">
        <f t="shared" si="274"/>
        <v>211.91044922893721</v>
      </c>
      <c r="R380">
        <f t="shared" si="275"/>
        <v>1.566077334809701</v>
      </c>
      <c r="S380">
        <f t="shared" si="276"/>
        <v>0.18233883025159114</v>
      </c>
      <c r="T380">
        <f t="shared" si="277"/>
        <v>-1.3874316902453936</v>
      </c>
      <c r="U380">
        <f t="shared" si="278"/>
        <v>0.7768361611569784</v>
      </c>
      <c r="V380">
        <f t="shared" si="279"/>
        <v>-0.68117053630734414</v>
      </c>
      <c r="X380">
        <f t="shared" si="296"/>
        <v>-38.902095476750709</v>
      </c>
      <c r="Y380">
        <f t="shared" si="280"/>
        <v>-173.78199894611808</v>
      </c>
      <c r="Z380">
        <f t="shared" si="297"/>
        <v>6.2180010538819204</v>
      </c>
      <c r="AC380">
        <v>1</v>
      </c>
      <c r="AD380">
        <f t="shared" si="281"/>
        <v>223.72537897710001</v>
      </c>
      <c r="AE380">
        <f t="shared" si="282"/>
        <v>-1.4000851803761408E-2</v>
      </c>
      <c r="AF380">
        <f t="shared" si="283"/>
        <v>1.7272225062288E-2</v>
      </c>
      <c r="AG380">
        <f t="shared" si="315"/>
        <v>7788.4214243592742</v>
      </c>
      <c r="AH380">
        <f t="shared" si="316"/>
        <v>-6371.1845897587709</v>
      </c>
      <c r="AJ380">
        <f t="shared" si="284"/>
        <v>18000</v>
      </c>
      <c r="AK380">
        <f t="shared" si="285"/>
        <v>97062.395186988011</v>
      </c>
      <c r="AL380">
        <v>1</v>
      </c>
      <c r="AM380">
        <f t="shared" si="286"/>
        <v>211.90808972856601</v>
      </c>
      <c r="AN380">
        <f t="shared" si="317"/>
        <v>458.43070196524428</v>
      </c>
      <c r="AO380">
        <f t="shared" si="318"/>
        <v>-82.779139392478257</v>
      </c>
      <c r="AQ380">
        <f t="shared" si="287"/>
        <v>3.6289724092856694E-3</v>
      </c>
      <c r="AR380">
        <f t="shared" si="288"/>
        <v>-6.0240941994142112</v>
      </c>
      <c r="AT380">
        <f t="shared" si="313"/>
        <v>-38352.352164102136</v>
      </c>
      <c r="AU380">
        <f t="shared" si="314"/>
        <v>-46941.305178166775</v>
      </c>
      <c r="AV380">
        <f t="shared" si="302"/>
        <v>-2.2558341893575466</v>
      </c>
      <c r="AW380">
        <f t="shared" si="303"/>
        <v>8658.5350635199211</v>
      </c>
      <c r="AX380">
        <f t="shared" si="304"/>
        <v>-10280.581463534225</v>
      </c>
      <c r="AY380">
        <f t="shared" si="312"/>
        <v>-0.87083497846409863</v>
      </c>
      <c r="BA380">
        <f t="shared" si="289"/>
        <v>4.5098371860946633</v>
      </c>
      <c r="BB380">
        <f t="shared" si="305"/>
        <v>13.083217265687729</v>
      </c>
      <c r="BC380">
        <f t="shared" si="306"/>
        <v>-1.3849992108934481</v>
      </c>
      <c r="BD380">
        <f t="shared" si="290"/>
        <v>-259.35460950381986</v>
      </c>
      <c r="BF380">
        <f t="shared" si="291"/>
        <v>-52.508073555893695</v>
      </c>
      <c r="BG380">
        <f t="shared" si="292"/>
        <v>-224.08795612435927</v>
      </c>
      <c r="BH380">
        <f t="shared" si="307"/>
        <v>-44.087956124359266</v>
      </c>
      <c r="BI380">
        <f t="shared" si="308"/>
        <v>-44.087956124359266</v>
      </c>
      <c r="BJ380">
        <f t="shared" si="293"/>
        <v>0</v>
      </c>
      <c r="BK380">
        <f t="shared" si="309"/>
        <v>0</v>
      </c>
      <c r="BM380">
        <f t="shared" si="310"/>
        <v>-65.591290821581424</v>
      </c>
      <c r="BN380">
        <f t="shared" si="294"/>
        <v>-144.73334662053941</v>
      </c>
      <c r="BQ380" s="56">
        <f t="shared" si="311"/>
        <v>29.985178065972864</v>
      </c>
      <c r="BR380" s="59"/>
      <c r="BS380" s="59"/>
      <c r="BT380" s="59">
        <v>501187.234</v>
      </c>
      <c r="BU380" s="59">
        <v>12.4757</v>
      </c>
      <c r="BV380" s="59">
        <v>125.40900000000001</v>
      </c>
      <c r="BY380" s="59"/>
      <c r="BZ380" s="59"/>
      <c r="CA380" s="59"/>
      <c r="CC380" s="59"/>
    </row>
    <row r="381" spans="1:81" x14ac:dyDescent="0.25">
      <c r="A381">
        <f t="shared" si="319"/>
        <v>835000</v>
      </c>
      <c r="B381">
        <f t="shared" si="295"/>
        <v>835</v>
      </c>
      <c r="C381">
        <f t="shared" si="264"/>
        <v>1.225418016492668</v>
      </c>
      <c r="D381">
        <f t="shared" si="265"/>
        <v>0.61625613651161593</v>
      </c>
      <c r="F381">
        <f t="shared" si="266"/>
        <v>2.8295079746616784E-5</v>
      </c>
      <c r="G381">
        <f t="shared" si="267"/>
        <v>2.0805278675887174E-3</v>
      </c>
      <c r="H381">
        <f t="shared" si="268"/>
        <v>-3.1395121221324116</v>
      </c>
      <c r="J381">
        <f t="shared" si="269"/>
        <v>15</v>
      </c>
      <c r="M381">
        <f t="shared" si="270"/>
        <v>3.1972075027432334E-3</v>
      </c>
      <c r="N381">
        <f t="shared" si="271"/>
        <v>-1.5707963250000001</v>
      </c>
      <c r="O381">
        <f t="shared" si="272"/>
        <v>225.07534371324891</v>
      </c>
      <c r="P381">
        <f t="shared" si="273"/>
        <v>1.5663533555057776</v>
      </c>
      <c r="Q381">
        <f t="shared" si="274"/>
        <v>213.18698985774938</v>
      </c>
      <c r="R381">
        <f t="shared" si="275"/>
        <v>1.5661055918309927</v>
      </c>
      <c r="S381">
        <f t="shared" si="276"/>
        <v>0.18128296747894249</v>
      </c>
      <c r="T381">
        <f t="shared" si="277"/>
        <v>-1.3885054488583328</v>
      </c>
      <c r="U381">
        <f t="shared" si="278"/>
        <v>0.77498159927580823</v>
      </c>
      <c r="V381">
        <f t="shared" si="279"/>
        <v>-0.68411034813146898</v>
      </c>
      <c r="X381">
        <f t="shared" si="296"/>
        <v>-39.008114436518859</v>
      </c>
      <c r="Y381">
        <f t="shared" si="280"/>
        <v>-173.84737924227343</v>
      </c>
      <c r="Z381">
        <f t="shared" si="297"/>
        <v>6.1526207577265666</v>
      </c>
      <c r="AC381">
        <v>1</v>
      </c>
      <c r="AD381">
        <f t="shared" si="281"/>
        <v>225.07312222395001</v>
      </c>
      <c r="AE381">
        <f t="shared" si="282"/>
        <v>-1.4170044852485917E-2</v>
      </c>
      <c r="AF381">
        <f t="shared" si="283"/>
        <v>1.7376274610855998E-2</v>
      </c>
      <c r="AG381">
        <f t="shared" si="315"/>
        <v>7751.2787968561988</v>
      </c>
      <c r="AH381">
        <f t="shared" si="316"/>
        <v>-6378.5806047476699</v>
      </c>
      <c r="AJ381">
        <f t="shared" si="284"/>
        <v>18000</v>
      </c>
      <c r="AK381">
        <f t="shared" si="285"/>
        <v>97647.108411006004</v>
      </c>
      <c r="AL381">
        <v>1</v>
      </c>
      <c r="AM381">
        <f t="shared" si="286"/>
        <v>213.184644485967</v>
      </c>
      <c r="AN381">
        <f t="shared" si="317"/>
        <v>458.42603778735446</v>
      </c>
      <c r="AO381">
        <f t="shared" si="318"/>
        <v>-82.283477801644992</v>
      </c>
      <c r="AQ381">
        <f t="shared" si="287"/>
        <v>3.585641799404138E-3</v>
      </c>
      <c r="AR381">
        <f t="shared" si="288"/>
        <v>-5.9880218050049105</v>
      </c>
      <c r="AT381">
        <f t="shared" si="313"/>
        <v>-38167.286436957613</v>
      </c>
      <c r="AU381">
        <f t="shared" si="314"/>
        <v>-46437.697757484399</v>
      </c>
      <c r="AV381">
        <f t="shared" si="302"/>
        <v>-2.2587508438918449</v>
      </c>
      <c r="AW381">
        <f t="shared" si="303"/>
        <v>8622.9878959271628</v>
      </c>
      <c r="AX381">
        <f t="shared" si="304"/>
        <v>-10269.850018245796</v>
      </c>
      <c r="AY381">
        <f t="shared" si="312"/>
        <v>-0.87234697918757342</v>
      </c>
      <c r="BA381">
        <f t="shared" si="289"/>
        <v>4.4824986238235978</v>
      </c>
      <c r="BB381">
        <f t="shared" si="305"/>
        <v>13.03040329802112</v>
      </c>
      <c r="BC381">
        <f t="shared" si="306"/>
        <v>-1.3864038647042713</v>
      </c>
      <c r="BD381">
        <f t="shared" si="290"/>
        <v>-259.43509023894899</v>
      </c>
      <c r="BF381">
        <f t="shared" si="291"/>
        <v>-52.647867851544063</v>
      </c>
      <c r="BG381">
        <f t="shared" si="292"/>
        <v>-224.00700901134078</v>
      </c>
      <c r="BH381">
        <f t="shared" si="307"/>
        <v>-44.007009011340784</v>
      </c>
      <c r="BI381">
        <f t="shared" si="308"/>
        <v>-44.007009011340784</v>
      </c>
      <c r="BJ381">
        <f t="shared" si="293"/>
        <v>0</v>
      </c>
      <c r="BK381">
        <f t="shared" si="309"/>
        <v>0</v>
      </c>
      <c r="BM381">
        <f t="shared" si="310"/>
        <v>-65.678271149565177</v>
      </c>
      <c r="BN381">
        <f t="shared" si="294"/>
        <v>-144.5719187723918</v>
      </c>
      <c r="BQ381" s="56">
        <f t="shared" si="311"/>
        <v>29.932364098306259</v>
      </c>
      <c r="BR381" s="59"/>
      <c r="BS381" s="59"/>
      <c r="BT381" s="59">
        <v>512861.38400000002</v>
      </c>
      <c r="BU381" s="59">
        <v>12.1639</v>
      </c>
      <c r="BV381" s="59">
        <v>124.027</v>
      </c>
      <c r="BY381" s="59"/>
      <c r="BZ381" s="59"/>
      <c r="CA381" s="59"/>
      <c r="CC381" s="59"/>
    </row>
    <row r="382" spans="1:81" x14ac:dyDescent="0.25">
      <c r="A382">
        <f t="shared" si="319"/>
        <v>840000</v>
      </c>
      <c r="B382">
        <f t="shared" si="295"/>
        <v>840</v>
      </c>
      <c r="C382">
        <f t="shared" si="264"/>
        <v>1.2278742112806524</v>
      </c>
      <c r="D382">
        <f t="shared" si="265"/>
        <v>0.61907481847525558</v>
      </c>
      <c r="F382">
        <f t="shared" si="266"/>
        <v>2.7959227184952065E-5</v>
      </c>
      <c r="G382">
        <f t="shared" si="267"/>
        <v>2.0681430976416519E-3</v>
      </c>
      <c r="H382">
        <f t="shared" si="268"/>
        <v>-3.1395245069023585</v>
      </c>
      <c r="J382">
        <f t="shared" si="269"/>
        <v>15</v>
      </c>
      <c r="M382">
        <f t="shared" si="270"/>
        <v>3.1781765057030949E-3</v>
      </c>
      <c r="N382">
        <f t="shared" si="271"/>
        <v>-1.5707963250000001</v>
      </c>
      <c r="O382">
        <f t="shared" si="272"/>
        <v>226.42307373707769</v>
      </c>
      <c r="P382">
        <f t="shared" si="273"/>
        <v>1.5663798014185208</v>
      </c>
      <c r="Q382">
        <f t="shared" si="274"/>
        <v>214.46353065475625</v>
      </c>
      <c r="R382">
        <f t="shared" si="275"/>
        <v>1.5661335124665314</v>
      </c>
      <c r="S382">
        <f t="shared" si="276"/>
        <v>0.1802390583632949</v>
      </c>
      <c r="T382">
        <f t="shared" si="277"/>
        <v>-1.3895668423102212</v>
      </c>
      <c r="U382">
        <f t="shared" si="278"/>
        <v>0.77312923713016024</v>
      </c>
      <c r="V382">
        <f t="shared" si="279"/>
        <v>-0.68703613165619148</v>
      </c>
      <c r="X382">
        <f t="shared" si="296"/>
        <v>-39.113530939052154</v>
      </c>
      <c r="Y382">
        <f t="shared" si="280"/>
        <v>-173.91192369625747</v>
      </c>
      <c r="Z382">
        <f t="shared" si="297"/>
        <v>6.0880763037425254</v>
      </c>
      <c r="AC382">
        <v>1</v>
      </c>
      <c r="AD382">
        <f t="shared" si="281"/>
        <v>226.42086547080001</v>
      </c>
      <c r="AE382">
        <f t="shared" si="282"/>
        <v>-1.4340254075677239E-2</v>
      </c>
      <c r="AF382">
        <f t="shared" si="283"/>
        <v>1.7480324159424E-2</v>
      </c>
      <c r="AG382">
        <f t="shared" si="315"/>
        <v>7714.2688446943093</v>
      </c>
      <c r="AH382">
        <f t="shared" si="316"/>
        <v>-6385.7268448204622</v>
      </c>
      <c r="AJ382">
        <f t="shared" si="284"/>
        <v>18000</v>
      </c>
      <c r="AK382">
        <f t="shared" si="285"/>
        <v>98231.821635024011</v>
      </c>
      <c r="AL382">
        <v>1</v>
      </c>
      <c r="AM382">
        <f t="shared" si="286"/>
        <v>214.46119924336801</v>
      </c>
      <c r="AN382">
        <f t="shared" si="317"/>
        <v>458.42145664780946</v>
      </c>
      <c r="AO382">
        <f t="shared" si="318"/>
        <v>-81.793716556840735</v>
      </c>
      <c r="AQ382">
        <f t="shared" si="287"/>
        <v>3.5430826448828497E-3</v>
      </c>
      <c r="AR382">
        <f t="shared" si="288"/>
        <v>-5.9523788434031877</v>
      </c>
      <c r="AT382">
        <f t="shared" si="313"/>
        <v>-37982.933078799513</v>
      </c>
      <c r="AU382">
        <f t="shared" si="314"/>
        <v>-45940.875821441601</v>
      </c>
      <c r="AV382">
        <f t="shared" si="302"/>
        <v>-2.261653745802525</v>
      </c>
      <c r="AW382">
        <f t="shared" si="303"/>
        <v>8587.4833333243841</v>
      </c>
      <c r="AX382">
        <f t="shared" si="304"/>
        <v>-10259.066290515193</v>
      </c>
      <c r="AY382">
        <f t="shared" si="312"/>
        <v>-0.87386105383527002</v>
      </c>
      <c r="BA382">
        <f t="shared" si="289"/>
        <v>4.4554906553854705</v>
      </c>
      <c r="BB382">
        <f t="shared" si="305"/>
        <v>12.977910742959189</v>
      </c>
      <c r="BC382">
        <f t="shared" si="306"/>
        <v>-1.387792691967255</v>
      </c>
      <c r="BD382">
        <f t="shared" si="290"/>
        <v>-259.51466417968157</v>
      </c>
      <c r="BF382">
        <f t="shared" si="291"/>
        <v>-52.786683254206011</v>
      </c>
      <c r="BG382">
        <f t="shared" si="292"/>
        <v>-223.92579396663166</v>
      </c>
      <c r="BH382">
        <f t="shared" si="307"/>
        <v>-43.925793966631659</v>
      </c>
      <c r="BI382">
        <f t="shared" si="308"/>
        <v>-43.925793966631659</v>
      </c>
      <c r="BJ382">
        <f t="shared" si="293"/>
        <v>0</v>
      </c>
      <c r="BK382">
        <f t="shared" si="309"/>
        <v>0</v>
      </c>
      <c r="BM382">
        <f t="shared" si="310"/>
        <v>-65.764593997165207</v>
      </c>
      <c r="BN382">
        <f t="shared" si="294"/>
        <v>-144.41112978695011</v>
      </c>
      <c r="BQ382" s="56">
        <f t="shared" si="311"/>
        <v>29.879871543244324</v>
      </c>
      <c r="BR382" s="59"/>
      <c r="BS382" s="59"/>
      <c r="BT382" s="59">
        <v>524807.46</v>
      </c>
      <c r="BU382" s="59">
        <v>11.9579</v>
      </c>
      <c r="BV382" s="59">
        <v>122.795</v>
      </c>
      <c r="BY382" s="59"/>
      <c r="BZ382" s="59"/>
      <c r="CA382" s="59"/>
      <c r="CC382" s="59"/>
    </row>
    <row r="383" spans="1:81" x14ac:dyDescent="0.25">
      <c r="A383">
        <f t="shared" si="319"/>
        <v>845000</v>
      </c>
      <c r="B383">
        <f t="shared" si="295"/>
        <v>845</v>
      </c>
      <c r="C383">
        <f t="shared" si="264"/>
        <v>1.2303401224943056</v>
      </c>
      <c r="D383">
        <f t="shared" si="265"/>
        <v>0.6218822239734052</v>
      </c>
      <c r="F383">
        <f t="shared" si="266"/>
        <v>2.7629319054833056E-5</v>
      </c>
      <c r="G383">
        <f t="shared" si="267"/>
        <v>2.0559049049046272E-3</v>
      </c>
      <c r="H383">
        <f t="shared" si="268"/>
        <v>-3.1395367450950955</v>
      </c>
      <c r="J383">
        <f t="shared" si="269"/>
        <v>15</v>
      </c>
      <c r="M383">
        <f t="shared" si="270"/>
        <v>3.1593707275628397E-3</v>
      </c>
      <c r="N383">
        <f t="shared" si="271"/>
        <v>-1.5707963250000001</v>
      </c>
      <c r="O383">
        <f t="shared" si="272"/>
        <v>227.77080391738963</v>
      </c>
      <c r="P383">
        <f t="shared" si="273"/>
        <v>1.5664059343679513</v>
      </c>
      <c r="Q383">
        <f t="shared" si="274"/>
        <v>215.74007161697227</v>
      </c>
      <c r="R383">
        <f t="shared" si="275"/>
        <v>1.5661611026874895</v>
      </c>
      <c r="S383">
        <f t="shared" si="276"/>
        <v>0.17920690457977304</v>
      </c>
      <c r="T383">
        <f t="shared" si="277"/>
        <v>-1.3906160806191814</v>
      </c>
      <c r="U383">
        <f t="shared" si="278"/>
        <v>0.77127915378323664</v>
      </c>
      <c r="V383">
        <f t="shared" si="279"/>
        <v>-0.68994793732037896</v>
      </c>
      <c r="X383">
        <f t="shared" si="296"/>
        <v>-39.21835155032624</v>
      </c>
      <c r="Y383">
        <f t="shared" si="280"/>
        <v>-173.97564539789894</v>
      </c>
      <c r="Z383">
        <f t="shared" si="297"/>
        <v>6.0243546021010559</v>
      </c>
      <c r="AC383">
        <v>1</v>
      </c>
      <c r="AD383">
        <f t="shared" si="281"/>
        <v>227.76860871765004</v>
      </c>
      <c r="AE383">
        <f t="shared" si="282"/>
        <v>-1.4511479473335375E-2</v>
      </c>
      <c r="AF383">
        <f t="shared" si="283"/>
        <v>1.7584373707991999E-2</v>
      </c>
      <c r="AG383">
        <f t="shared" si="315"/>
        <v>7677.3928263519774</v>
      </c>
      <c r="AH383">
        <f t="shared" si="316"/>
        <v>-6392.6262188825704</v>
      </c>
      <c r="AJ383">
        <f t="shared" si="284"/>
        <v>18000</v>
      </c>
      <c r="AK383">
        <f t="shared" si="285"/>
        <v>98816.534859042004</v>
      </c>
      <c r="AL383">
        <v>1</v>
      </c>
      <c r="AM383">
        <f t="shared" si="286"/>
        <v>215.737754000769</v>
      </c>
      <c r="AN383">
        <f t="shared" si="317"/>
        <v>458.41695658710137</v>
      </c>
      <c r="AO383">
        <f t="shared" si="318"/>
        <v>-81.309750927277989</v>
      </c>
      <c r="AQ383">
        <f t="shared" si="287"/>
        <v>3.5012767405634463E-3</v>
      </c>
      <c r="AR383">
        <f t="shared" si="288"/>
        <v>-5.9171576915522248</v>
      </c>
      <c r="AT383">
        <f t="shared" si="313"/>
        <v>-37799.296723348343</v>
      </c>
      <c r="AU383">
        <f t="shared" si="314"/>
        <v>-45450.726367007766</v>
      </c>
      <c r="AV383">
        <f t="shared" si="302"/>
        <v>-2.2645429406349482</v>
      </c>
      <c r="AW383">
        <f t="shared" si="303"/>
        <v>8552.0252716851592</v>
      </c>
      <c r="AX383">
        <f t="shared" si="304"/>
        <v>-10248.229492500257</v>
      </c>
      <c r="AY383">
        <f t="shared" si="312"/>
        <v>-0.87537695232555501</v>
      </c>
      <c r="BA383">
        <f t="shared" si="289"/>
        <v>4.4288073043127349</v>
      </c>
      <c r="BB383">
        <f t="shared" si="305"/>
        <v>12.925735694228809</v>
      </c>
      <c r="BC383">
        <f t="shared" si="306"/>
        <v>-1.3891659883093932</v>
      </c>
      <c r="BD383">
        <f t="shared" si="290"/>
        <v>-259.59334826419672</v>
      </c>
      <c r="BF383">
        <f t="shared" si="291"/>
        <v>-52.924531754506248</v>
      </c>
      <c r="BG383">
        <f t="shared" si="292"/>
        <v>-223.84432676133073</v>
      </c>
      <c r="BH383">
        <f t="shared" si="307"/>
        <v>-43.844326761330734</v>
      </c>
      <c r="BI383">
        <f t="shared" si="308"/>
        <v>-43.844326761330734</v>
      </c>
      <c r="BJ383">
        <f t="shared" si="293"/>
        <v>0</v>
      </c>
      <c r="BK383">
        <f t="shared" si="309"/>
        <v>0</v>
      </c>
      <c r="BM383">
        <f t="shared" si="310"/>
        <v>-65.850267448735053</v>
      </c>
      <c r="BN383">
        <f t="shared" si="294"/>
        <v>-144.25097849713399</v>
      </c>
      <c r="BQ383" s="56">
        <f t="shared" si="311"/>
        <v>29.827696494513948</v>
      </c>
      <c r="BR383" s="59"/>
      <c r="BS383" s="59"/>
      <c r="BT383" s="59">
        <v>537031.79599999997</v>
      </c>
      <c r="BU383" s="59">
        <v>11.690200000000001</v>
      </c>
      <c r="BV383" s="59">
        <v>121.76300000000001</v>
      </c>
      <c r="BY383" s="59"/>
      <c r="BZ383" s="59"/>
      <c r="CA383" s="59"/>
      <c r="CC383" s="59"/>
    </row>
    <row r="384" spans="1:81" x14ac:dyDescent="0.25">
      <c r="A384">
        <f t="shared" si="319"/>
        <v>850000</v>
      </c>
      <c r="B384">
        <f t="shared" si="295"/>
        <v>850</v>
      </c>
      <c r="C384">
        <f t="shared" si="264"/>
        <v>1.232815691828459</v>
      </c>
      <c r="D384">
        <f t="shared" si="265"/>
        <v>0.62467837655193503</v>
      </c>
      <c r="F384">
        <f t="shared" si="266"/>
        <v>2.7305215893431632E-5</v>
      </c>
      <c r="G384">
        <f t="shared" si="267"/>
        <v>2.0438107024437955E-3</v>
      </c>
      <c r="H384">
        <f t="shared" si="268"/>
        <v>-3.1395488392975563</v>
      </c>
      <c r="J384">
        <f t="shared" si="269"/>
        <v>15</v>
      </c>
      <c r="M384">
        <f t="shared" si="270"/>
        <v>3.140786193871294E-3</v>
      </c>
      <c r="N384">
        <f t="shared" si="271"/>
        <v>-1.5707963250000001</v>
      </c>
      <c r="O384">
        <f t="shared" si="272"/>
        <v>229.11853425142334</v>
      </c>
      <c r="P384">
        <f t="shared" si="273"/>
        <v>1.5664317598768092</v>
      </c>
      <c r="Q384">
        <f t="shared" si="274"/>
        <v>217.01661274148194</v>
      </c>
      <c r="R384">
        <f t="shared" si="275"/>
        <v>1.5661883683245457</v>
      </c>
      <c r="S384">
        <f t="shared" si="276"/>
        <v>0.17818631208510199</v>
      </c>
      <c r="T384">
        <f t="shared" si="277"/>
        <v>-1.3916533691275259</v>
      </c>
      <c r="U384">
        <f t="shared" si="278"/>
        <v>0.76943142669424158</v>
      </c>
      <c r="V384">
        <f t="shared" si="279"/>
        <v>-0.69284581603022544</v>
      </c>
      <c r="X384">
        <f t="shared" si="296"/>
        <v>-39.32258272892112</v>
      </c>
      <c r="Y384">
        <f t="shared" si="280"/>
        <v>-174.03855717779425</v>
      </c>
      <c r="Z384">
        <f t="shared" si="297"/>
        <v>5.9614428222057541</v>
      </c>
      <c r="AC384">
        <v>1</v>
      </c>
      <c r="AD384">
        <f t="shared" si="281"/>
        <v>229.11635196449998</v>
      </c>
      <c r="AE384">
        <f t="shared" si="282"/>
        <v>-1.4683721045460323E-2</v>
      </c>
      <c r="AF384">
        <f t="shared" si="283"/>
        <v>1.7688423256560001E-2</v>
      </c>
      <c r="AG384">
        <f t="shared" si="315"/>
        <v>7640.6519537419072</v>
      </c>
      <c r="AH384">
        <f t="shared" si="316"/>
        <v>-6399.2816234888705</v>
      </c>
      <c r="AJ384">
        <f t="shared" si="284"/>
        <v>18000</v>
      </c>
      <c r="AK384">
        <f t="shared" si="285"/>
        <v>99401.248083060011</v>
      </c>
      <c r="AL384">
        <v>1</v>
      </c>
      <c r="AM384">
        <f t="shared" si="286"/>
        <v>217.01430875816999</v>
      </c>
      <c r="AN384">
        <f t="shared" si="317"/>
        <v>458.41253570318293</v>
      </c>
      <c r="AO384">
        <f t="shared" si="318"/>
        <v>-80.831478646158274</v>
      </c>
      <c r="AQ384">
        <f t="shared" si="287"/>
        <v>3.4602064151534897E-3</v>
      </c>
      <c r="AR384">
        <f t="shared" si="288"/>
        <v>-5.8823509057609327</v>
      </c>
      <c r="AT384">
        <f t="shared" si="313"/>
        <v>-37616.381821242758</v>
      </c>
      <c r="AU384">
        <f t="shared" si="314"/>
        <v>-44967.138776023719</v>
      </c>
      <c r="AV384">
        <f t="shared" si="302"/>
        <v>-2.2674184745169388</v>
      </c>
      <c r="AW384">
        <f t="shared" si="303"/>
        <v>8516.6174819494008</v>
      </c>
      <c r="AX384">
        <f t="shared" si="304"/>
        <v>-10237.338917915306</v>
      </c>
      <c r="AY384">
        <f t="shared" si="312"/>
        <v>-0.87689443253847643</v>
      </c>
      <c r="BA384">
        <f t="shared" si="289"/>
        <v>4.4024427374019544</v>
      </c>
      <c r="BB384">
        <f t="shared" si="305"/>
        <v>12.873874316104477</v>
      </c>
      <c r="BC384">
        <f t="shared" si="306"/>
        <v>-1.3905240419784624</v>
      </c>
      <c r="BD384">
        <f t="shared" si="290"/>
        <v>-259.67115900787559</v>
      </c>
      <c r="BF384">
        <f t="shared" si="291"/>
        <v>-53.061425135792618</v>
      </c>
      <c r="BG384">
        <f t="shared" si="292"/>
        <v>-223.76262270996051</v>
      </c>
      <c r="BH384">
        <f t="shared" si="307"/>
        <v>-43.76262270996051</v>
      </c>
      <c r="BI384">
        <f t="shared" si="308"/>
        <v>-43.76262270996051</v>
      </c>
      <c r="BJ384">
        <f t="shared" si="293"/>
        <v>0</v>
      </c>
      <c r="BK384">
        <f t="shared" si="309"/>
        <v>0</v>
      </c>
      <c r="BM384">
        <f t="shared" si="310"/>
        <v>-65.935299451897095</v>
      </c>
      <c r="BN384">
        <f t="shared" si="294"/>
        <v>-144.09146370208495</v>
      </c>
      <c r="BQ384" s="56">
        <f t="shared" si="311"/>
        <v>29.775835116389612</v>
      </c>
      <c r="BR384" s="59"/>
      <c r="BS384" s="59"/>
      <c r="BT384" s="59">
        <v>549540.87399999995</v>
      </c>
      <c r="BU384" s="59">
        <v>11.575799999999999</v>
      </c>
      <c r="BV384" s="59">
        <v>121.762</v>
      </c>
      <c r="BY384" s="59"/>
      <c r="BZ384" s="59"/>
      <c r="CA384" s="59"/>
      <c r="CC384" s="59"/>
    </row>
    <row r="385" spans="1:81" x14ac:dyDescent="0.25">
      <c r="A385">
        <f t="shared" si="319"/>
        <v>855000</v>
      </c>
      <c r="B385">
        <f t="shared" si="295"/>
        <v>855</v>
      </c>
      <c r="C385">
        <f t="shared" si="264"/>
        <v>1.2353008612178737</v>
      </c>
      <c r="D385">
        <f t="shared" si="265"/>
        <v>0.62746330027218311</v>
      </c>
      <c r="F385">
        <f t="shared" si="266"/>
        <v>2.6986782304030856E-5</v>
      </c>
      <c r="G385">
        <f t="shared" si="267"/>
        <v>2.0318579638464161E-3</v>
      </c>
      <c r="H385">
        <f t="shared" si="268"/>
        <v>-3.1395607920361539</v>
      </c>
      <c r="J385">
        <f t="shared" si="269"/>
        <v>15</v>
      </c>
      <c r="M385">
        <f t="shared" si="270"/>
        <v>3.1224190231469002E-3</v>
      </c>
      <c r="N385">
        <f t="shared" si="271"/>
        <v>-1.5707963250000001</v>
      </c>
      <c r="O385">
        <f t="shared" si="272"/>
        <v>230.466264736482</v>
      </c>
      <c r="P385">
        <f t="shared" si="273"/>
        <v>1.5664572833386523</v>
      </c>
      <c r="Q385">
        <f t="shared" si="274"/>
        <v>218.29315402543813</v>
      </c>
      <c r="R385">
        <f t="shared" si="275"/>
        <v>1.5662153150719937</v>
      </c>
      <c r="S385">
        <f t="shared" si="276"/>
        <v>0.17717709100504964</v>
      </c>
      <c r="T385">
        <f t="shared" si="277"/>
        <v>-1.3926789086296452</v>
      </c>
      <c r="U385">
        <f t="shared" si="278"/>
        <v>0.76758613173516332</v>
      </c>
      <c r="V385">
        <f t="shared" si="279"/>
        <v>-0.69572981914177778</v>
      </c>
      <c r="X385">
        <f t="shared" si="296"/>
        <v>-39.426230828382266</v>
      </c>
      <c r="Y385">
        <f t="shared" si="280"/>
        <v>-174.10067161395176</v>
      </c>
      <c r="Z385">
        <f t="shared" si="297"/>
        <v>5.8993283860482393</v>
      </c>
      <c r="AC385">
        <v>1</v>
      </c>
      <c r="AD385">
        <f t="shared" si="281"/>
        <v>230.46409521134998</v>
      </c>
      <c r="AE385">
        <f t="shared" si="282"/>
        <v>-1.4856978792052083E-2</v>
      </c>
      <c r="AF385">
        <f t="shared" si="283"/>
        <v>1.7792472805127999E-2</v>
      </c>
      <c r="AG385">
        <f t="shared" si="315"/>
        <v>7604.0473929729687</v>
      </c>
      <c r="AH385">
        <f t="shared" si="316"/>
        <v>-6405.6959422925138</v>
      </c>
      <c r="AJ385">
        <f t="shared" si="284"/>
        <v>18000</v>
      </c>
      <c r="AK385">
        <f t="shared" si="285"/>
        <v>99985.961307078003</v>
      </c>
      <c r="AL385">
        <v>1</v>
      </c>
      <c r="AM385">
        <f t="shared" si="286"/>
        <v>218.290863515571</v>
      </c>
      <c r="AN385">
        <f t="shared" si="317"/>
        <v>458.4081921494564</v>
      </c>
      <c r="AO385">
        <f t="shared" si="318"/>
        <v>-80.358799838634908</v>
      </c>
      <c r="AQ385">
        <f t="shared" si="287"/>
        <v>3.4198545125493271E-3</v>
      </c>
      <c r="AR385">
        <f t="shared" si="288"/>
        <v>-5.8479512164593492</v>
      </c>
      <c r="AT385">
        <f t="shared" si="313"/>
        <v>-37434.192642207723</v>
      </c>
      <c r="AU385">
        <f t="shared" si="314"/>
        <v>-44490.00474992508</v>
      </c>
      <c r="AV385">
        <f t="shared" si="302"/>
        <v>-2.270280394137945</v>
      </c>
      <c r="AW385">
        <f t="shared" si="303"/>
        <v>8481.2636134290497</v>
      </c>
      <c r="AX385">
        <f t="shared" si="304"/>
        <v>-10226.393938614463</v>
      </c>
      <c r="AY385">
        <f t="shared" si="312"/>
        <v>-0.87841326006467435</v>
      </c>
      <c r="BA385">
        <f t="shared" si="289"/>
        <v>4.3763912604537909</v>
      </c>
      <c r="BB385">
        <f t="shared" si="305"/>
        <v>12.822322841736472</v>
      </c>
      <c r="BC385">
        <f t="shared" si="306"/>
        <v>-1.3918671340732707</v>
      </c>
      <c r="BD385">
        <f t="shared" si="290"/>
        <v>-259.74811251649339</v>
      </c>
      <c r="BF385">
        <f t="shared" si="291"/>
        <v>-53.197374978873285</v>
      </c>
      <c r="BG385">
        <f t="shared" si="292"/>
        <v>-223.68069668443596</v>
      </c>
      <c r="BH385">
        <f t="shared" si="307"/>
        <v>-43.680696684435958</v>
      </c>
      <c r="BI385">
        <f t="shared" si="308"/>
        <v>-43.680696684435958</v>
      </c>
      <c r="BJ385">
        <f t="shared" si="293"/>
        <v>0</v>
      </c>
      <c r="BK385">
        <f t="shared" si="309"/>
        <v>0</v>
      </c>
      <c r="BM385">
        <f t="shared" si="310"/>
        <v>-66.019697820609764</v>
      </c>
      <c r="BN385">
        <f t="shared" si="294"/>
        <v>-143.93258416794254</v>
      </c>
      <c r="BQ385" s="56">
        <f t="shared" si="311"/>
        <v>29.724283642021611</v>
      </c>
      <c r="BR385" s="59"/>
      <c r="BS385" s="59"/>
      <c r="BT385" s="59">
        <v>562341.32499999995</v>
      </c>
      <c r="BU385" s="59">
        <v>11.314</v>
      </c>
      <c r="BV385" s="59">
        <v>119.89400000000001</v>
      </c>
      <c r="BY385" s="59"/>
      <c r="BZ385" s="59"/>
      <c r="CA385" s="59"/>
      <c r="CC385" s="59"/>
    </row>
    <row r="386" spans="1:81" x14ac:dyDescent="0.25">
      <c r="A386">
        <f t="shared" si="319"/>
        <v>860000</v>
      </c>
      <c r="B386">
        <f t="shared" si="295"/>
        <v>860</v>
      </c>
      <c r="C386">
        <f t="shared" si="264"/>
        <v>1.2377955728393597</v>
      </c>
      <c r="D386">
        <f t="shared" si="265"/>
        <v>0.63023701969933654</v>
      </c>
      <c r="F386">
        <f t="shared" si="266"/>
        <v>2.6673886814589421E-5</v>
      </c>
      <c r="G386">
        <f t="shared" si="267"/>
        <v>2.0200442214612434E-3</v>
      </c>
      <c r="H386">
        <f t="shared" si="268"/>
        <v>-3.1395726057785391</v>
      </c>
      <c r="J386">
        <f t="shared" si="269"/>
        <v>15</v>
      </c>
      <c r="M386">
        <f t="shared" si="270"/>
        <v>3.1042654241751162E-3</v>
      </c>
      <c r="N386">
        <f t="shared" si="271"/>
        <v>-1.5707963250000001</v>
      </c>
      <c r="O386">
        <f t="shared" si="272"/>
        <v>231.81399536993149</v>
      </c>
      <c r="P386">
        <f t="shared" si="273"/>
        <v>1.5664825100216107</v>
      </c>
      <c r="Q386">
        <f t="shared" si="274"/>
        <v>219.56969546605978</v>
      </c>
      <c r="R386">
        <f t="shared" si="275"/>
        <v>1.5662419484917067</v>
      </c>
      <c r="S386">
        <f t="shared" si="276"/>
        <v>0.17617905552531801</v>
      </c>
      <c r="T386">
        <f t="shared" si="277"/>
        <v>-1.3936928954957712</v>
      </c>
      <c r="U386">
        <f t="shared" si="278"/>
        <v>0.76574334320767523</v>
      </c>
      <c r="V386">
        <f t="shared" si="279"/>
        <v>-0.69859999844374854</v>
      </c>
      <c r="X386">
        <f t="shared" si="296"/>
        <v>-39.529302099517672</v>
      </c>
      <c r="Y386">
        <f t="shared" si="280"/>
        <v>-174.16200103822274</v>
      </c>
      <c r="Z386">
        <f t="shared" si="297"/>
        <v>5.8379989617772594</v>
      </c>
      <c r="AC386">
        <v>1</v>
      </c>
      <c r="AD386">
        <f t="shared" si="281"/>
        <v>231.81183845820001</v>
      </c>
      <c r="AE386">
        <f t="shared" si="282"/>
        <v>-1.5031252713110661E-2</v>
      </c>
      <c r="AF386">
        <f t="shared" si="283"/>
        <v>1.7896522353695998E-2</v>
      </c>
      <c r="AG386">
        <f t="shared" si="315"/>
        <v>7567.5802651096046</v>
      </c>
      <c r="AH386">
        <f t="shared" si="316"/>
        <v>-6411.8720455157691</v>
      </c>
      <c r="AJ386">
        <f t="shared" si="284"/>
        <v>18000</v>
      </c>
      <c r="AK386">
        <f t="shared" si="285"/>
        <v>100570.67453109601</v>
      </c>
      <c r="AL386">
        <v>1</v>
      </c>
      <c r="AM386">
        <f t="shared" si="286"/>
        <v>219.56741827297199</v>
      </c>
      <c r="AN386">
        <f t="shared" si="317"/>
        <v>458.40392413284593</v>
      </c>
      <c r="AO386">
        <f t="shared" si="318"/>
        <v>-79.891616952288345</v>
      </c>
      <c r="AQ386">
        <f t="shared" si="287"/>
        <v>3.3802043739168557E-3</v>
      </c>
      <c r="AR386">
        <f t="shared" si="288"/>
        <v>-5.8139515231369918</v>
      </c>
      <c r="AT386">
        <f t="shared" si="313"/>
        <v>-37252.733277273815</v>
      </c>
      <c r="AU386">
        <f t="shared" si="314"/>
        <v>-44019.218246728677</v>
      </c>
      <c r="AV386">
        <f t="shared" si="302"/>
        <v>-2.2731287467286014</v>
      </c>
      <c r="AW386">
        <f t="shared" si="303"/>
        <v>8445.9671971073803</v>
      </c>
      <c r="AX386">
        <f t="shared" si="304"/>
        <v>-10215.394001297836</v>
      </c>
      <c r="AY386">
        <f t="shared" si="312"/>
        <v>-0.8799332079633011</v>
      </c>
      <c r="BA386">
        <f t="shared" si="289"/>
        <v>4.3506473141634814</v>
      </c>
      <c r="BB386">
        <f t="shared" si="305"/>
        <v>12.771077571527371</v>
      </c>
      <c r="BC386">
        <f t="shared" si="306"/>
        <v>-1.3931955387653003</v>
      </c>
      <c r="BD386">
        <f t="shared" si="290"/>
        <v>-259.82422449891908</v>
      </c>
      <c r="BF386">
        <f t="shared" si="291"/>
        <v>-53.332392666619377</v>
      </c>
      <c r="BG386">
        <f t="shared" si="292"/>
        <v>-223.59856312753038</v>
      </c>
      <c r="BH386">
        <f t="shared" si="307"/>
        <v>-43.598563127530383</v>
      </c>
      <c r="BI386">
        <f t="shared" si="308"/>
        <v>-43.598563127530383</v>
      </c>
      <c r="BJ386">
        <f t="shared" si="293"/>
        <v>0</v>
      </c>
      <c r="BK386">
        <f t="shared" si="309"/>
        <v>0</v>
      </c>
      <c r="BM386">
        <f t="shared" si="310"/>
        <v>-66.103470238146755</v>
      </c>
      <c r="BN386">
        <f t="shared" si="294"/>
        <v>-143.77433862861133</v>
      </c>
      <c r="BQ386" s="56">
        <f t="shared" si="311"/>
        <v>29.67303837181251</v>
      </c>
      <c r="BR386" s="59"/>
      <c r="BS386" s="59"/>
      <c r="BT386" s="59">
        <v>575439.93700000003</v>
      </c>
      <c r="BU386" s="59">
        <v>11.0791</v>
      </c>
      <c r="BV386" s="59">
        <v>119.196</v>
      </c>
      <c r="BY386" s="59"/>
      <c r="BZ386" s="59"/>
      <c r="CA386" s="59"/>
      <c r="CC386" s="59"/>
    </row>
    <row r="387" spans="1:81" x14ac:dyDescent="0.25">
      <c r="A387">
        <f t="shared" si="319"/>
        <v>865000</v>
      </c>
      <c r="B387">
        <f t="shared" si="295"/>
        <v>865</v>
      </c>
      <c r="C387">
        <f t="shared" si="264"/>
        <v>1.2402997691138125</v>
      </c>
      <c r="D387">
        <f t="shared" si="265"/>
        <v>0.6329995598909256</v>
      </c>
      <c r="F387">
        <f t="shared" si="266"/>
        <v>2.6366401742012702E-5</v>
      </c>
      <c r="G387">
        <f t="shared" si="267"/>
        <v>2.0083670646999525E-3</v>
      </c>
      <c r="H387">
        <f t="shared" si="268"/>
        <v>-3.1395842829353002</v>
      </c>
      <c r="J387">
        <f t="shared" si="269"/>
        <v>15</v>
      </c>
      <c r="M387">
        <f t="shared" si="270"/>
        <v>3.0863216933995374E-3</v>
      </c>
      <c r="N387">
        <f t="shared" si="271"/>
        <v>-1.5707963250000001</v>
      </c>
      <c r="O387">
        <f t="shared" si="272"/>
        <v>233.16172614919861</v>
      </c>
      <c r="P387">
        <f t="shared" si="273"/>
        <v>1.5665074450720116</v>
      </c>
      <c r="Q387">
        <f t="shared" si="274"/>
        <v>220.8462370606303</v>
      </c>
      <c r="R387">
        <f t="shared" si="275"/>
        <v>1.5662682740169633</v>
      </c>
      <c r="S387">
        <f t="shared" si="276"/>
        <v>0.17519202378576484</v>
      </c>
      <c r="T387">
        <f t="shared" si="277"/>
        <v>-1.3946955217917718</v>
      </c>
      <c r="U387">
        <f t="shared" si="278"/>
        <v>0.76390313386014375</v>
      </c>
      <c r="V387">
        <f t="shared" si="279"/>
        <v>-0.70145640614061588</v>
      </c>
      <c r="X387">
        <f t="shared" si="296"/>
        <v>-39.631802692632803</v>
      </c>
      <c r="Y387">
        <f t="shared" si="280"/>
        <v>-174.22255754252595</v>
      </c>
      <c r="Z387">
        <f t="shared" si="297"/>
        <v>5.7774424574740522</v>
      </c>
      <c r="AC387">
        <v>1</v>
      </c>
      <c r="AD387">
        <f t="shared" si="281"/>
        <v>233.15958170505002</v>
      </c>
      <c r="AE387">
        <f t="shared" si="282"/>
        <v>-1.5206542808636052E-2</v>
      </c>
      <c r="AF387">
        <f t="shared" si="283"/>
        <v>1.8000571902264E-2</v>
      </c>
      <c r="AG387">
        <f t="shared" si="315"/>
        <v>7531.2516469285065</v>
      </c>
      <c r="AH387">
        <f t="shared" si="316"/>
        <v>-6417.8127894424952</v>
      </c>
      <c r="AJ387">
        <f t="shared" si="284"/>
        <v>18000</v>
      </c>
      <c r="AK387">
        <f t="shared" si="285"/>
        <v>101155.387755114</v>
      </c>
      <c r="AL387">
        <v>1</v>
      </c>
      <c r="AM387">
        <f t="shared" si="286"/>
        <v>220.84397303037301</v>
      </c>
      <c r="AN387">
        <f t="shared" si="317"/>
        <v>458.39972991194571</v>
      </c>
      <c r="AO387">
        <f t="shared" si="318"/>
        <v>-79.429834690012271</v>
      </c>
      <c r="AQ387">
        <f t="shared" si="287"/>
        <v>3.3412398204952318E-3</v>
      </c>
      <c r="AR387">
        <f t="shared" si="288"/>
        <v>-5.7803448894567513</v>
      </c>
      <c r="AT387">
        <f t="shared" si="313"/>
        <v>-37072.007641043216</v>
      </c>
      <c r="AU387">
        <f t="shared" si="314"/>
        <v>-43554.675420188498</v>
      </c>
      <c r="AV387">
        <f t="shared" si="302"/>
        <v>-2.2759635800406954</v>
      </c>
      <c r="AW387">
        <f t="shared" si="303"/>
        <v>8410.7316488363795</v>
      </c>
      <c r="AX387">
        <f t="shared" si="304"/>
        <v>-10204.338624336078</v>
      </c>
      <c r="AY387">
        <f t="shared" si="312"/>
        <v>-0.88145405652856978</v>
      </c>
      <c r="BA387">
        <f t="shared" si="289"/>
        <v>4.3252054701556677</v>
      </c>
      <c r="BB387">
        <f t="shared" si="305"/>
        <v>12.720134871555214</v>
      </c>
      <c r="BC387">
        <f t="shared" si="306"/>
        <v>-1.3945095235121256</v>
      </c>
      <c r="BD387">
        <f t="shared" si="290"/>
        <v>-259.89951027934273</v>
      </c>
      <c r="BF387">
        <f t="shared" si="291"/>
        <v>-53.466489388436003</v>
      </c>
      <c r="BG387">
        <f t="shared" si="292"/>
        <v>-223.51623606585977</v>
      </c>
      <c r="BH387">
        <f t="shared" si="307"/>
        <v>-43.516236065859772</v>
      </c>
      <c r="BI387">
        <f t="shared" si="308"/>
        <v>-43.516236065859772</v>
      </c>
      <c r="BJ387">
        <f t="shared" si="293"/>
        <v>0</v>
      </c>
      <c r="BK387">
        <f t="shared" si="309"/>
        <v>0</v>
      </c>
      <c r="BM387">
        <f t="shared" si="310"/>
        <v>-66.186624259991206</v>
      </c>
      <c r="BN387">
        <f t="shared" si="294"/>
        <v>-143.61672578651704</v>
      </c>
      <c r="BQ387" s="56">
        <f t="shared" si="311"/>
        <v>29.622095671840349</v>
      </c>
      <c r="BR387" s="59"/>
      <c r="BS387" s="59"/>
      <c r="BT387" s="59">
        <v>588843.65500000003</v>
      </c>
      <c r="BU387" s="59">
        <v>10.8666</v>
      </c>
      <c r="BV387" s="59">
        <v>116.889</v>
      </c>
      <c r="BY387" s="59"/>
      <c r="BZ387" s="59"/>
      <c r="CA387" s="59"/>
      <c r="CC387" s="59"/>
    </row>
    <row r="388" spans="1:81" x14ac:dyDescent="0.25">
      <c r="A388">
        <f t="shared" si="319"/>
        <v>870000</v>
      </c>
      <c r="B388">
        <f t="shared" si="295"/>
        <v>870</v>
      </c>
      <c r="C388">
        <f t="shared" si="264"/>
        <v>1.2428133927081708</v>
      </c>
      <c r="D388">
        <f t="shared" si="265"/>
        <v>0.63575094638543284</v>
      </c>
      <c r="F388">
        <f t="shared" si="266"/>
        <v>2.6064203061868677E-5</v>
      </c>
      <c r="G388">
        <f t="shared" si="267"/>
        <v>1.9968241383971465E-3</v>
      </c>
      <c r="H388">
        <f t="shared" si="268"/>
        <v>-3.139595825861603</v>
      </c>
      <c r="J388">
        <f t="shared" si="269"/>
        <v>15</v>
      </c>
      <c r="M388">
        <f t="shared" si="270"/>
        <v>3.0685842124029885E-3</v>
      </c>
      <c r="N388">
        <f t="shared" si="271"/>
        <v>-1.5707963250000001</v>
      </c>
      <c r="O388">
        <f t="shared" si="272"/>
        <v>234.50945707176933</v>
      </c>
      <c r="P388">
        <f t="shared" si="273"/>
        <v>1.5665320935178795</v>
      </c>
      <c r="Q388">
        <f t="shared" si="274"/>
        <v>222.1227788064954</v>
      </c>
      <c r="R388">
        <f t="shared" si="275"/>
        <v>1.5662942969561442</v>
      </c>
      <c r="S388">
        <f t="shared" si="276"/>
        <v>0.1742158177778409</v>
      </c>
      <c r="T388">
        <f t="shared" si="277"/>
        <v>-1.395686975395118</v>
      </c>
      <c r="U388">
        <f t="shared" si="278"/>
        <v>0.76206557490473026</v>
      </c>
      <c r="V388">
        <f t="shared" si="279"/>
        <v>-0.70429909483601061</v>
      </c>
      <c r="X388">
        <f t="shared" si="296"/>
        <v>-39.733738659705466</v>
      </c>
      <c r="Y388">
        <f t="shared" si="280"/>
        <v>-174.28235298487519</v>
      </c>
      <c r="Z388">
        <f t="shared" si="297"/>
        <v>5.7176470151248111</v>
      </c>
      <c r="AC388">
        <v>1</v>
      </c>
      <c r="AD388">
        <f t="shared" si="281"/>
        <v>234.50732495190002</v>
      </c>
      <c r="AE388">
        <f t="shared" si="282"/>
        <v>-1.5382849078628259E-2</v>
      </c>
      <c r="AF388">
        <f t="shared" si="283"/>
        <v>1.8104621450832002E-2</v>
      </c>
      <c r="AG388">
        <f t="shared" si="315"/>
        <v>7495.0625716721952</v>
      </c>
      <c r="AH388">
        <f t="shared" si="316"/>
        <v>-6423.5210159317849</v>
      </c>
      <c r="AJ388">
        <f t="shared" si="284"/>
        <v>18000</v>
      </c>
      <c r="AK388">
        <f t="shared" si="285"/>
        <v>101740.10097913201</v>
      </c>
      <c r="AL388">
        <v>1</v>
      </c>
      <c r="AM388">
        <f t="shared" si="286"/>
        <v>222.12052778777399</v>
      </c>
      <c r="AN388">
        <f t="shared" si="317"/>
        <v>458.39560779524481</v>
      </c>
      <c r="AO388">
        <f t="shared" si="318"/>
        <v>-78.973359945213872</v>
      </c>
      <c r="AQ388">
        <f t="shared" si="287"/>
        <v>3.3029451370903892E-3</v>
      </c>
      <c r="AR388">
        <f t="shared" si="288"/>
        <v>-5.7471245385372773</v>
      </c>
      <c r="AT388">
        <f t="shared" si="313"/>
        <v>-36892.019473998167</v>
      </c>
      <c r="AU388">
        <f t="shared" si="314"/>
        <v>-43096.274561032158</v>
      </c>
      <c r="AV388">
        <f t="shared" si="302"/>
        <v>-2.2787849423275208</v>
      </c>
      <c r="AW388">
        <f t="shared" si="303"/>
        <v>8375.5602724363089</v>
      </c>
      <c r="AX388">
        <f t="shared" si="304"/>
        <v>-10193.227394709051</v>
      </c>
      <c r="AY388">
        <f t="shared" si="312"/>
        <v>-0.88297559306457352</v>
      </c>
      <c r="BA388">
        <f t="shared" si="289"/>
        <v>4.3000604271577743</v>
      </c>
      <c r="BB388">
        <f t="shared" si="305"/>
        <v>12.669491172041891</v>
      </c>
      <c r="BC388">
        <f t="shared" si="306"/>
        <v>-1.3958093492629473</v>
      </c>
      <c r="BD388">
        <f t="shared" si="290"/>
        <v>-259.97398480905235</v>
      </c>
      <c r="BF388">
        <f t="shared" si="291"/>
        <v>-53.599676144605972</v>
      </c>
      <c r="BG388">
        <f t="shared" si="292"/>
        <v>-223.43372912240582</v>
      </c>
      <c r="BH388">
        <f t="shared" si="307"/>
        <v>-43.433729122405822</v>
      </c>
      <c r="BI388">
        <f t="shared" si="308"/>
        <v>-43.433729122405822</v>
      </c>
      <c r="BJ388">
        <f t="shared" si="293"/>
        <v>0</v>
      </c>
      <c r="BK388">
        <f t="shared" si="309"/>
        <v>0</v>
      </c>
      <c r="BM388">
        <f t="shared" si="310"/>
        <v>-66.269167316647867</v>
      </c>
      <c r="BN388">
        <f t="shared" si="294"/>
        <v>-143.45974431335347</v>
      </c>
      <c r="BQ388" s="56">
        <f t="shared" si="311"/>
        <v>29.571451972327026</v>
      </c>
      <c r="BR388" s="59"/>
      <c r="BS388" s="59"/>
      <c r="BT388" s="59">
        <v>602559.58600000001</v>
      </c>
      <c r="BU388" s="59">
        <v>10.6013</v>
      </c>
      <c r="BV388" s="59">
        <v>117.324</v>
      </c>
      <c r="BY388" s="59"/>
      <c r="BZ388" s="59"/>
      <c r="CA388" s="59"/>
      <c r="CC388" s="59"/>
    </row>
    <row r="389" spans="1:81" x14ac:dyDescent="0.25">
      <c r="A389">
        <f t="shared" si="319"/>
        <v>875000</v>
      </c>
      <c r="B389">
        <f t="shared" si="295"/>
        <v>875</v>
      </c>
      <c r="C389">
        <f t="shared" si="264"/>
        <v>1.2453363865372968</v>
      </c>
      <c r="D389">
        <f t="shared" si="265"/>
        <v>0.63849120519101743</v>
      </c>
      <c r="F389">
        <f t="shared" si="266"/>
        <v>2.5767170283300721E-5</v>
      </c>
      <c r="G389">
        <f t="shared" si="267"/>
        <v>1.9854131412266039E-3</v>
      </c>
      <c r="H389">
        <f t="shared" si="268"/>
        <v>-3.1396072368587737</v>
      </c>
      <c r="J389">
        <f t="shared" si="269"/>
        <v>15</v>
      </c>
      <c r="M389">
        <f t="shared" si="270"/>
        <v>3.0510494454749713E-3</v>
      </c>
      <c r="N389">
        <f t="shared" si="271"/>
        <v>-1.5707963250000001</v>
      </c>
      <c r="O389">
        <f t="shared" si="272"/>
        <v>235.85718813518707</v>
      </c>
      <c r="P389">
        <f t="shared" si="273"/>
        <v>1.5665564602723163</v>
      </c>
      <c r="Q389">
        <f t="shared" si="274"/>
        <v>223.3993207010615</v>
      </c>
      <c r="R389">
        <f t="shared" si="275"/>
        <v>1.5663200224962994</v>
      </c>
      <c r="S389">
        <f t="shared" si="276"/>
        <v>0.1732502632451316</v>
      </c>
      <c r="T389">
        <f t="shared" si="277"/>
        <v>-1.3966674401071686</v>
      </c>
      <c r="U389">
        <f t="shared" si="278"/>
        <v>0.76023073603457803</v>
      </c>
      <c r="V389">
        <f t="shared" si="279"/>
        <v>-0.70712811751638482</v>
      </c>
      <c r="X389">
        <f t="shared" si="296"/>
        <v>-39.835115956502449</v>
      </c>
      <c r="Y389">
        <f t="shared" si="280"/>
        <v>-174.34139899521497</v>
      </c>
      <c r="Z389">
        <f t="shared" si="297"/>
        <v>5.6586010047850266</v>
      </c>
      <c r="AC389">
        <v>1</v>
      </c>
      <c r="AD389">
        <f t="shared" si="281"/>
        <v>235.85506819875002</v>
      </c>
      <c r="AE389">
        <f t="shared" si="282"/>
        <v>-1.5560171523087278E-2</v>
      </c>
      <c r="AF389">
        <f t="shared" si="283"/>
        <v>1.82086709994E-2</v>
      </c>
      <c r="AG389">
        <f t="shared" si="315"/>
        <v>7459.0140297991393</v>
      </c>
      <c r="AH389">
        <f t="shared" si="316"/>
        <v>-6428.9995519522781</v>
      </c>
      <c r="AJ389">
        <f t="shared" si="284"/>
        <v>18000</v>
      </c>
      <c r="AK389">
        <f t="shared" si="285"/>
        <v>102324.81420315</v>
      </c>
      <c r="AL389">
        <v>1</v>
      </c>
      <c r="AM389">
        <f t="shared" si="286"/>
        <v>223.39708254517501</v>
      </c>
      <c r="AN389">
        <f t="shared" si="317"/>
        <v>458.39155613942006</v>
      </c>
      <c r="AO389">
        <f t="shared" si="318"/>
        <v>-78.52210173923531</v>
      </c>
      <c r="AQ389">
        <f t="shared" si="287"/>
        <v>3.2653050562269203E-3</v>
      </c>
      <c r="AR389">
        <f t="shared" si="288"/>
        <v>-5.7142838483971108</v>
      </c>
      <c r="AT389">
        <f t="shared" si="313"/>
        <v>-36712.772344847195</v>
      </c>
      <c r="AU389">
        <f t="shared" si="314"/>
        <v>-42643.91604019214</v>
      </c>
      <c r="AV389">
        <f t="shared" si="302"/>
        <v>-2.2815928823246292</v>
      </c>
      <c r="AW389">
        <f t="shared" si="303"/>
        <v>8340.4562627013202</v>
      </c>
      <c r="AX389">
        <f t="shared" si="304"/>
        <v>-10182.059965054345</v>
      </c>
      <c r="AY389">
        <f t="shared" si="312"/>
        <v>-0.88449761166803098</v>
      </c>
      <c r="BA389">
        <f t="shared" si="289"/>
        <v>4.2752070073063049</v>
      </c>
      <c r="BB389">
        <f t="shared" si="305"/>
        <v>12.619142965865151</v>
      </c>
      <c r="BC389">
        <f t="shared" si="306"/>
        <v>-1.3970952706565982</v>
      </c>
      <c r="BD389">
        <f t="shared" si="290"/>
        <v>-260.04766267777831</v>
      </c>
      <c r="BF389">
        <f t="shared" si="291"/>
        <v>-53.731963750510701</v>
      </c>
      <c r="BG389">
        <f t="shared" si="292"/>
        <v>-223.35105552859747</v>
      </c>
      <c r="BH389">
        <f t="shared" si="307"/>
        <v>-43.35105552859747</v>
      </c>
      <c r="BI389">
        <f t="shared" si="308"/>
        <v>-43.35105552859747</v>
      </c>
      <c r="BJ389">
        <f t="shared" si="293"/>
        <v>0</v>
      </c>
      <c r="BK389">
        <f t="shared" si="309"/>
        <v>0</v>
      </c>
      <c r="BM389">
        <f t="shared" si="310"/>
        <v>-66.351106716375853</v>
      </c>
      <c r="BN389">
        <f t="shared" si="294"/>
        <v>-143.30339285081917</v>
      </c>
      <c r="BQ389" s="56">
        <f t="shared" si="311"/>
        <v>29.521103766150286</v>
      </c>
      <c r="BR389" s="59"/>
      <c r="BS389" s="59"/>
      <c r="BT389" s="59">
        <v>616595.00199999998</v>
      </c>
      <c r="BU389" s="59">
        <v>10.4749</v>
      </c>
      <c r="BV389" s="59">
        <v>115.142</v>
      </c>
      <c r="BY389" s="59"/>
      <c r="BZ389" s="59"/>
      <c r="CA389" s="59"/>
      <c r="CC389" s="59"/>
    </row>
    <row r="390" spans="1:81" x14ac:dyDescent="0.25">
      <c r="A390">
        <f t="shared" si="319"/>
        <v>880000</v>
      </c>
      <c r="B390">
        <f t="shared" si="295"/>
        <v>880</v>
      </c>
      <c r="C390">
        <f t="shared" si="264"/>
        <v>1.2478686937657781</v>
      </c>
      <c r="D390">
        <f t="shared" si="265"/>
        <v>0.64122036277435768</v>
      </c>
      <c r="F390">
        <f t="shared" si="266"/>
        <v>2.5475186328901424E-5</v>
      </c>
      <c r="G390">
        <f t="shared" si="267"/>
        <v>1.9741318241715236E-3</v>
      </c>
      <c r="H390">
        <f t="shared" si="268"/>
        <v>-3.1396185181758285</v>
      </c>
      <c r="J390">
        <f t="shared" si="269"/>
        <v>15</v>
      </c>
      <c r="M390">
        <f t="shared" si="270"/>
        <v>3.0337139372620448E-3</v>
      </c>
      <c r="N390">
        <f t="shared" si="271"/>
        <v>-1.5707963250000001</v>
      </c>
      <c r="O390">
        <f t="shared" si="272"/>
        <v>237.204919337051</v>
      </c>
      <c r="P390">
        <f t="shared" si="273"/>
        <v>1.5665805501367658</v>
      </c>
      <c r="Q390">
        <f t="shared" si="274"/>
        <v>224.67586274179402</v>
      </c>
      <c r="R390">
        <f t="shared" si="275"/>
        <v>1.5663454557065957</v>
      </c>
      <c r="S390">
        <f t="shared" si="276"/>
        <v>0.1722951895868976</v>
      </c>
      <c r="T390">
        <f t="shared" si="277"/>
        <v>-1.3976370957619038</v>
      </c>
      <c r="U390">
        <f t="shared" si="278"/>
        <v>0.75839868544106914</v>
      </c>
      <c r="V390">
        <f t="shared" si="279"/>
        <v>-0.70994352753496681</v>
      </c>
      <c r="X390">
        <f t="shared" si="296"/>
        <v>-39.935940444639769</v>
      </c>
      <c r="Y390">
        <f t="shared" si="280"/>
        <v>-174.39970698107419</v>
      </c>
      <c r="Z390">
        <f t="shared" si="297"/>
        <v>5.6002930189258109</v>
      </c>
      <c r="AC390">
        <v>1</v>
      </c>
      <c r="AD390">
        <f t="shared" si="281"/>
        <v>237.20281144560002</v>
      </c>
      <c r="AE390">
        <f t="shared" si="282"/>
        <v>-1.573851014201311E-2</v>
      </c>
      <c r="AF390">
        <f t="shared" si="283"/>
        <v>1.8312720547967998E-2</v>
      </c>
      <c r="AG390">
        <f t="shared" si="315"/>
        <v>7423.10696973014</v>
      </c>
      <c r="AH390">
        <f t="shared" si="316"/>
        <v>-6434.2512091367234</v>
      </c>
      <c r="AJ390">
        <f t="shared" si="284"/>
        <v>18000</v>
      </c>
      <c r="AK390">
        <f t="shared" si="285"/>
        <v>102909.52742716801</v>
      </c>
      <c r="AL390">
        <v>1</v>
      </c>
      <c r="AM390">
        <f t="shared" si="286"/>
        <v>224.673637302576</v>
      </c>
      <c r="AN390">
        <f t="shared" si="317"/>
        <v>458.38757334769912</v>
      </c>
      <c r="AO390">
        <f t="shared" si="318"/>
        <v>-78.075971160908324</v>
      </c>
      <c r="AQ390">
        <f t="shared" si="287"/>
        <v>3.2283047429284791E-3</v>
      </c>
      <c r="AR390">
        <f t="shared" si="288"/>
        <v>-5.6818163475541237</v>
      </c>
      <c r="AT390">
        <f t="shared" si="313"/>
        <v>-36534.269652905277</v>
      </c>
      <c r="AU390">
        <f t="shared" si="314"/>
        <v>-42197.502253951316</v>
      </c>
      <c r="AV390">
        <f t="shared" si="302"/>
        <v>-2.2843874492309544</v>
      </c>
      <c r="AW390">
        <f t="shared" si="303"/>
        <v>8305.4227083149653</v>
      </c>
      <c r="AX390">
        <f t="shared" si="304"/>
        <v>-10170.836050821752</v>
      </c>
      <c r="AY390">
        <f t="shared" si="312"/>
        <v>-0.88601991301862815</v>
      </c>
      <c r="BA390">
        <f t="shared" si="289"/>
        <v>4.2506401525807727</v>
      </c>
      <c r="BB390">
        <f t="shared" si="305"/>
        <v>12.569086807112788</v>
      </c>
      <c r="BC390">
        <f t="shared" si="306"/>
        <v>-1.3983675362123262</v>
      </c>
      <c r="BD390">
        <f t="shared" si="290"/>
        <v>-260.12055812462472</v>
      </c>
      <c r="BF390">
        <f t="shared" si="291"/>
        <v>-53.863362840732364</v>
      </c>
      <c r="BG390">
        <f t="shared" si="292"/>
        <v>-223.26822813596897</v>
      </c>
      <c r="BH390">
        <f t="shared" si="307"/>
        <v>-43.268228135968968</v>
      </c>
      <c r="BI390">
        <f t="shared" si="308"/>
        <v>-43.268228135968968</v>
      </c>
      <c r="BJ390">
        <f t="shared" si="293"/>
        <v>0</v>
      </c>
      <c r="BK390">
        <f t="shared" si="309"/>
        <v>0</v>
      </c>
      <c r="BM390">
        <f t="shared" si="310"/>
        <v>-66.432449647845147</v>
      </c>
      <c r="BN390">
        <f t="shared" si="294"/>
        <v>-143.1476700113443</v>
      </c>
      <c r="BQ390" s="56">
        <f t="shared" si="311"/>
        <v>29.471047607397924</v>
      </c>
      <c r="BR390" s="59"/>
      <c r="BS390" s="59"/>
      <c r="BT390" s="59">
        <v>630957.34400000004</v>
      </c>
      <c r="BU390" s="59">
        <v>10.283799999999999</v>
      </c>
      <c r="BV390" s="59">
        <v>115.247</v>
      </c>
      <c r="BY390" s="59"/>
      <c r="BZ390" s="59"/>
      <c r="CA390" s="59"/>
      <c r="CC390" s="59"/>
    </row>
    <row r="391" spans="1:81" x14ac:dyDescent="0.25">
      <c r="A391">
        <f t="shared" si="319"/>
        <v>885000</v>
      </c>
      <c r="B391">
        <f t="shared" si="295"/>
        <v>885</v>
      </c>
      <c r="C391">
        <f t="shared" si="264"/>
        <v>1.2504102578096543</v>
      </c>
      <c r="D391">
        <f t="shared" si="265"/>
        <v>0.64393844604961026</v>
      </c>
      <c r="F391">
        <f t="shared" si="266"/>
        <v>2.518813741932416E-5</v>
      </c>
      <c r="G391">
        <f t="shared" si="267"/>
        <v>1.9629779890466418E-3</v>
      </c>
      <c r="H391">
        <f t="shared" si="268"/>
        <v>-3.1396296720109538</v>
      </c>
      <c r="J391">
        <f t="shared" si="269"/>
        <v>15</v>
      </c>
      <c r="M391">
        <f t="shared" si="270"/>
        <v>3.0165743104978529E-3</v>
      </c>
      <c r="N391">
        <f t="shared" si="271"/>
        <v>-1.5707963250000001</v>
      </c>
      <c r="O391">
        <f t="shared" si="272"/>
        <v>238.55265067501469</v>
      </c>
      <c r="P391">
        <f t="shared" si="273"/>
        <v>1.5666043678041677</v>
      </c>
      <c r="Q391">
        <f t="shared" si="274"/>
        <v>225.95240492621556</v>
      </c>
      <c r="R391">
        <f t="shared" si="275"/>
        <v>1.5663706015416454</v>
      </c>
      <c r="S391">
        <f t="shared" si="276"/>
        <v>0.17135042976451217</v>
      </c>
      <c r="T391">
        <f t="shared" si="277"/>
        <v>-1.3985961183312343</v>
      </c>
      <c r="U391">
        <f t="shared" si="278"/>
        <v>0.75656948983114602</v>
      </c>
      <c r="V391">
        <f t="shared" si="279"/>
        <v>-0.71274537859599552</v>
      </c>
      <c r="X391">
        <f t="shared" si="296"/>
        <v>-40.036217893588109</v>
      </c>
      <c r="Y391">
        <f t="shared" si="280"/>
        <v>-174.45728813304197</v>
      </c>
      <c r="Z391">
        <f t="shared" si="297"/>
        <v>5.5427118669580295</v>
      </c>
      <c r="AC391">
        <v>1</v>
      </c>
      <c r="AD391">
        <f t="shared" si="281"/>
        <v>238.55055469244999</v>
      </c>
      <c r="AE391">
        <f t="shared" si="282"/>
        <v>-1.5917864935405757E-2</v>
      </c>
      <c r="AF391">
        <f t="shared" si="283"/>
        <v>1.8416770096536E-2</v>
      </c>
      <c r="AG391">
        <f t="shared" si="315"/>
        <v>7387.3422985906491</v>
      </c>
      <c r="AH391">
        <f t="shared" si="316"/>
        <v>-6439.2787833563461</v>
      </c>
      <c r="AJ391">
        <f t="shared" si="284"/>
        <v>18000</v>
      </c>
      <c r="AK391">
        <f t="shared" si="285"/>
        <v>103494.240651186</v>
      </c>
      <c r="AL391">
        <v>1</v>
      </c>
      <c r="AM391">
        <f t="shared" si="286"/>
        <v>225.95019205997701</v>
      </c>
      <c r="AN391">
        <f t="shared" si="317"/>
        <v>458.38365786828672</v>
      </c>
      <c r="AO391">
        <f t="shared" si="318"/>
        <v>-77.634881308157532</v>
      </c>
      <c r="AQ391">
        <f t="shared" si="287"/>
        <v>3.1919297800983818E-3</v>
      </c>
      <c r="AR391">
        <f t="shared" si="288"/>
        <v>-5.6497157107741351</v>
      </c>
      <c r="AT391">
        <f t="shared" si="313"/>
        <v>-36356.514630504258</v>
      </c>
      <c r="AU391">
        <f t="shared" si="314"/>
        <v>-41756.937570924856</v>
      </c>
      <c r="AV391">
        <f t="shared" si="302"/>
        <v>-2.2871686926903205</v>
      </c>
      <c r="AW391">
        <f t="shared" si="303"/>
        <v>8270.4625946790184</v>
      </c>
      <c r="AX391">
        <f t="shared" si="304"/>
        <v>-10159.555427529845</v>
      </c>
      <c r="AY391">
        <f t="shared" si="312"/>
        <v>-0.88754230417665159</v>
      </c>
      <c r="BA391">
        <f t="shared" si="289"/>
        <v>4.2263549213601683</v>
      </c>
      <c r="BB391">
        <f t="shared" si="305"/>
        <v>12.51931930967771</v>
      </c>
      <c r="BC391">
        <f t="shared" si="306"/>
        <v>-1.3996263885136688</v>
      </c>
      <c r="BD391">
        <f t="shared" si="290"/>
        <v>-260.19268504860435</v>
      </c>
      <c r="BF391">
        <f t="shared" si="291"/>
        <v>-53.99388387304132</v>
      </c>
      <c r="BG391">
        <f t="shared" si="292"/>
        <v>-223.18525942741246</v>
      </c>
      <c r="BH391">
        <f t="shared" si="307"/>
        <v>-43.185259427412461</v>
      </c>
      <c r="BI391">
        <f t="shared" si="308"/>
        <v>-43.185259427412461</v>
      </c>
      <c r="BJ391">
        <f t="shared" si="293"/>
        <v>0</v>
      </c>
      <c r="BK391">
        <f t="shared" si="309"/>
        <v>0</v>
      </c>
      <c r="BM391">
        <f t="shared" si="310"/>
        <v>-66.513203182719025</v>
      </c>
      <c r="BN391">
        <f t="shared" si="294"/>
        <v>-142.99257437880811</v>
      </c>
      <c r="BQ391" s="56">
        <f t="shared" si="311"/>
        <v>29.421280109962847</v>
      </c>
      <c r="BR391" s="59"/>
      <c r="BS391" s="59"/>
      <c r="BT391" s="59">
        <v>645654.22900000005</v>
      </c>
      <c r="BU391" s="59">
        <v>9.9821899999999992</v>
      </c>
      <c r="BV391" s="59">
        <v>113.164</v>
      </c>
      <c r="BY391" s="59"/>
      <c r="BZ391" s="59"/>
      <c r="CA391" s="59"/>
      <c r="CC391" s="59"/>
    </row>
    <row r="392" spans="1:81" x14ac:dyDescent="0.25">
      <c r="A392">
        <f t="shared" si="319"/>
        <v>890000</v>
      </c>
      <c r="B392">
        <f t="shared" si="295"/>
        <v>890</v>
      </c>
      <c r="C392">
        <f t="shared" si="264"/>
        <v>1.2529610223380705</v>
      </c>
      <c r="D392">
        <f t="shared" si="265"/>
        <v>0.64664548236749009</v>
      </c>
      <c r="F392">
        <f t="shared" si="266"/>
        <v>2.490591296241974E-5</v>
      </c>
      <c r="G392">
        <f t="shared" si="267"/>
        <v>1.9519494870701632E-3</v>
      </c>
      <c r="H392">
        <f t="shared" si="268"/>
        <v>-3.1396407005129299</v>
      </c>
      <c r="J392">
        <f t="shared" si="269"/>
        <v>15</v>
      </c>
      <c r="M392">
        <f t="shared" si="270"/>
        <v>2.9996272638096624E-3</v>
      </c>
      <c r="N392">
        <f t="shared" si="271"/>
        <v>-1.5707963250000001</v>
      </c>
      <c r="O392">
        <f t="shared" si="272"/>
        <v>239.90038214678435</v>
      </c>
      <c r="P392">
        <f t="shared" si="273"/>
        <v>1.5666279178620053</v>
      </c>
      <c r="Q392">
        <f t="shared" si="274"/>
        <v>227.22894725190451</v>
      </c>
      <c r="R392">
        <f t="shared" si="275"/>
        <v>1.5663954648447258</v>
      </c>
      <c r="S392">
        <f t="shared" si="276"/>
        <v>0.17041582021069587</v>
      </c>
      <c r="T392">
        <f t="shared" si="277"/>
        <v>-1.3995446800270155</v>
      </c>
      <c r="U392">
        <f t="shared" si="278"/>
        <v>0.75474321444468129</v>
      </c>
      <c r="V392">
        <f t="shared" si="279"/>
        <v>-0.71553372473923582</v>
      </c>
      <c r="X392">
        <f t="shared" si="296"/>
        <v>-40.135953982625509</v>
      </c>
      <c r="Y392">
        <f t="shared" si="280"/>
        <v>-174.51415343007397</v>
      </c>
      <c r="Z392">
        <f t="shared" si="297"/>
        <v>5.485846569926025</v>
      </c>
      <c r="AC392">
        <v>1</v>
      </c>
      <c r="AD392">
        <f t="shared" si="281"/>
        <v>239.89829793929999</v>
      </c>
      <c r="AE392">
        <f t="shared" si="282"/>
        <v>-1.6098235903265218E-2</v>
      </c>
      <c r="AF392">
        <f t="shared" si="283"/>
        <v>1.8520819645103999E-2</v>
      </c>
      <c r="AG392">
        <f t="shared" si="315"/>
        <v>7351.7208829487499</v>
      </c>
      <c r="AH392">
        <f t="shared" si="316"/>
        <v>-6444.0850543145625</v>
      </c>
      <c r="AJ392">
        <f t="shared" si="284"/>
        <v>18000</v>
      </c>
      <c r="AK392">
        <f t="shared" si="285"/>
        <v>104078.95387520401</v>
      </c>
      <c r="AL392">
        <v>1</v>
      </c>
      <c r="AM392">
        <f t="shared" si="286"/>
        <v>227.226746817378</v>
      </c>
      <c r="AN392">
        <f t="shared" si="317"/>
        <v>458.37980819285247</v>
      </c>
      <c r="AO392">
        <f t="shared" si="318"/>
        <v>-77.1987472315719</v>
      </c>
      <c r="AQ392">
        <f t="shared" si="287"/>
        <v>3.1561661544735027E-3</v>
      </c>
      <c r="AR392">
        <f t="shared" si="288"/>
        <v>-5.6179757549628349</v>
      </c>
      <c r="AT392">
        <f t="shared" si="313"/>
        <v>-36179.510345429677</v>
      </c>
      <c r="AU392">
        <f t="shared" si="314"/>
        <v>-41322.128280805016</v>
      </c>
      <c r="AV392">
        <f t="shared" si="302"/>
        <v>-2.2899366627733189</v>
      </c>
      <c r="AW392">
        <f t="shared" si="303"/>
        <v>8235.5788066590703</v>
      </c>
      <c r="AX392">
        <f t="shared" si="304"/>
        <v>-10148.217928121021</v>
      </c>
      <c r="AY392">
        <f t="shared" si="312"/>
        <v>-0.88906459838760954</v>
      </c>
      <c r="BA392">
        <f t="shared" si="289"/>
        <v>4.202346485097098</v>
      </c>
      <c r="BB392">
        <f t="shared" si="305"/>
        <v>12.469837145892416</v>
      </c>
      <c r="BC392">
        <f t="shared" si="306"/>
        <v>-1.4008720643857093</v>
      </c>
      <c r="BD392">
        <f t="shared" si="290"/>
        <v>-260.26405701879514</v>
      </c>
      <c r="BF392">
        <f t="shared" si="291"/>
        <v>-54.12353713227273</v>
      </c>
      <c r="BG392">
        <f t="shared" si="292"/>
        <v>-223.10216152804114</v>
      </c>
      <c r="BH392">
        <f t="shared" si="307"/>
        <v>-43.102161528041137</v>
      </c>
      <c r="BI392">
        <f t="shared" si="308"/>
        <v>-43.102161528041137</v>
      </c>
      <c r="BJ392">
        <f t="shared" si="293"/>
        <v>0</v>
      </c>
      <c r="BK392">
        <f t="shared" si="309"/>
        <v>0</v>
      </c>
      <c r="BM392">
        <f t="shared" si="310"/>
        <v>-66.593374278165157</v>
      </c>
      <c r="BN392">
        <f t="shared" si="294"/>
        <v>-142.83810450924602</v>
      </c>
      <c r="BQ392" s="56">
        <f t="shared" si="311"/>
        <v>29.371797946177555</v>
      </c>
      <c r="BR392" s="59"/>
      <c r="BS392" s="59"/>
      <c r="BT392" s="59">
        <v>660693.44799999997</v>
      </c>
      <c r="BU392" s="59">
        <v>9.7520900000000008</v>
      </c>
      <c r="BV392" s="59">
        <v>112.872</v>
      </c>
      <c r="BY392" s="59"/>
      <c r="BZ392" s="59"/>
      <c r="CA392" s="59"/>
      <c r="CC392" s="59"/>
    </row>
    <row r="393" spans="1:81" x14ac:dyDescent="0.25">
      <c r="A393">
        <f t="shared" si="319"/>
        <v>895000</v>
      </c>
      <c r="B393">
        <f t="shared" si="295"/>
        <v>895</v>
      </c>
      <c r="C393">
        <f t="shared" ref="C393:C456" si="320">SQRT((A393/Fesr)^2+1)</f>
        <v>1.2555209312748552</v>
      </c>
      <c r="D393">
        <f t="shared" ref="D393:D456" si="321">ATAN(A393/Fesr)</f>
        <v>0.64934149950446851</v>
      </c>
      <c r="F393">
        <f t="shared" ref="F393:F456" si="322">(Ro/(Ro+Rdcr))/SQRT((A393/(Q*Fo))^2+(1-(A393^2/Fo^2))^2)</f>
        <v>2.4628405446696662E-5</v>
      </c>
      <c r="G393">
        <f t="shared" ref="G393:G456" si="323">-ATAN(A393*Fo/(Q*(Fo^2-A393^2)))</f>
        <v>1.9410442174835802E-3</v>
      </c>
      <c r="H393">
        <f t="shared" ref="H393:H456" si="324">IF(G393&gt;0,G393-Pi,G393)</f>
        <v>-3.1396516057825168</v>
      </c>
      <c r="J393">
        <f t="shared" ref="J393:J456" si="325">Vin/Vramp</f>
        <v>15</v>
      </c>
      <c r="M393">
        <f t="shared" ref="M393:M456" si="326">1/(2*Pi*_Rfb1*(Cc1ea_u+Cc2ea_u)*A393)</f>
        <v>2.9828695695984357E-3</v>
      </c>
      <c r="N393">
        <f t="shared" ref="N393:N456" si="327">-Pi/2</f>
        <v>-1.5707963250000001</v>
      </c>
      <c r="O393">
        <f t="shared" ref="O393:O456" si="328">SQRT(1+(A393/Fz1_u)^2)</f>
        <v>241.24811375011743</v>
      </c>
      <c r="P393">
        <f t="shared" ref="P393:P456" si="329">ATAN2(Fz1_u,A393)</f>
        <v>1.5666512047952517</v>
      </c>
      <c r="Q393">
        <f t="shared" ref="Q393:Q456" si="330">SQRT(1+(A393/Fz2_u)^2)</f>
        <v>228.50548971649323</v>
      </c>
      <c r="R393">
        <f t="shared" ref="R393:R456" si="331">ATAN2(Fz2_u,A393)</f>
        <v>1.5664200503508876</v>
      </c>
      <c r="S393">
        <f t="shared" ref="S393:S456" si="332">1/SQRT(1+(A393/Fp1_u)^2)</f>
        <v>0.16949120074145516</v>
      </c>
      <c r="T393">
        <f t="shared" ref="T393:T456" si="333">-ATAN2(Fp1_u,A393)</f>
        <v>-1.4004829493998783</v>
      </c>
      <c r="U393">
        <f t="shared" ref="U393:U456" si="334">1/SQRT(1+(A393/Fp2_u)^2)</f>
        <v>0.75291992307189115</v>
      </c>
      <c r="V393">
        <f t="shared" ref="V393:V456" si="335">-ATAN2(Fp2_u,A393)</f>
        <v>-0.71830862032477172</v>
      </c>
      <c r="X393">
        <f t="shared" si="296"/>
        <v>-40.235154302738508</v>
      </c>
      <c r="Y393">
        <f t="shared" ref="Y393:Y456" si="336">(180/Pi)*(D393+H393+N393+P393+R393+T393+V393)</f>
        <v>-174.57031364463518</v>
      </c>
      <c r="Z393">
        <f t="shared" si="297"/>
        <v>5.4296863553648222</v>
      </c>
      <c r="AC393">
        <v>1</v>
      </c>
      <c r="AD393">
        <f t="shared" ref="AD393:AD456" si="337">Rcea1_u*Cc1ea_u*A393*2*Pi</f>
        <v>241.24604118614999</v>
      </c>
      <c r="AE393">
        <f t="shared" ref="AE393:AE456" si="338">-Rcea1_u*Cc1ea_u*Cc2ea_u*(A393*2*Pi)^2</f>
        <v>-1.6279623045591496E-2</v>
      </c>
      <c r="AF393">
        <f t="shared" ref="AF393:AF456" si="339">(Cc2ea_u+Cc1ea_u)*A393*2*Pi</f>
        <v>1.8624869193672001E-2</v>
      </c>
      <c r="AG393">
        <f t="shared" si="315"/>
        <v>7316.243549548497</v>
      </c>
      <c r="AH393">
        <f t="shared" si="316"/>
        <v>-6448.6727851595879</v>
      </c>
      <c r="AJ393">
        <f t="shared" ref="AJ393:AJ456" si="340">_Rfb1</f>
        <v>18000</v>
      </c>
      <c r="AK393">
        <f t="shared" ref="AK393:AK456" si="341">_Rfb1*Rcea2_u*Cc3ea_u*A393*2*Pi</f>
        <v>104663.66709922202</v>
      </c>
      <c r="AL393">
        <v>1</v>
      </c>
      <c r="AM393">
        <f t="shared" ref="AM393:AM456" si="342">(_Rfb1+Rcea2_u)*Cc3ea_u*A393*2*Pi</f>
        <v>228.50330157477902</v>
      </c>
      <c r="AN393">
        <f t="shared" si="317"/>
        <v>458.37602285507887</v>
      </c>
      <c r="AO393">
        <f t="shared" si="318"/>
        <v>-76.767485879867351</v>
      </c>
      <c r="AQ393">
        <f t="shared" ref="AQ393:AQ456" si="343">Eadcg/(1+(Eadcg*A393/GBP)^2)</f>
        <v>3.1210002431259188E-3</v>
      </c>
      <c r="AR393">
        <f t="shared" ref="AR393:AR456" si="344">-(A393*Eadcg*Eadcg/GBP)/(1+(Eadcg*A393/GBP)^2)</f>
        <v>-5.5865904351953946</v>
      </c>
      <c r="AT393">
        <f t="shared" si="313"/>
        <v>-36003.259703380492</v>
      </c>
      <c r="AU393">
        <f t="shared" si="314"/>
        <v>-40892.982544797953</v>
      </c>
      <c r="AV393">
        <f t="shared" si="302"/>
        <v>-2.2926914099595557</v>
      </c>
      <c r="AW393">
        <f t="shared" si="303"/>
        <v>8200.7741312500057</v>
      </c>
      <c r="AX393">
        <f t="shared" si="304"/>
        <v>-10136.823440411441</v>
      </c>
      <c r="AY393">
        <f t="shared" si="312"/>
        <v>-0.89058661489356372</v>
      </c>
      <c r="BA393">
        <f t="shared" ref="BA393:BA456" si="345">SQRT(AT393^2+AU393^2)/SQRT(AW393^2+AX393^2)</f>
        <v>4.1786101251049672</v>
      </c>
      <c r="BB393">
        <f t="shared" si="305"/>
        <v>12.420637045201708</v>
      </c>
      <c r="BC393">
        <f t="shared" si="306"/>
        <v>-1.4021047950659919</v>
      </c>
      <c r="BD393">
        <f t="shared" ref="BD393:BD456" si="346">BC393*180/Pi-180</f>
        <v>-260.33468728413231</v>
      </c>
      <c r="BF393">
        <f t="shared" ref="BF393:BF456" si="347">20*LOG(BA393*J393*F393*C393)</f>
        <v>-54.252332734095994</v>
      </c>
      <c r="BG393">
        <f t="shared" ref="BG393:BG456" si="348">(180/Pi)*(D393+H393+BC393)</f>
        <v>-223.01894621568047</v>
      </c>
      <c r="BH393">
        <f t="shared" si="307"/>
        <v>-43.018946215680472</v>
      </c>
      <c r="BI393">
        <f t="shared" si="308"/>
        <v>-43.018946215680472</v>
      </c>
      <c r="BJ393">
        <f t="shared" ref="BJ393:BJ456" si="349">SUM((BF394&lt;0)*(BF393&gt;0))*A393</f>
        <v>0</v>
      </c>
      <c r="BK393">
        <f t="shared" si="309"/>
        <v>0</v>
      </c>
      <c r="BM393">
        <f t="shared" si="310"/>
        <v>-66.672969779297702</v>
      </c>
      <c r="BN393">
        <f t="shared" ref="BN393:BN456" si="350">(H393+D393)*180/Pi</f>
        <v>-142.68425893154819</v>
      </c>
      <c r="BQ393" s="56">
        <f t="shared" si="311"/>
        <v>29.322597845486843</v>
      </c>
      <c r="BR393" s="59"/>
      <c r="BS393" s="59"/>
      <c r="BT393" s="59">
        <v>676082.97499999998</v>
      </c>
      <c r="BU393" s="59">
        <v>9.5117999999999991</v>
      </c>
      <c r="BV393" s="59">
        <v>110.592</v>
      </c>
      <c r="BY393" s="59"/>
      <c r="BZ393" s="59"/>
      <c r="CA393" s="59"/>
      <c r="CC393" s="59"/>
    </row>
    <row r="394" spans="1:81" x14ac:dyDescent="0.25">
      <c r="A394">
        <f t="shared" si="319"/>
        <v>900000</v>
      </c>
      <c r="B394">
        <f t="shared" ref="B394:B457" si="351">A394/1000</f>
        <v>900</v>
      </c>
      <c r="C394">
        <f t="shared" si="320"/>
        <v>1.2580899288000265</v>
      </c>
      <c r="D394">
        <f t="shared" si="321"/>
        <v>0.65202652565209362</v>
      </c>
      <c r="F394">
        <f t="shared" si="322"/>
        <v>2.4355510338913296E-5</v>
      </c>
      <c r="G394">
        <f t="shared" si="323"/>
        <v>1.9302601262174985E-3</v>
      </c>
      <c r="H394">
        <f t="shared" si="324"/>
        <v>-3.1396623898737825</v>
      </c>
      <c r="J394">
        <f t="shared" si="325"/>
        <v>15</v>
      </c>
      <c r="M394">
        <f t="shared" si="326"/>
        <v>2.9662980719895554E-3</v>
      </c>
      <c r="N394">
        <f t="shared" si="327"/>
        <v>-1.5707963250000001</v>
      </c>
      <c r="O394">
        <f t="shared" si="328"/>
        <v>242.59584548282126</v>
      </c>
      <c r="P394">
        <f t="shared" si="329"/>
        <v>1.5666742329892163</v>
      </c>
      <c r="Q394">
        <f t="shared" si="330"/>
        <v>229.78203231766685</v>
      </c>
      <c r="R394">
        <f t="shared" si="331"/>
        <v>1.5664443626899613</v>
      </c>
      <c r="S394">
        <f t="shared" si="332"/>
        <v>0.16857641447063287</v>
      </c>
      <c r="T394">
        <f t="shared" si="333"/>
        <v>-1.4014110914349958</v>
      </c>
      <c r="U394">
        <f t="shared" si="334"/>
        <v>0.75109967807077915</v>
      </c>
      <c r="V394">
        <f t="shared" si="335"/>
        <v>-0.72107012001807713</v>
      </c>
      <c r="X394">
        <f t="shared" ref="X394:X457" si="352">20*LOG(C394*J394*O394*Q394*F394*M394*S394*U394)</f>
        <v>-40.333824358473642</v>
      </c>
      <c r="Y394">
        <f t="shared" si="336"/>
        <v>-174.62577934768379</v>
      </c>
      <c r="Z394">
        <f t="shared" ref="Z394:Z457" si="353">Y394+180</f>
        <v>5.374220652316211</v>
      </c>
      <c r="AC394">
        <v>1</v>
      </c>
      <c r="AD394">
        <f t="shared" si="337"/>
        <v>242.59378443300002</v>
      </c>
      <c r="AE394">
        <f t="shared" si="338"/>
        <v>-1.6462026362384582E-2</v>
      </c>
      <c r="AF394">
        <f t="shared" si="339"/>
        <v>1.8728918742239999E-2</v>
      </c>
      <c r="AG394">
        <f t="shared" si="315"/>
        <v>7280.9110860384017</v>
      </c>
      <c r="AH394">
        <f t="shared" si="316"/>
        <v>-6453.0447221155227</v>
      </c>
      <c r="AJ394">
        <f t="shared" si="340"/>
        <v>18000</v>
      </c>
      <c r="AK394">
        <f t="shared" si="341"/>
        <v>105248.38032324001</v>
      </c>
      <c r="AL394">
        <v>1</v>
      </c>
      <c r="AM394">
        <f t="shared" si="342"/>
        <v>229.77985633218</v>
      </c>
      <c r="AN394">
        <f t="shared" si="317"/>
        <v>458.37230042926416</v>
      </c>
      <c r="AO394">
        <f t="shared" si="318"/>
        <v>-76.341016047167244</v>
      </c>
      <c r="AQ394">
        <f t="shared" si="343"/>
        <v>3.0864188004880245E-3</v>
      </c>
      <c r="AR394">
        <f t="shared" si="344"/>
        <v>-5.5555538408784439</v>
      </c>
      <c r="AT394">
        <f t="shared" si="313"/>
        <v>-35827.765450448635</v>
      </c>
      <c r="AU394">
        <f t="shared" si="314"/>
        <v>-40469.410347685814</v>
      </c>
      <c r="AV394">
        <f t="shared" ref="AV394:AV457" si="354">ATAN2(AT394,AU394)</f>
        <v>-2.2954329851202542</v>
      </c>
      <c r="AW394">
        <f t="shared" ref="AW394:AW457" si="355">AG394-AH394*AO394/_Rfb2+AG394*AN394/_Rfb2+AN394-AO394*AR394+AQ394*AN394</f>
        <v>8166.0512601644195</v>
      </c>
      <c r="AX394">
        <f t="shared" ref="AX394:AX457" si="356">AH394+AH394*AN394/_Rfb2+AG394*AO394/_Rfb2+AO394+AO394*AQ394+AN394*AR394</f>
        <v>-10125.371904632575</v>
      </c>
      <c r="AY394">
        <f t="shared" si="312"/>
        <v>-0.89210817875090187</v>
      </c>
      <c r="BA394">
        <f t="shared" si="345"/>
        <v>4.1551412294537728</v>
      </c>
      <c r="BB394">
        <f t="shared" ref="BB394:BB457" si="357">20*LOG(BA394)</f>
        <v>12.371715792872298</v>
      </c>
      <c r="BC394">
        <f t="shared" ref="BC394:BC457" si="358">AV394-AY394</f>
        <v>-1.4033248063693522</v>
      </c>
      <c r="BD394">
        <f t="shared" si="346"/>
        <v>-260.40458878285301</v>
      </c>
      <c r="BF394">
        <f t="shared" si="347"/>
        <v>-54.380280628680559</v>
      </c>
      <c r="BG394">
        <f t="shared" si="348"/>
        <v>-222.93562493100029</v>
      </c>
      <c r="BH394">
        <f t="shared" ref="BH394:BH457" si="359">IF(BG394&gt;180,BG394-180,BG394+180)</f>
        <v>-42.935624931000291</v>
      </c>
      <c r="BI394">
        <f t="shared" ref="BI394:BI457" si="360">IF(BH394&gt;180,BH394-360,BH394)</f>
        <v>-42.935624931000291</v>
      </c>
      <c r="BJ394">
        <f t="shared" si="349"/>
        <v>0</v>
      </c>
      <c r="BK394">
        <f t="shared" ref="BK394:BK457" si="361">IF(BJ394&gt;0,BI394,0)</f>
        <v>0</v>
      </c>
      <c r="BM394">
        <f t="shared" ref="BM394:BM457" si="362">20*LOG(J394*F394*C394)</f>
        <v>-66.75199642155286</v>
      </c>
      <c r="BN394">
        <f t="shared" si="350"/>
        <v>-142.53103614814734</v>
      </c>
      <c r="BQ394" s="56">
        <f t="shared" ref="BQ394:BQ457" si="363">20*LOG(BA394*7)</f>
        <v>29.273676593157436</v>
      </c>
      <c r="BR394" s="59"/>
      <c r="BS394" s="59"/>
      <c r="BT394" s="59">
        <v>691830.97100000002</v>
      </c>
      <c r="BU394" s="59">
        <v>9.28308</v>
      </c>
      <c r="BV394" s="59">
        <v>111.01300000000001</v>
      </c>
      <c r="BY394" s="59"/>
      <c r="BZ394" s="59"/>
      <c r="CA394" s="59"/>
      <c r="CC394" s="59"/>
    </row>
    <row r="395" spans="1:81" x14ac:dyDescent="0.25">
      <c r="A395">
        <f t="shared" si="319"/>
        <v>905000</v>
      </c>
      <c r="B395">
        <f t="shared" si="351"/>
        <v>905</v>
      </c>
      <c r="C395">
        <f t="shared" si="320"/>
        <v>1.2606679593512289</v>
      </c>
      <c r="D395">
        <f t="shared" si="321"/>
        <v>0.65470058940643117</v>
      </c>
      <c r="F395">
        <f t="shared" si="322"/>
        <v>2.4087125985619796E-5</v>
      </c>
      <c r="G395">
        <f t="shared" si="323"/>
        <v>1.9195952046016976E-3</v>
      </c>
      <c r="H395">
        <f t="shared" si="324"/>
        <v>-3.1396730547953986</v>
      </c>
      <c r="J395">
        <f t="shared" si="325"/>
        <v>15</v>
      </c>
      <c r="M395">
        <f t="shared" si="326"/>
        <v>2.9499096848514916E-3</v>
      </c>
      <c r="N395">
        <f t="shared" si="327"/>
        <v>-1.5707963250000001</v>
      </c>
      <c r="O395">
        <f t="shared" si="328"/>
        <v>243.94357734275161</v>
      </c>
      <c r="P395">
        <f t="shared" si="329"/>
        <v>1.5666970067322989</v>
      </c>
      <c r="Q395">
        <f t="shared" si="330"/>
        <v>231.05857505316146</v>
      </c>
      <c r="R395">
        <f t="shared" si="331"/>
        <v>1.5664684063894645</v>
      </c>
      <c r="S395">
        <f t="shared" si="332"/>
        <v>0.16767130772698316</v>
      </c>
      <c r="T395">
        <f t="shared" si="333"/>
        <v>-1.4023292676448904</v>
      </c>
      <c r="U395">
        <f t="shared" si="334"/>
        <v>0.74928254038460196</v>
      </c>
      <c r="V395">
        <f t="shared" si="335"/>
        <v>-0.72381827877536009</v>
      </c>
      <c r="X395">
        <f t="shared" si="352"/>
        <v>-40.431969569740609</v>
      </c>
      <c r="Y395">
        <f t="shared" si="336"/>
        <v>-174.68056091350411</v>
      </c>
      <c r="Z395">
        <f t="shared" si="353"/>
        <v>5.3194390864958905</v>
      </c>
      <c r="AC395">
        <v>1</v>
      </c>
      <c r="AD395">
        <f t="shared" si="337"/>
        <v>243.94152767985003</v>
      </c>
      <c r="AE395">
        <f t="shared" si="338"/>
        <v>-1.6645445853644483E-2</v>
      </c>
      <c r="AF395">
        <f t="shared" si="339"/>
        <v>1.8832968290807998E-2</v>
      </c>
      <c r="AG395">
        <f t="shared" si="315"/>
        <v>7245.7242416947574</v>
      </c>
      <c r="AH395">
        <f t="shared" si="316"/>
        <v>-6457.2035941314643</v>
      </c>
      <c r="AJ395">
        <f t="shared" si="340"/>
        <v>18000</v>
      </c>
      <c r="AK395">
        <f t="shared" si="341"/>
        <v>105833.09354725802</v>
      </c>
      <c r="AL395">
        <v>1</v>
      </c>
      <c r="AM395">
        <f t="shared" si="342"/>
        <v>231.05641108958102</v>
      </c>
      <c r="AN395">
        <f t="shared" si="317"/>
        <v>458.36863952898034</v>
      </c>
      <c r="AO395">
        <f t="shared" si="318"/>
        <v>-75.919258322029833</v>
      </c>
      <c r="AQ395">
        <f t="shared" si="343"/>
        <v>3.0524089458780421E-3</v>
      </c>
      <c r="AR395">
        <f t="shared" si="344"/>
        <v>-5.5248601920392568</v>
      </c>
      <c r="AT395">
        <f t="shared" si="313"/>
        <v>-35653.030175615029</v>
      </c>
      <c r="AU395">
        <f t="shared" si="314"/>
        <v>-40051.32345144928</v>
      </c>
      <c r="AV395">
        <f t="shared" si="354"/>
        <v>-2.2981614395012229</v>
      </c>
      <c r="AW395">
        <f t="shared" si="355"/>
        <v>8131.4127923468777</v>
      </c>
      <c r="AX395">
        <f t="shared" si="356"/>
        <v>-10113.863311061014</v>
      </c>
      <c r="AY395">
        <f t="shared" ref="AY395:AY458" si="364">ATAN2(AW395,AX395)</f>
        <v>-0.8936291206542909</v>
      </c>
      <c r="BA395">
        <f t="shared" si="345"/>
        <v>4.1319352899702562</v>
      </c>
      <c r="BB395">
        <f t="shared" si="357"/>
        <v>12.323070228738196</v>
      </c>
      <c r="BC395">
        <f t="shared" si="358"/>
        <v>-1.4045323188469321</v>
      </c>
      <c r="BD395">
        <f t="shared" si="346"/>
        <v>-260.47377415160673</v>
      </c>
      <c r="BF395">
        <f t="shared" si="347"/>
        <v>-54.507390604261595</v>
      </c>
      <c r="BG395">
        <f t="shared" si="348"/>
        <v>-222.85220878730468</v>
      </c>
      <c r="BH395">
        <f t="shared" si="359"/>
        <v>-42.852208787304676</v>
      </c>
      <c r="BI395">
        <f t="shared" si="360"/>
        <v>-42.852208787304676</v>
      </c>
      <c r="BJ395">
        <f t="shared" si="349"/>
        <v>0</v>
      </c>
      <c r="BK395">
        <f t="shared" si="361"/>
        <v>0</v>
      </c>
      <c r="BM395">
        <f t="shared" si="362"/>
        <v>-66.83046083299979</v>
      </c>
      <c r="BN395">
        <f t="shared" si="350"/>
        <v>-142.37843463569794</v>
      </c>
      <c r="BQ395" s="56">
        <f t="shared" si="363"/>
        <v>29.225031029023331</v>
      </c>
      <c r="BR395" s="59"/>
      <c r="BS395" s="59"/>
      <c r="BT395" s="59">
        <v>707945.78399999999</v>
      </c>
      <c r="BU395" s="59">
        <v>9.1002899999999993</v>
      </c>
      <c r="BV395" s="59">
        <v>109.21</v>
      </c>
      <c r="BY395" s="59"/>
      <c r="BZ395" s="59"/>
      <c r="CA395" s="59"/>
      <c r="CC395" s="59"/>
    </row>
    <row r="396" spans="1:81" x14ac:dyDescent="0.25">
      <c r="A396">
        <f t="shared" si="319"/>
        <v>910000</v>
      </c>
      <c r="B396">
        <f t="shared" si="351"/>
        <v>910</v>
      </c>
      <c r="C396">
        <f t="shared" si="320"/>
        <v>1.2632549676250981</v>
      </c>
      <c r="D396">
        <f t="shared" si="321"/>
        <v>0.65736371975762753</v>
      </c>
      <c r="F396">
        <f t="shared" si="322"/>
        <v>2.382315351847666E-5</v>
      </c>
      <c r="G396">
        <f t="shared" si="323"/>
        <v>1.9090474881177264E-3</v>
      </c>
      <c r="H396">
        <f t="shared" si="324"/>
        <v>-3.1396836025118824</v>
      </c>
      <c r="J396">
        <f t="shared" si="325"/>
        <v>15</v>
      </c>
      <c r="M396">
        <f t="shared" si="326"/>
        <v>2.9337013898797799E-3</v>
      </c>
      <c r="N396">
        <f t="shared" si="327"/>
        <v>-1.5707963250000001</v>
      </c>
      <c r="O396">
        <f t="shared" si="328"/>
        <v>245.29130932781138</v>
      </c>
      <c r="P396">
        <f t="shared" si="329"/>
        <v>1.566719530218651</v>
      </c>
      <c r="Q396">
        <f t="shared" si="330"/>
        <v>232.33511792076314</v>
      </c>
      <c r="R396">
        <f t="shared" si="331"/>
        <v>1.5664921858774115</v>
      </c>
      <c r="S396">
        <f t="shared" si="332"/>
        <v>0.16677572997368617</v>
      </c>
      <c r="T396">
        <f t="shared" si="333"/>
        <v>-1.4032376361593903</v>
      </c>
      <c r="U396">
        <f t="shared" si="334"/>
        <v>0.74746856955934882</v>
      </c>
      <c r="V396">
        <f t="shared" si="335"/>
        <v>-0.72655315182918012</v>
      </c>
      <c r="X396">
        <f t="shared" si="352"/>
        <v>-40.529595273568695</v>
      </c>
      <c r="Y396">
        <f t="shared" si="336"/>
        <v>-174.7346685243923</v>
      </c>
      <c r="Z396">
        <f t="shared" si="353"/>
        <v>5.2653314756076952</v>
      </c>
      <c r="AC396">
        <v>1</v>
      </c>
      <c r="AD396">
        <f t="shared" si="337"/>
        <v>245.28927092670003</v>
      </c>
      <c r="AE396">
        <f t="shared" si="338"/>
        <v>-1.68298815193712E-2</v>
      </c>
      <c r="AF396">
        <f t="shared" si="339"/>
        <v>1.8937017839376E-2</v>
      </c>
      <c r="AG396">
        <f t="shared" si="315"/>
        <v>7210.6837281396292</v>
      </c>
      <c r="AH396">
        <f t="shared" si="316"/>
        <v>-6461.1521125482295</v>
      </c>
      <c r="AJ396">
        <f t="shared" si="340"/>
        <v>18000</v>
      </c>
      <c r="AK396">
        <f t="shared" si="341"/>
        <v>106417.80677127599</v>
      </c>
      <c r="AL396">
        <v>1</v>
      </c>
      <c r="AM396">
        <f t="shared" si="342"/>
        <v>232.33296584698201</v>
      </c>
      <c r="AN396">
        <f t="shared" si="317"/>
        <v>458.36503880578124</v>
      </c>
      <c r="AO396">
        <f t="shared" si="318"/>
        <v>-75.50213503815641</v>
      </c>
      <c r="AQ396">
        <f t="shared" si="343"/>
        <v>3.0189581515039999E-3</v>
      </c>
      <c r="AR396">
        <f t="shared" si="344"/>
        <v>-5.4945038357372793</v>
      </c>
      <c r="AT396">
        <f t="shared" si="313"/>
        <v>-35479.056313259287</v>
      </c>
      <c r="AU396">
        <f t="shared" si="314"/>
        <v>-39638.635350389857</v>
      </c>
      <c r="AV396">
        <f t="shared" si="354"/>
        <v>-2.3008768247061639</v>
      </c>
      <c r="AW396">
        <f t="shared" si="355"/>
        <v>8096.8612364167129</v>
      </c>
      <c r="AX396">
        <f t="shared" si="356"/>
        <v>-10102.297697733504</v>
      </c>
      <c r="AY396">
        <f t="shared" si="364"/>
        <v>-0.89514927676657119</v>
      </c>
      <c r="BA396">
        <f t="shared" si="345"/>
        <v>4.1089878993383806</v>
      </c>
      <c r="BB396">
        <f t="shared" si="357"/>
        <v>12.27469724598064</v>
      </c>
      <c r="BC396">
        <f t="shared" si="358"/>
        <v>-1.4057275479395928</v>
      </c>
      <c r="BD396">
        <f t="shared" si="346"/>
        <v>-260.54225573424571</v>
      </c>
      <c r="BF396">
        <f t="shared" si="347"/>
        <v>-54.633672290608793</v>
      </c>
      <c r="BG396">
        <f t="shared" si="348"/>
        <v>-222.76870857999128</v>
      </c>
      <c r="BH396">
        <f t="shared" si="359"/>
        <v>-42.768708579991284</v>
      </c>
      <c r="BI396">
        <f t="shared" si="360"/>
        <v>-42.768708579991284</v>
      </c>
      <c r="BJ396">
        <f t="shared" si="349"/>
        <v>0</v>
      </c>
      <c r="BK396">
        <f t="shared" si="361"/>
        <v>0</v>
      </c>
      <c r="BM396">
        <f t="shared" si="362"/>
        <v>-66.908369536589433</v>
      </c>
      <c r="BN396">
        <f t="shared" si="350"/>
        <v>-142.22645284574557</v>
      </c>
      <c r="BQ396" s="56">
        <f t="shared" si="363"/>
        <v>29.176658046265779</v>
      </c>
      <c r="BR396" s="59"/>
      <c r="BS396" s="59"/>
      <c r="BT396" s="59">
        <v>724435.96</v>
      </c>
      <c r="BU396" s="59">
        <v>8.7908299999999997</v>
      </c>
      <c r="BV396" s="59">
        <v>107.553</v>
      </c>
      <c r="BY396" s="59"/>
      <c r="BZ396" s="59"/>
      <c r="CA396" s="59"/>
      <c r="CC396" s="59"/>
    </row>
    <row r="397" spans="1:81" x14ac:dyDescent="0.25">
      <c r="A397">
        <f t="shared" si="319"/>
        <v>915000</v>
      </c>
      <c r="B397">
        <f t="shared" si="351"/>
        <v>915</v>
      </c>
      <c r="C397">
        <f t="shared" si="320"/>
        <v>1.2658508985785581</v>
      </c>
      <c r="D397">
        <f t="shared" si="321"/>
        <v>0.66001594607959657</v>
      </c>
      <c r="F397">
        <f t="shared" si="322"/>
        <v>2.3563496763185279E-5</v>
      </c>
      <c r="G397">
        <f t="shared" si="323"/>
        <v>1.8986150551924027E-3</v>
      </c>
      <c r="H397">
        <f t="shared" si="324"/>
        <v>-3.1396940349448079</v>
      </c>
      <c r="J397">
        <f t="shared" si="325"/>
        <v>15</v>
      </c>
      <c r="M397">
        <f t="shared" si="326"/>
        <v>2.9176702347438249E-3</v>
      </c>
      <c r="N397">
        <f t="shared" si="327"/>
        <v>-1.5707963250000001</v>
      </c>
      <c r="O397">
        <f t="shared" si="328"/>
        <v>246.63904143594931</v>
      </c>
      <c r="P397">
        <f t="shared" si="329"/>
        <v>1.5667418075507511</v>
      </c>
      <c r="Q397">
        <f t="shared" si="330"/>
        <v>233.61166091830614</v>
      </c>
      <c r="R397">
        <f t="shared" si="331"/>
        <v>1.5665157054850325</v>
      </c>
      <c r="S397">
        <f t="shared" si="332"/>
        <v>0.16588953373022103</v>
      </c>
      <c r="T397">
        <f t="shared" si="333"/>
        <v>-1.4041363518128338</v>
      </c>
      <c r="U397">
        <f t="shared" si="334"/>
        <v>0.74565782376122525</v>
      </c>
      <c r="V397">
        <f t="shared" si="335"/>
        <v>-0.72927479467433665</v>
      </c>
      <c r="X397">
        <f t="shared" si="352"/>
        <v>-40.626706725817847</v>
      </c>
      <c r="Y397">
        <f t="shared" si="336"/>
        <v>-174.78811217520123</v>
      </c>
      <c r="Z397">
        <f t="shared" si="353"/>
        <v>5.2118878247987652</v>
      </c>
      <c r="AC397">
        <v>1</v>
      </c>
      <c r="AD397">
        <f t="shared" si="337"/>
        <v>246.63701417355003</v>
      </c>
      <c r="AE397">
        <f t="shared" si="338"/>
        <v>-1.7015333359564733E-2</v>
      </c>
      <c r="AF397">
        <f t="shared" si="339"/>
        <v>1.9041067387944002E-2</v>
      </c>
      <c r="AG397">
        <f t="shared" si="315"/>
        <v>7175.7902200532417</v>
      </c>
      <c r="AH397">
        <f t="shared" si="316"/>
        <v>-6464.892970782249</v>
      </c>
      <c r="AJ397">
        <f t="shared" si="340"/>
        <v>18000</v>
      </c>
      <c r="AK397">
        <f t="shared" si="341"/>
        <v>107002.519995294</v>
      </c>
      <c r="AL397">
        <v>1</v>
      </c>
      <c r="AM397">
        <f t="shared" si="342"/>
        <v>233.60952060438302</v>
      </c>
      <c r="AN397">
        <f t="shared" si="317"/>
        <v>458.36149694796177</v>
      </c>
      <c r="AO397">
        <f t="shared" si="318"/>
        <v>-75.089570226714983</v>
      </c>
      <c r="AQ397">
        <f t="shared" si="343"/>
        <v>2.9860542309253094E-3</v>
      </c>
      <c r="AR397">
        <f t="shared" si="344"/>
        <v>-5.4644792425933169</v>
      </c>
      <c r="AT397">
        <f t="shared" si="313"/>
        <v>-35305.846145680218</v>
      </c>
      <c r="AU397">
        <f t="shared" si="314"/>
        <v>-39231.26122769295</v>
      </c>
      <c r="AV397">
        <f t="shared" si="354"/>
        <v>-2.3035791926803375</v>
      </c>
      <c r="AW397">
        <f t="shared" si="355"/>
        <v>8062.3990130420098</v>
      </c>
      <c r="AX397">
        <f t="shared" si="356"/>
        <v>-10090.675148244183</v>
      </c>
      <c r="AY397">
        <f t="shared" si="364"/>
        <v>-0.89666848855435455</v>
      </c>
      <c r="BA397">
        <f t="shared" si="345"/>
        <v>4.0862947482962575</v>
      </c>
      <c r="BB397">
        <f t="shared" si="357"/>
        <v>12.226593789941552</v>
      </c>
      <c r="BC397">
        <f t="shared" si="358"/>
        <v>-1.406910704125983</v>
      </c>
      <c r="BD397">
        <f t="shared" si="346"/>
        <v>-260.61004559030812</v>
      </c>
      <c r="BF397">
        <f t="shared" si="347"/>
        <v>-54.759135162401414</v>
      </c>
      <c r="BG397">
        <f t="shared" si="348"/>
        <v>-222.68513479569506</v>
      </c>
      <c r="BH397">
        <f t="shared" si="359"/>
        <v>-42.685134795695063</v>
      </c>
      <c r="BI397">
        <f t="shared" si="360"/>
        <v>-42.685134795695063</v>
      </c>
      <c r="BJ397">
        <f t="shared" si="349"/>
        <v>0</v>
      </c>
      <c r="BK397">
        <f t="shared" si="361"/>
        <v>0</v>
      </c>
      <c r="BM397">
        <f t="shared" si="362"/>
        <v>-66.985728952342967</v>
      </c>
      <c r="BN397">
        <f t="shared" si="350"/>
        <v>-142.07508920538697</v>
      </c>
      <c r="BQ397" s="56">
        <f t="shared" si="363"/>
        <v>29.128554590226688</v>
      </c>
      <c r="BR397" s="59"/>
      <c r="BS397" s="59"/>
      <c r="BT397" s="59">
        <v>741310.24100000004</v>
      </c>
      <c r="BU397" s="59">
        <v>8.6150300000000009</v>
      </c>
      <c r="BV397" s="59">
        <v>107.324</v>
      </c>
      <c r="BY397" s="59"/>
      <c r="BZ397" s="59"/>
      <c r="CA397" s="59"/>
      <c r="CC397" s="59"/>
    </row>
    <row r="398" spans="1:81" x14ac:dyDescent="0.25">
      <c r="A398">
        <f t="shared" si="319"/>
        <v>920000</v>
      </c>
      <c r="B398">
        <f t="shared" si="351"/>
        <v>920</v>
      </c>
      <c r="C398">
        <f t="shared" si="320"/>
        <v>1.2684556974300516</v>
      </c>
      <c r="D398">
        <f t="shared" si="321"/>
        <v>0.66265729811982743</v>
      </c>
      <c r="F398">
        <f t="shared" si="322"/>
        <v>2.3308062151873794E-5</v>
      </c>
      <c r="G398">
        <f t="shared" si="323"/>
        <v>1.8882960260306601E-3</v>
      </c>
      <c r="H398">
        <f t="shared" si="324"/>
        <v>-3.1397043539739697</v>
      </c>
      <c r="J398">
        <f t="shared" si="325"/>
        <v>15</v>
      </c>
      <c r="M398">
        <f t="shared" si="326"/>
        <v>2.9018133312941302E-3</v>
      </c>
      <c r="N398">
        <f t="shared" si="327"/>
        <v>-1.5707963250000001</v>
      </c>
      <c r="O398">
        <f t="shared" si="328"/>
        <v>247.98677366515869</v>
      </c>
      <c r="P398">
        <f t="shared" si="329"/>
        <v>1.5667638427418964</v>
      </c>
      <c r="Q398">
        <f t="shared" si="330"/>
        <v>234.88820404367195</v>
      </c>
      <c r="R398">
        <f t="shared" si="331"/>
        <v>1.5665389694494036</v>
      </c>
      <c r="S398">
        <f t="shared" si="332"/>
        <v>0.1650125744965191</v>
      </c>
      <c r="T398">
        <f t="shared" si="333"/>
        <v>-1.4050255662286155</v>
      </c>
      <c r="U398">
        <f t="shared" si="334"/>
        <v>0.74385035979413128</v>
      </c>
      <c r="V398">
        <f t="shared" si="335"/>
        <v>-0.73198326305402506</v>
      </c>
      <c r="X398">
        <f t="shared" si="352"/>
        <v>-40.72330910284569</v>
      </c>
      <c r="Y398">
        <f t="shared" si="336"/>
        <v>-174.84090167774832</v>
      </c>
      <c r="Z398">
        <f t="shared" si="353"/>
        <v>5.1590983222516797</v>
      </c>
      <c r="AC398">
        <v>1</v>
      </c>
      <c r="AD398">
        <f t="shared" si="337"/>
        <v>247.9847574204</v>
      </c>
      <c r="AE398">
        <f t="shared" si="338"/>
        <v>-1.7201801374225077E-2</v>
      </c>
      <c r="AF398">
        <f t="shared" si="339"/>
        <v>1.9145116936512E-2</v>
      </c>
      <c r="AG398">
        <f t="shared" si="315"/>
        <v>7141.0443558805855</v>
      </c>
      <c r="AH398">
        <f t="shared" si="316"/>
        <v>-6468.428844026208</v>
      </c>
      <c r="AJ398">
        <f t="shared" si="340"/>
        <v>18000</v>
      </c>
      <c r="AK398">
        <f t="shared" si="341"/>
        <v>107587.23321931201</v>
      </c>
      <c r="AL398">
        <v>1</v>
      </c>
      <c r="AM398">
        <f t="shared" si="342"/>
        <v>234.88607536178401</v>
      </c>
      <c r="AN398">
        <f t="shared" si="317"/>
        <v>458.35801267936222</v>
      </c>
      <c r="AO398">
        <f t="shared" si="318"/>
        <v>-74.681489570218545</v>
      </c>
      <c r="AQ398">
        <f t="shared" si="343"/>
        <v>2.9536853279521127E-3</v>
      </c>
      <c r="AR398">
        <f t="shared" si="344"/>
        <v>-5.4347810034318869</v>
      </c>
      <c r="AT398">
        <f t="shared" si="313"/>
        <v>-35133.401805624293</v>
      </c>
      <c r="AU398">
        <f t="shared" si="314"/>
        <v>-38829.117913375805</v>
      </c>
      <c r="AV398">
        <f t="shared" si="354"/>
        <v>-2.3062685956945614</v>
      </c>
      <c r="AW398">
        <f t="shared" si="355"/>
        <v>8028.0284572472247</v>
      </c>
      <c r="AX398">
        <f t="shared" si="356"/>
        <v>-10078.995789621091</v>
      </c>
      <c r="AY398">
        <f t="shared" si="364"/>
        <v>-0.89818660262910344</v>
      </c>
      <c r="BA398">
        <f t="shared" si="345"/>
        <v>4.0638516229258048</v>
      </c>
      <c r="BB398">
        <f t="shared" si="357"/>
        <v>12.178756856969342</v>
      </c>
      <c r="BC398">
        <f t="shared" si="358"/>
        <v>-1.408081993065458</v>
      </c>
      <c r="BD398">
        <f t="shared" si="346"/>
        <v>-260.67715550320708</v>
      </c>
      <c r="BF398">
        <f t="shared" si="347"/>
        <v>-54.883788542512676</v>
      </c>
      <c r="BG398">
        <f t="shared" si="348"/>
        <v>-222.60149762112792</v>
      </c>
      <c r="BH398">
        <f t="shared" si="359"/>
        <v>-42.601497621127919</v>
      </c>
      <c r="BI398">
        <f t="shared" si="360"/>
        <v>-42.601497621127919</v>
      </c>
      <c r="BJ398">
        <f t="shared" si="349"/>
        <v>0</v>
      </c>
      <c r="BK398">
        <f t="shared" si="361"/>
        <v>0</v>
      </c>
      <c r="BM398">
        <f t="shared" si="362"/>
        <v>-67.062545399482019</v>
      </c>
      <c r="BN398">
        <f t="shared" si="350"/>
        <v>-141.92434211792084</v>
      </c>
      <c r="BQ398" s="56">
        <f t="shared" si="363"/>
        <v>29.080717657254482</v>
      </c>
      <c r="BR398" s="59"/>
      <c r="BS398" s="59"/>
      <c r="BT398" s="59">
        <v>758577.57499999995</v>
      </c>
      <c r="BU398" s="59">
        <v>8.3056699999999992</v>
      </c>
      <c r="BV398" s="59">
        <v>105.50700000000001</v>
      </c>
      <c r="BY398" s="59"/>
      <c r="BZ398" s="59"/>
      <c r="CA398" s="59"/>
      <c r="CC398" s="59"/>
    </row>
    <row r="399" spans="1:81" x14ac:dyDescent="0.25">
      <c r="A399">
        <f t="shared" si="319"/>
        <v>925000</v>
      </c>
      <c r="B399">
        <f t="shared" si="351"/>
        <v>925</v>
      </c>
      <c r="C399">
        <f t="shared" si="320"/>
        <v>1.271069309660702</v>
      </c>
      <c r="D399">
        <f t="shared" si="321"/>
        <v>0.66528780598931814</v>
      </c>
      <c r="F399">
        <f t="shared" si="322"/>
        <v>2.3056758638789305E-5</v>
      </c>
      <c r="G399">
        <f t="shared" si="323"/>
        <v>1.8780885614862563E-3</v>
      </c>
      <c r="H399">
        <f t="shared" si="324"/>
        <v>-3.139714561438514</v>
      </c>
      <c r="J399">
        <f t="shared" si="325"/>
        <v>15</v>
      </c>
      <c r="M399">
        <f t="shared" si="326"/>
        <v>2.8861278538276753E-3</v>
      </c>
      <c r="N399">
        <f t="shared" si="327"/>
        <v>-1.5707963250000001</v>
      </c>
      <c r="O399">
        <f t="shared" si="328"/>
        <v>249.33450601347627</v>
      </c>
      <c r="P399">
        <f t="shared" si="329"/>
        <v>1.5667856397186115</v>
      </c>
      <c r="Q399">
        <f t="shared" si="330"/>
        <v>236.16474729478782</v>
      </c>
      <c r="R399">
        <f t="shared" si="331"/>
        <v>1.5665619819159913</v>
      </c>
      <c r="S399">
        <f t="shared" si="332"/>
        <v>0.16414471067932165</v>
      </c>
      <c r="T399">
        <f t="shared" si="333"/>
        <v>-1.4059054279011742</v>
      </c>
      <c r="U399">
        <f t="shared" si="334"/>
        <v>0.74204623311712981</v>
      </c>
      <c r="V399">
        <f t="shared" si="335"/>
        <v>-0.73467861294625969</v>
      </c>
      <c r="X399">
        <f t="shared" si="352"/>
        <v>-40.819407503131913</v>
      </c>
      <c r="Y399">
        <f t="shared" si="336"/>
        <v>-174.89304666509349</v>
      </c>
      <c r="Z399">
        <f t="shared" si="353"/>
        <v>5.1069533349065068</v>
      </c>
      <c r="AC399">
        <v>1</v>
      </c>
      <c r="AD399">
        <f t="shared" si="337"/>
        <v>249.33250066725</v>
      </c>
      <c r="AE399">
        <f t="shared" si="338"/>
        <v>-1.7389285563352234E-2</v>
      </c>
      <c r="AF399">
        <f t="shared" si="339"/>
        <v>1.9249166485079999E-2</v>
      </c>
      <c r="AG399">
        <f t="shared" si="315"/>
        <v>7106.4467385320258</v>
      </c>
      <c r="AH399">
        <f t="shared" si="316"/>
        <v>-6471.7623889660481</v>
      </c>
      <c r="AJ399">
        <f t="shared" si="340"/>
        <v>18000</v>
      </c>
      <c r="AK399">
        <f t="shared" si="341"/>
        <v>108171.94644333</v>
      </c>
      <c r="AL399">
        <v>1</v>
      </c>
      <c r="AM399">
        <f t="shared" si="342"/>
        <v>236.16263011918502</v>
      </c>
      <c r="AN399">
        <f t="shared" si="317"/>
        <v>458.35458475821895</v>
      </c>
      <c r="AO399">
        <f t="shared" si="318"/>
        <v>-74.277820357899017</v>
      </c>
      <c r="AQ399">
        <f t="shared" si="343"/>
        <v>2.9218399059635046E-3</v>
      </c>
      <c r="AR399">
        <f t="shared" si="344"/>
        <v>-5.405403826032483</v>
      </c>
      <c r="AT399">
        <f t="shared" si="313"/>
        <v>-34961.725278819955</v>
      </c>
      <c r="AU399">
        <f t="shared" si="314"/>
        <v>-38432.123843567068</v>
      </c>
      <c r="AV399">
        <f t="shared" si="354"/>
        <v>-2.3089450863295466</v>
      </c>
      <c r="AW399">
        <f t="shared" si="355"/>
        <v>7993.7518206568238</v>
      </c>
      <c r="AX399">
        <f t="shared" si="356"/>
        <v>-10067.259790279302</v>
      </c>
      <c r="AY399">
        <f t="shared" si="364"/>
        <v>-0.8997034705934831</v>
      </c>
      <c r="BA399">
        <f t="shared" si="345"/>
        <v>4.0416544020315968</v>
      </c>
      <c r="BB399">
        <f t="shared" si="357"/>
        <v>12.131183493296083</v>
      </c>
      <c r="BC399">
        <f t="shared" si="358"/>
        <v>-1.4092416157360637</v>
      </c>
      <c r="BD399">
        <f t="shared" si="346"/>
        <v>-260.7435969881364</v>
      </c>
      <c r="BF399">
        <f t="shared" si="347"/>
        <v>-55.007641605206487</v>
      </c>
      <c r="BG399">
        <f t="shared" si="348"/>
        <v>-222.51780695162583</v>
      </c>
      <c r="BH399">
        <f t="shared" si="359"/>
        <v>-42.517806951625829</v>
      </c>
      <c r="BI399">
        <f t="shared" si="360"/>
        <v>-42.517806951625829</v>
      </c>
      <c r="BJ399">
        <f t="shared" si="349"/>
        <v>0</v>
      </c>
      <c r="BK399">
        <f t="shared" si="361"/>
        <v>0</v>
      </c>
      <c r="BM399">
        <f t="shared" si="362"/>
        <v>-67.138825098502565</v>
      </c>
      <c r="BN399">
        <f t="shared" si="350"/>
        <v>-141.77420996348945</v>
      </c>
      <c r="BQ399" s="56">
        <f t="shared" si="363"/>
        <v>29.03314429358122</v>
      </c>
      <c r="BR399" s="59"/>
      <c r="BS399" s="59"/>
      <c r="BT399" s="59">
        <v>776247.11699999997</v>
      </c>
      <c r="BU399" s="59">
        <v>7.9999099999999999</v>
      </c>
      <c r="BV399" s="59">
        <v>105.28700000000001</v>
      </c>
      <c r="BY399" s="59"/>
      <c r="BZ399" s="59"/>
      <c r="CA399" s="59"/>
      <c r="CC399" s="59"/>
    </row>
    <row r="400" spans="1:81" x14ac:dyDescent="0.25">
      <c r="A400">
        <f t="shared" si="319"/>
        <v>930000</v>
      </c>
      <c r="B400">
        <f t="shared" si="351"/>
        <v>930</v>
      </c>
      <c r="C400">
        <f t="shared" si="320"/>
        <v>1.2736916810154129</v>
      </c>
      <c r="D400">
        <f t="shared" si="321"/>
        <v>0.66790750015263167</v>
      </c>
      <c r="F400">
        <f t="shared" si="322"/>
        <v>2.2809497619154577E-5</v>
      </c>
      <c r="G400">
        <f t="shared" si="323"/>
        <v>1.8679908619689165E-3</v>
      </c>
      <c r="H400">
        <f t="shared" si="324"/>
        <v>-3.1397246591380314</v>
      </c>
      <c r="J400">
        <f t="shared" si="325"/>
        <v>15</v>
      </c>
      <c r="M400">
        <f t="shared" si="326"/>
        <v>2.8706110374092471E-3</v>
      </c>
      <c r="N400">
        <f t="shared" si="327"/>
        <v>-1.5707963250000001</v>
      </c>
      <c r="O400">
        <f t="shared" si="328"/>
        <v>250.68223847898096</v>
      </c>
      <c r="P400">
        <f t="shared" si="329"/>
        <v>1.5668072023229829</v>
      </c>
      <c r="Q400">
        <f t="shared" si="330"/>
        <v>237.44129066962549</v>
      </c>
      <c r="R400">
        <f t="shared" si="331"/>
        <v>1.5665847469411143</v>
      </c>
      <c r="S400">
        <f t="shared" si="332"/>
        <v>0.16328580352066899</v>
      </c>
      <c r="T400">
        <f t="shared" si="333"/>
        <v>-1.4067760822755044</v>
      </c>
      <c r="U400">
        <f t="shared" si="334"/>
        <v>0.74024549786189231</v>
      </c>
      <c r="V400">
        <f t="shared" si="335"/>
        <v>-0.73736090055056058</v>
      </c>
      <c r="X400">
        <f t="shared" si="352"/>
        <v>-40.915006948861304</v>
      </c>
      <c r="Y400">
        <f t="shared" si="336"/>
        <v>-174.94455659568916</v>
      </c>
      <c r="Z400">
        <f t="shared" si="353"/>
        <v>5.0554434043108358</v>
      </c>
      <c r="AC400">
        <v>1</v>
      </c>
      <c r="AD400">
        <f t="shared" si="337"/>
        <v>250.6802439141</v>
      </c>
      <c r="AE400">
        <f t="shared" si="338"/>
        <v>-1.7577785926946206E-2</v>
      </c>
      <c r="AF400">
        <f t="shared" si="339"/>
        <v>1.9353216033648001E-2</v>
      </c>
      <c r="AG400">
        <f t="shared" si="315"/>
        <v>7071.9979360777306</v>
      </c>
      <c r="AH400">
        <f t="shared" si="316"/>
        <v>-6474.8962435138656</v>
      </c>
      <c r="AJ400">
        <f t="shared" si="340"/>
        <v>18000</v>
      </c>
      <c r="AK400">
        <f t="shared" si="341"/>
        <v>108756.65966734801</v>
      </c>
      <c r="AL400">
        <v>1</v>
      </c>
      <c r="AM400">
        <f t="shared" si="342"/>
        <v>237.43918487658601</v>
      </c>
      <c r="AN400">
        <f t="shared" si="317"/>
        <v>458.35121197605815</v>
      </c>
      <c r="AO400">
        <f t="shared" si="318"/>
        <v>-73.878491442520655</v>
      </c>
      <c r="AQ400">
        <f t="shared" si="343"/>
        <v>2.8905067376266799E-3</v>
      </c>
      <c r="AR400">
        <f t="shared" si="344"/>
        <v>-5.3763425319856246</v>
      </c>
      <c r="AT400">
        <f t="shared" si="313"/>
        <v>-34790.818406514831</v>
      </c>
      <c r="AU400">
        <f t="shared" si="314"/>
        <v>-38040.199021066568</v>
      </c>
      <c r="AV400">
        <f t="shared" si="354"/>
        <v>-2.3116087174605697</v>
      </c>
      <c r="AW400">
        <f t="shared" si="355"/>
        <v>7959.571273677162</v>
      </c>
      <c r="AX400">
        <f t="shared" si="356"/>
        <v>-10055.467358047856</v>
      </c>
      <c r="AY400">
        <f t="shared" si="364"/>
        <v>-0.90121894889277743</v>
      </c>
      <c r="BA400">
        <f t="shared" si="345"/>
        <v>4.0196990546055407</v>
      </c>
      <c r="BB400">
        <f t="shared" si="357"/>
        <v>12.083870793945092</v>
      </c>
      <c r="BC400">
        <f t="shared" si="358"/>
        <v>-1.4103897685677924</v>
      </c>
      <c r="BD400">
        <f t="shared" si="346"/>
        <v>-260.80938129970559</v>
      </c>
      <c r="BF400">
        <f t="shared" si="347"/>
        <v>-55.130703379249098</v>
      </c>
      <c r="BG400">
        <f t="shared" si="348"/>
        <v>-222.43407239941641</v>
      </c>
      <c r="BH400">
        <f t="shared" si="359"/>
        <v>-42.434072399416408</v>
      </c>
      <c r="BI400">
        <f t="shared" si="360"/>
        <v>-42.434072399416408</v>
      </c>
      <c r="BJ400">
        <f t="shared" si="349"/>
        <v>0</v>
      </c>
      <c r="BK400">
        <f t="shared" si="361"/>
        <v>0</v>
      </c>
      <c r="BM400">
        <f t="shared" si="362"/>
        <v>-67.214574173194194</v>
      </c>
      <c r="BN400">
        <f t="shared" si="350"/>
        <v>-141.62469109971082</v>
      </c>
      <c r="BQ400" s="56">
        <f t="shared" si="363"/>
        <v>28.98583159423023</v>
      </c>
      <c r="BR400" s="59"/>
      <c r="BS400" s="59"/>
      <c r="BT400" s="59">
        <v>794328.23499999999</v>
      </c>
      <c r="BU400" s="59">
        <v>7.7399399999999998</v>
      </c>
      <c r="BV400" s="59">
        <v>105.286</v>
      </c>
      <c r="BY400" s="59"/>
      <c r="BZ400" s="59"/>
      <c r="CA400" s="59"/>
      <c r="CC400" s="59"/>
    </row>
    <row r="401" spans="1:81" x14ac:dyDescent="0.25">
      <c r="A401">
        <f t="shared" si="319"/>
        <v>935000</v>
      </c>
      <c r="B401">
        <f t="shared" si="351"/>
        <v>935</v>
      </c>
      <c r="C401">
        <f t="shared" si="320"/>
        <v>1.2763227575039016</v>
      </c>
      <c r="D401">
        <f t="shared" si="321"/>
        <v>0.67051641141807705</v>
      </c>
      <c r="F401">
        <f t="shared" si="322"/>
        <v>2.2566192851054161E-5</v>
      </c>
      <c r="G401">
        <f t="shared" si="323"/>
        <v>1.8580011663865438E-3</v>
      </c>
      <c r="H401">
        <f t="shared" si="324"/>
        <v>-3.1397346488336138</v>
      </c>
      <c r="J401">
        <f t="shared" si="325"/>
        <v>15</v>
      </c>
      <c r="M401">
        <f t="shared" si="326"/>
        <v>2.8552601762466307E-3</v>
      </c>
      <c r="N401">
        <f t="shared" si="327"/>
        <v>-1.5707963250000001</v>
      </c>
      <c r="O401">
        <f t="shared" si="328"/>
        <v>252.02997105979279</v>
      </c>
      <c r="P401">
        <f t="shared" si="329"/>
        <v>1.5668285343149151</v>
      </c>
      <c r="Q401">
        <f t="shared" si="330"/>
        <v>238.71783416620022</v>
      </c>
      <c r="R401">
        <f t="shared" si="331"/>
        <v>1.5666072684943284</v>
      </c>
      <c r="S401">
        <f t="shared" si="332"/>
        <v>0.16243571702845169</v>
      </c>
      <c r="T401">
        <f t="shared" si="333"/>
        <v>-1.4076376718242802</v>
      </c>
      <c r="U401">
        <f t="shared" si="334"/>
        <v>0.73844820685011869</v>
      </c>
      <c r="V401">
        <f t="shared" si="335"/>
        <v>-0.74003018227490081</v>
      </c>
      <c r="X401">
        <f t="shared" si="352"/>
        <v>-41.010112387466521</v>
      </c>
      <c r="Y401">
        <f t="shared" si="336"/>
        <v>-174.9954407574086</v>
      </c>
      <c r="Z401">
        <f t="shared" si="353"/>
        <v>5.0045592425913981</v>
      </c>
      <c r="AC401">
        <v>1</v>
      </c>
      <c r="AD401">
        <f t="shared" si="337"/>
        <v>252.02798716095</v>
      </c>
      <c r="AE401">
        <f t="shared" si="338"/>
        <v>-1.7767302465006986E-2</v>
      </c>
      <c r="AF401">
        <f t="shared" si="339"/>
        <v>1.9457265582215999E-2</v>
      </c>
      <c r="AG401">
        <f t="shared" si="315"/>
        <v>7037.6984824357824</v>
      </c>
      <c r="AH401">
        <f t="shared" si="316"/>
        <v>-6477.8330265563609</v>
      </c>
      <c r="AJ401">
        <f t="shared" si="340"/>
        <v>18000</v>
      </c>
      <c r="AK401">
        <f t="shared" si="341"/>
        <v>109341.37289136602</v>
      </c>
      <c r="AL401">
        <v>1</v>
      </c>
      <c r="AM401">
        <f t="shared" si="342"/>
        <v>238.715739633987</v>
      </c>
      <c r="AN401">
        <f t="shared" si="317"/>
        <v>458.34789315663005</v>
      </c>
      <c r="AO401">
        <f t="shared" si="318"/>
        <v>-73.483433198578624</v>
      </c>
      <c r="AQ401">
        <f t="shared" si="343"/>
        <v>2.8596748949998871E-3</v>
      </c>
      <c r="AR401">
        <f t="shared" si="344"/>
        <v>-5.3475920536497892</v>
      </c>
      <c r="AT401">
        <f t="shared" si="313"/>
        <v>-34620.682888014155</v>
      </c>
      <c r="AU401">
        <f t="shared" si="314"/>
        <v>-37653.264977136816</v>
      </c>
      <c r="AV401">
        <f t="shared" si="354"/>
        <v>-2.3142595422424646</v>
      </c>
      <c r="AW401">
        <f t="shared" si="355"/>
        <v>7925.488907618821</v>
      </c>
      <c r="AX401">
        <f t="shared" si="356"/>
        <v>-10043.618738268067</v>
      </c>
      <c r="AY401">
        <f t="shared" si="364"/>
        <v>-0.90273289867117723</v>
      </c>
      <c r="BA401">
        <f t="shared" si="345"/>
        <v>3.9979816373740875</v>
      </c>
      <c r="BB401">
        <f t="shared" si="357"/>
        <v>12.03681590166787</v>
      </c>
      <c r="BC401">
        <f t="shared" si="358"/>
        <v>-1.4115266435712872</v>
      </c>
      <c r="BD401">
        <f t="shared" si="346"/>
        <v>-260.87451943931421</v>
      </c>
      <c r="BF401">
        <f t="shared" si="347"/>
        <v>-55.252982750938841</v>
      </c>
      <c r="BG401">
        <f t="shared" si="348"/>
        <v>-222.35030330161621</v>
      </c>
      <c r="BH401">
        <f t="shared" si="359"/>
        <v>-42.350303301616208</v>
      </c>
      <c r="BI401">
        <f t="shared" si="360"/>
        <v>-42.350303301616208</v>
      </c>
      <c r="BJ401">
        <f t="shared" si="349"/>
        <v>0</v>
      </c>
      <c r="BK401">
        <f t="shared" si="361"/>
        <v>0</v>
      </c>
      <c r="BM401">
        <f t="shared" si="362"/>
        <v>-67.289798652606706</v>
      </c>
      <c r="BN401">
        <f t="shared" si="350"/>
        <v>-141.47578386230199</v>
      </c>
      <c r="BQ401" s="56">
        <f t="shared" si="363"/>
        <v>28.93877670195301</v>
      </c>
      <c r="BR401" s="59"/>
      <c r="BS401" s="59"/>
      <c r="BT401" s="59">
        <v>812830.51599999995</v>
      </c>
      <c r="BU401" s="59">
        <v>7.5259600000000004</v>
      </c>
      <c r="BV401" s="59">
        <v>105.187</v>
      </c>
      <c r="BY401" s="59"/>
      <c r="BZ401" s="59"/>
      <c r="CA401" s="59"/>
      <c r="CC401" s="59"/>
    </row>
    <row r="402" spans="1:81" x14ac:dyDescent="0.25">
      <c r="A402">
        <f t="shared" si="319"/>
        <v>940000</v>
      </c>
      <c r="B402">
        <f t="shared" si="351"/>
        <v>940</v>
      </c>
      <c r="C402">
        <f t="shared" si="320"/>
        <v>1.2789624854016701</v>
      </c>
      <c r="D402">
        <f t="shared" si="321"/>
        <v>0.67311457092801419</v>
      </c>
      <c r="F402">
        <f t="shared" si="322"/>
        <v>2.2326760380221504E-5</v>
      </c>
      <c r="G402">
        <f t="shared" si="323"/>
        <v>1.8481177511211978E-3</v>
      </c>
      <c r="H402">
        <f t="shared" si="324"/>
        <v>-3.1397445322488791</v>
      </c>
      <c r="J402">
        <f t="shared" si="325"/>
        <v>15</v>
      </c>
      <c r="M402">
        <f t="shared" si="326"/>
        <v>2.8400726221176589E-3</v>
      </c>
      <c r="N402">
        <f t="shared" si="327"/>
        <v>-1.5707963250000001</v>
      </c>
      <c r="O402">
        <f t="shared" si="328"/>
        <v>253.37770375407175</v>
      </c>
      <c r="P402">
        <f t="shared" si="329"/>
        <v>1.5668496393743165</v>
      </c>
      <c r="Q402">
        <f t="shared" si="330"/>
        <v>239.99437778256939</v>
      </c>
      <c r="R402">
        <f t="shared" si="331"/>
        <v>1.566629550460733</v>
      </c>
      <c r="S402">
        <f t="shared" si="332"/>
        <v>0.16159431790895559</v>
      </c>
      <c r="T402">
        <f t="shared" si="333"/>
        <v>-1.4084903361226759</v>
      </c>
      <c r="U402">
        <f t="shared" si="334"/>
        <v>0.73665441161092082</v>
      </c>
      <c r="V402">
        <f t="shared" si="335"/>
        <v>-0.74268651472291503</v>
      </c>
      <c r="X402">
        <f t="shared" si="352"/>
        <v>-41.104728693131975</v>
      </c>
      <c r="Y402">
        <f t="shared" si="336"/>
        <v>-175.04570827145685</v>
      </c>
      <c r="Z402">
        <f t="shared" si="353"/>
        <v>4.9542917285431542</v>
      </c>
      <c r="AC402">
        <v>1</v>
      </c>
      <c r="AD402">
        <f t="shared" si="337"/>
        <v>253.37573040780001</v>
      </c>
      <c r="AE402">
        <f t="shared" si="338"/>
        <v>-1.7957835177534586E-2</v>
      </c>
      <c r="AF402">
        <f t="shared" si="339"/>
        <v>1.9561315130784001E-2</v>
      </c>
      <c r="AG402">
        <f t="shared" si="315"/>
        <v>7003.5488780537316</v>
      </c>
      <c r="AH402">
        <f t="shared" si="316"/>
        <v>-6480.5753377183801</v>
      </c>
      <c r="AJ402">
        <f t="shared" si="340"/>
        <v>18000</v>
      </c>
      <c r="AK402">
        <f t="shared" si="341"/>
        <v>109926.08611538399</v>
      </c>
      <c r="AL402">
        <v>1</v>
      </c>
      <c r="AM402">
        <f t="shared" si="342"/>
        <v>239.99229439138801</v>
      </c>
      <c r="AN402">
        <f t="shared" si="317"/>
        <v>458.34462715488371</v>
      </c>
      <c r="AO402">
        <f t="shared" si="318"/>
        <v>-73.09257748183181</v>
      </c>
      <c r="AQ402">
        <f t="shared" si="343"/>
        <v>2.829333740002903E-3</v>
      </c>
      <c r="AR402">
        <f t="shared" si="344"/>
        <v>-5.3191474312054572</v>
      </c>
      <c r="AT402">
        <f t="shared" si="313"/>
        <v>-34451.320283217719</v>
      </c>
      <c r="AU402">
        <f t="shared" si="314"/>
        <v>-37271.244734479005</v>
      </c>
      <c r="AV402">
        <f t="shared" si="354"/>
        <v>-2.3168976140949398</v>
      </c>
      <c r="AW402">
        <f t="shared" si="355"/>
        <v>7891.5067367613301</v>
      </c>
      <c r="AX402">
        <f t="shared" si="356"/>
        <v>-10031.714211960643</v>
      </c>
      <c r="AY402">
        <f t="shared" si="364"/>
        <v>-0.9042451856327588</v>
      </c>
      <c r="BA402">
        <f t="shared" si="345"/>
        <v>3.9764982924249104</v>
      </c>
      <c r="BB402">
        <f t="shared" si="357"/>
        <v>11.99001600590954</v>
      </c>
      <c r="BC402">
        <f t="shared" si="358"/>
        <v>-1.4126524284621809</v>
      </c>
      <c r="BD402">
        <f t="shared" si="346"/>
        <v>-260.93902216227571</v>
      </c>
      <c r="BF402">
        <f t="shared" si="347"/>
        <v>-55.374488467055983</v>
      </c>
      <c r="BG402">
        <f t="shared" si="348"/>
        <v>-222.26650872796895</v>
      </c>
      <c r="BH402">
        <f t="shared" si="359"/>
        <v>-42.266508727968954</v>
      </c>
      <c r="BI402">
        <f t="shared" si="360"/>
        <v>-42.266508727968954</v>
      </c>
      <c r="BJ402">
        <f t="shared" si="349"/>
        <v>0</v>
      </c>
      <c r="BK402">
        <f t="shared" si="361"/>
        <v>0</v>
      </c>
      <c r="BM402">
        <f t="shared" si="362"/>
        <v>-67.364504472965521</v>
      </c>
      <c r="BN402">
        <f t="shared" si="350"/>
        <v>-141.32748656569325</v>
      </c>
      <c r="BQ402" s="56">
        <f t="shared" si="363"/>
        <v>28.891976806194677</v>
      </c>
      <c r="BR402" s="59"/>
      <c r="BS402" s="59"/>
      <c r="BT402" s="59">
        <v>831763.77099999995</v>
      </c>
      <c r="BU402" s="59">
        <v>7.3913599999999997</v>
      </c>
      <c r="BV402" s="59">
        <v>104.541</v>
      </c>
      <c r="BY402" s="59"/>
      <c r="BZ402" s="59"/>
      <c r="CA402" s="59"/>
      <c r="CC402" s="59"/>
    </row>
    <row r="403" spans="1:81" x14ac:dyDescent="0.25">
      <c r="A403">
        <f t="shared" si="319"/>
        <v>945000</v>
      </c>
      <c r="B403">
        <f t="shared" si="351"/>
        <v>945</v>
      </c>
      <c r="C403">
        <f t="shared" si="320"/>
        <v>1.2816108112509161</v>
      </c>
      <c r="D403">
        <f t="shared" si="321"/>
        <v>0.67570201014928377</v>
      </c>
      <c r="F403">
        <f t="shared" si="322"/>
        <v>2.2091118467604351E-5</v>
      </c>
      <c r="G403">
        <f t="shared" si="323"/>
        <v>1.8383389290375861E-3</v>
      </c>
      <c r="H403">
        <f t="shared" si="324"/>
        <v>-3.1397543110709627</v>
      </c>
      <c r="J403">
        <f t="shared" si="325"/>
        <v>15</v>
      </c>
      <c r="M403">
        <f t="shared" si="326"/>
        <v>2.8250457828471955E-3</v>
      </c>
      <c r="N403">
        <f t="shared" si="327"/>
        <v>-1.5707963250000001</v>
      </c>
      <c r="O403">
        <f t="shared" si="328"/>
        <v>254.72543656001687</v>
      </c>
      <c r="P403">
        <f t="shared" si="329"/>
        <v>1.5668705211032166</v>
      </c>
      <c r="Q403">
        <f t="shared" si="330"/>
        <v>241.27092151683158</v>
      </c>
      <c r="R403">
        <f t="shared" si="331"/>
        <v>1.5666515966432057</v>
      </c>
      <c r="S403">
        <f t="shared" si="332"/>
        <v>0.16076147550133596</v>
      </c>
      <c r="T403">
        <f t="shared" si="333"/>
        <v>-1.4093342119209569</v>
      </c>
      <c r="U403">
        <f t="shared" si="334"/>
        <v>0.73486416239816543</v>
      </c>
      <c r="V403">
        <f t="shared" si="335"/>
        <v>-0.74532995468136232</v>
      </c>
      <c r="X403">
        <f t="shared" si="352"/>
        <v>-41.198860668259869</v>
      </c>
      <c r="Y403">
        <f t="shared" si="336"/>
        <v>-175.09536809616731</v>
      </c>
      <c r="Z403">
        <f t="shared" si="353"/>
        <v>4.9046319038326942</v>
      </c>
      <c r="AC403">
        <v>1</v>
      </c>
      <c r="AD403">
        <f t="shared" si="337"/>
        <v>254.72347365465004</v>
      </c>
      <c r="AE403">
        <f t="shared" si="338"/>
        <v>-1.8149384064529001E-2</v>
      </c>
      <c r="AF403">
        <f t="shared" si="339"/>
        <v>1.9665364679351999E-2</v>
      </c>
      <c r="AG403">
        <f t="shared" si="315"/>
        <v>6969.5495905835523</v>
      </c>
      <c r="AH403">
        <f t="shared" si="316"/>
        <v>-6483.1257571412016</v>
      </c>
      <c r="AJ403">
        <f t="shared" si="340"/>
        <v>18000</v>
      </c>
      <c r="AK403">
        <f t="shared" si="341"/>
        <v>110510.799339402</v>
      </c>
      <c r="AL403">
        <v>1</v>
      </c>
      <c r="AM403">
        <f t="shared" si="342"/>
        <v>241.268849148789</v>
      </c>
      <c r="AN403">
        <f t="shared" si="317"/>
        <v>458.34141285597946</v>
      </c>
      <c r="AO403">
        <f t="shared" si="318"/>
        <v>-72.70585759012009</v>
      </c>
      <c r="AQ403">
        <f t="shared" si="343"/>
        <v>2.7994729152395186E-3</v>
      </c>
      <c r="AR403">
        <f t="shared" si="344"/>
        <v>-5.2910038098026906</v>
      </c>
      <c r="AT403">
        <f t="shared" si="313"/>
        <v>-34282.732015153793</v>
      </c>
      <c r="AU403">
        <f t="shared" si="314"/>
        <v>-36894.062771349563</v>
      </c>
      <c r="AV403">
        <f t="shared" si="354"/>
        <v>-2.3195229866882121</v>
      </c>
      <c r="AW403">
        <f t="shared" si="355"/>
        <v>7857.6267003623889</v>
      </c>
      <c r="AX403">
        <f t="shared" si="356"/>
        <v>-10019.754094059314</v>
      </c>
      <c r="AY403">
        <f t="shared" si="364"/>
        <v>-0.90575567990696892</v>
      </c>
      <c r="BA403">
        <f t="shared" si="345"/>
        <v>3.9552452449100537</v>
      </c>
      <c r="BB403">
        <f t="shared" si="357"/>
        <v>11.943468341801866</v>
      </c>
      <c r="BC403">
        <f t="shared" si="358"/>
        <v>-1.4137673067812431</v>
      </c>
      <c r="BD403">
        <f t="shared" si="346"/>
        <v>-261.00289998470163</v>
      </c>
      <c r="BF403">
        <f t="shared" si="347"/>
        <v>-55.495229137735819</v>
      </c>
      <c r="BG403">
        <f t="shared" si="348"/>
        <v>-222.18269748833472</v>
      </c>
      <c r="BH403">
        <f t="shared" si="359"/>
        <v>-42.182697488334725</v>
      </c>
      <c r="BI403">
        <f t="shared" si="360"/>
        <v>-42.182697488334725</v>
      </c>
      <c r="BJ403">
        <f t="shared" si="349"/>
        <v>0</v>
      </c>
      <c r="BK403">
        <f t="shared" si="361"/>
        <v>0</v>
      </c>
      <c r="BM403">
        <f t="shared" si="362"/>
        <v>-67.43869747953768</v>
      </c>
      <c r="BN403">
        <f t="shared" si="350"/>
        <v>-141.17979750363313</v>
      </c>
      <c r="BQ403" s="56">
        <f t="shared" si="363"/>
        <v>28.845429142087006</v>
      </c>
      <c r="BR403" s="59"/>
      <c r="BS403" s="59"/>
      <c r="BT403" s="59">
        <v>851138.03799999994</v>
      </c>
      <c r="BU403" s="59">
        <v>7.3125499999999999</v>
      </c>
      <c r="BV403" s="59">
        <v>103.205</v>
      </c>
      <c r="BY403" s="59"/>
      <c r="BZ403" s="59"/>
      <c r="CA403" s="59"/>
      <c r="CC403" s="59"/>
    </row>
    <row r="404" spans="1:81" x14ac:dyDescent="0.25">
      <c r="A404">
        <f t="shared" si="319"/>
        <v>950000</v>
      </c>
      <c r="B404">
        <f t="shared" si="351"/>
        <v>950</v>
      </c>
      <c r="C404">
        <f t="shared" si="320"/>
        <v>1.284267681861381</v>
      </c>
      <c r="D404">
        <f t="shared" si="321"/>
        <v>0.6782787608637616</v>
      </c>
      <c r="F404">
        <f t="shared" si="322"/>
        <v>2.1859187519591992E-5</v>
      </c>
      <c r="G404">
        <f t="shared" si="323"/>
        <v>1.8286630485228686E-3</v>
      </c>
      <c r="H404">
        <f t="shared" si="324"/>
        <v>-3.1397639869514773</v>
      </c>
      <c r="J404">
        <f t="shared" si="325"/>
        <v>15</v>
      </c>
      <c r="M404">
        <f t="shared" si="326"/>
        <v>2.8101771208322102E-3</v>
      </c>
      <c r="N404">
        <f t="shared" si="327"/>
        <v>-1.5707963250000001</v>
      </c>
      <c r="O404">
        <f t="shared" si="328"/>
        <v>256.07316947586497</v>
      </c>
      <c r="P404">
        <f t="shared" si="329"/>
        <v>1.5668911830278138</v>
      </c>
      <c r="Q404">
        <f t="shared" si="330"/>
        <v>242.54746536712528</v>
      </c>
      <c r="R404">
        <f t="shared" si="331"/>
        <v>1.5666734107645652</v>
      </c>
      <c r="S404">
        <f t="shared" si="332"/>
        <v>0.15993706171395808</v>
      </c>
      <c r="T404">
        <f t="shared" si="333"/>
        <v>-1.4101694332149244</v>
      </c>
      <c r="U404">
        <f t="shared" si="334"/>
        <v>0.73307750820776718</v>
      </c>
      <c r="V404">
        <f t="shared" si="335"/>
        <v>-0.74796055910784487</v>
      </c>
      <c r="X404">
        <f t="shared" si="352"/>
        <v>-41.292513044899557</v>
      </c>
      <c r="Y404">
        <f t="shared" si="336"/>
        <v>-175.14442903068897</v>
      </c>
      <c r="Z404">
        <f t="shared" si="353"/>
        <v>4.8555709693110316</v>
      </c>
      <c r="AC404">
        <v>1</v>
      </c>
      <c r="AD404">
        <f t="shared" si="337"/>
        <v>256.07121690150001</v>
      </c>
      <c r="AE404">
        <f t="shared" si="338"/>
        <v>-1.8341949125990225E-2</v>
      </c>
      <c r="AF404">
        <f t="shared" si="339"/>
        <v>1.9769414227919998E-2</v>
      </c>
      <c r="AG404">
        <f t="shared" si="315"/>
        <v>6935.7010555497427</v>
      </c>
      <c r="AH404">
        <f t="shared" si="316"/>
        <v>-6485.4868452751271</v>
      </c>
      <c r="AJ404">
        <f t="shared" si="340"/>
        <v>18000</v>
      </c>
      <c r="AK404">
        <f t="shared" si="341"/>
        <v>111095.51256342002</v>
      </c>
      <c r="AL404">
        <v>1</v>
      </c>
      <c r="AM404">
        <f t="shared" si="342"/>
        <v>242.54540390619002</v>
      </c>
      <c r="AN404">
        <f t="shared" si="317"/>
        <v>458.33824917433662</v>
      </c>
      <c r="AO404">
        <f t="shared" si="318"/>
        <v>-72.323208225418696</v>
      </c>
      <c r="AQ404">
        <f t="shared" si="343"/>
        <v>2.770082335157248E-3</v>
      </c>
      <c r="AR404">
        <f t="shared" si="344"/>
        <v>-5.2631564367987709</v>
      </c>
      <c r="AT404">
        <f t="shared" si="313"/>
        <v>-34114.919372507626</v>
      </c>
      <c r="AU404">
        <f t="shared" si="314"/>
        <v>-36521.644986773652</v>
      </c>
      <c r="AV404">
        <f t="shared" si="354"/>
        <v>-2.3221357139289482</v>
      </c>
      <c r="AW404">
        <f t="shared" si="355"/>
        <v>7823.8506646132773</v>
      </c>
      <c r="AX404">
        <f t="shared" si="356"/>
        <v>-10007.738731708563</v>
      </c>
      <c r="AY404">
        <f t="shared" si="364"/>
        <v>-0.90726425591845228</v>
      </c>
      <c r="BA404">
        <f t="shared" si="345"/>
        <v>3.934218800822717</v>
      </c>
      <c r="BB404">
        <f t="shared" si="357"/>
        <v>11.897170189182996</v>
      </c>
      <c r="BC404">
        <f t="shared" si="358"/>
        <v>-1.414871458010496</v>
      </c>
      <c r="BD404">
        <f t="shared" si="346"/>
        <v>-261.06616319015427</v>
      </c>
      <c r="BF404">
        <f t="shared" si="347"/>
        <v>-55.615213239266922</v>
      </c>
      <c r="BG404">
        <f t="shared" si="348"/>
        <v>-222.09887813993899</v>
      </c>
      <c r="BH404">
        <f t="shared" si="359"/>
        <v>-42.098878139938989</v>
      </c>
      <c r="BI404">
        <f t="shared" si="360"/>
        <v>-42.098878139938989</v>
      </c>
      <c r="BJ404">
        <f t="shared" si="349"/>
        <v>0</v>
      </c>
      <c r="BK404">
        <f t="shared" si="361"/>
        <v>0</v>
      </c>
      <c r="BM404">
        <f t="shared" si="362"/>
        <v>-67.512383428449922</v>
      </c>
      <c r="BN404">
        <f t="shared" si="350"/>
        <v>-141.03271494978472</v>
      </c>
      <c r="BQ404" s="56">
        <f t="shared" si="363"/>
        <v>28.799130989468132</v>
      </c>
      <c r="BR404" s="59"/>
      <c r="BS404" s="59"/>
      <c r="BT404" s="59">
        <v>870963.59</v>
      </c>
      <c r="BU404" s="59">
        <v>7.1463099999999997</v>
      </c>
      <c r="BV404" s="59">
        <v>103.91</v>
      </c>
      <c r="BY404" s="59"/>
      <c r="BZ404" s="59"/>
      <c r="CA404" s="59"/>
      <c r="CC404" s="59"/>
    </row>
    <row r="405" spans="1:81" x14ac:dyDescent="0.25">
      <c r="A405">
        <f t="shared" si="319"/>
        <v>955000</v>
      </c>
      <c r="B405">
        <f t="shared" si="351"/>
        <v>955</v>
      </c>
      <c r="C405">
        <f t="shared" si="320"/>
        <v>1.28693304431114</v>
      </c>
      <c r="D405">
        <f t="shared" si="321"/>
        <v>0.6808448551590377</v>
      </c>
      <c r="F405">
        <f t="shared" si="322"/>
        <v>2.1630890020792984E-5</v>
      </c>
      <c r="G405">
        <f t="shared" si="323"/>
        <v>1.8190884925566322E-3</v>
      </c>
      <c r="H405">
        <f t="shared" si="324"/>
        <v>-3.1397735615074436</v>
      </c>
      <c r="J405">
        <f t="shared" si="325"/>
        <v>15</v>
      </c>
      <c r="M405">
        <f t="shared" si="326"/>
        <v>2.7954641516131935E-3</v>
      </c>
      <c r="N405">
        <f t="shared" si="327"/>
        <v>-1.5707963250000001</v>
      </c>
      <c r="O405">
        <f t="shared" si="328"/>
        <v>257.42090249988991</v>
      </c>
      <c r="P405">
        <f t="shared" si="329"/>
        <v>1.5669116286004618</v>
      </c>
      <c r="Q405">
        <f t="shared" si="330"/>
        <v>243.82400933162813</v>
      </c>
      <c r="R405">
        <f t="shared" si="331"/>
        <v>1.5666949964696681</v>
      </c>
      <c r="S405">
        <f t="shared" si="332"/>
        <v>0.15912095096254328</v>
      </c>
      <c r="T405">
        <f t="shared" si="333"/>
        <v>-1.4109961313142796</v>
      </c>
      <c r="U405">
        <f t="shared" si="334"/>
        <v>0.7312944967949272</v>
      </c>
      <c r="V405">
        <f t="shared" si="335"/>
        <v>-0.75057838511877706</v>
      </c>
      <c r="X405">
        <f t="shared" si="352"/>
        <v>-41.385690486141307</v>
      </c>
      <c r="Y405">
        <f t="shared" si="336"/>
        <v>-175.19289971856784</v>
      </c>
      <c r="Z405">
        <f t="shared" si="353"/>
        <v>4.807100281432156</v>
      </c>
      <c r="AC405">
        <v>1</v>
      </c>
      <c r="AD405">
        <f t="shared" si="337"/>
        <v>257.41896014834998</v>
      </c>
      <c r="AE405">
        <f t="shared" si="338"/>
        <v>-1.8535530361918268E-2</v>
      </c>
      <c r="AF405">
        <f t="shared" si="339"/>
        <v>1.9873463776488E-2</v>
      </c>
      <c r="AG405">
        <f t="shared" si="315"/>
        <v>6902.0036770105135</v>
      </c>
      <c r="AH405">
        <f t="shared" si="316"/>
        <v>-6487.6611426860472</v>
      </c>
      <c r="AJ405">
        <f t="shared" si="340"/>
        <v>18000</v>
      </c>
      <c r="AK405">
        <f t="shared" si="341"/>
        <v>111680.225787438</v>
      </c>
      <c r="AL405">
        <v>1</v>
      </c>
      <c r="AM405">
        <f t="shared" si="342"/>
        <v>243.821958663591</v>
      </c>
      <c r="AN405">
        <f t="shared" si="317"/>
        <v>458.33513505271748</v>
      </c>
      <c r="AO405">
        <f t="shared" si="318"/>
        <v>-71.944565457084536</v>
      </c>
      <c r="AQ405">
        <f t="shared" si="343"/>
        <v>2.7411521775301726E-3</v>
      </c>
      <c r="AR405">
        <f t="shared" si="344"/>
        <v>-5.2356006590826292</v>
      </c>
      <c r="AT405">
        <f t="shared" si="313"/>
        <v>-33947.883512143271</v>
      </c>
      <c r="AU405">
        <f t="shared" si="314"/>
        <v>-36153.91866681532</v>
      </c>
      <c r="AV405">
        <f t="shared" si="354"/>
        <v>-2.3247358499465229</v>
      </c>
      <c r="AW405">
        <f t="shared" si="355"/>
        <v>7790.1804245423682</v>
      </c>
      <c r="AX405">
        <f t="shared" si="356"/>
        <v>-9995.6685026234409</v>
      </c>
      <c r="AY405">
        <f t="shared" si="364"/>
        <v>-0.90877079226105928</v>
      </c>
      <c r="BA405">
        <f t="shared" si="345"/>
        <v>3.9134153448449309</v>
      </c>
      <c r="BB405">
        <f t="shared" si="357"/>
        <v>11.851118871643083</v>
      </c>
      <c r="BC405">
        <f t="shared" si="358"/>
        <v>-1.4159650576854637</v>
      </c>
      <c r="BD405">
        <f t="shared" si="346"/>
        <v>-261.12882183607843</v>
      </c>
      <c r="BF405">
        <f t="shared" si="347"/>
        <v>-55.734449116817338</v>
      </c>
      <c r="BG405">
        <f t="shared" si="348"/>
        <v>-222.01505899439138</v>
      </c>
      <c r="BH405">
        <f t="shared" si="359"/>
        <v>-42.015058994391381</v>
      </c>
      <c r="BI405">
        <f t="shared" si="360"/>
        <v>-42.015058994391381</v>
      </c>
      <c r="BJ405">
        <f t="shared" si="349"/>
        <v>0</v>
      </c>
      <c r="BK405">
        <f t="shared" si="361"/>
        <v>0</v>
      </c>
      <c r="BM405">
        <f t="shared" si="362"/>
        <v>-67.585567988460426</v>
      </c>
      <c r="BN405">
        <f t="shared" si="350"/>
        <v>-140.88623715831301</v>
      </c>
      <c r="BQ405" s="56">
        <f t="shared" si="363"/>
        <v>28.753079671928219</v>
      </c>
      <c r="BR405" s="59"/>
      <c r="BS405" s="59"/>
      <c r="BT405" s="59">
        <v>891250.93799999997</v>
      </c>
      <c r="BU405" s="59">
        <v>6.8612700000000002</v>
      </c>
      <c r="BV405" s="59">
        <v>102.337</v>
      </c>
      <c r="BY405" s="59"/>
      <c r="BZ405" s="59"/>
      <c r="CA405" s="59"/>
      <c r="CC405" s="59"/>
    </row>
    <row r="406" spans="1:81" x14ac:dyDescent="0.25">
      <c r="A406">
        <f t="shared" si="319"/>
        <v>960000</v>
      </c>
      <c r="B406">
        <f t="shared" si="351"/>
        <v>960</v>
      </c>
      <c r="C406">
        <f t="shared" si="320"/>
        <v>1.2896068459473344</v>
      </c>
      <c r="D406">
        <f t="shared" si="321"/>
        <v>0.68340032541921991</v>
      </c>
      <c r="F406">
        <f t="shared" si="322"/>
        <v>2.1406150469257434E-5</v>
      </c>
      <c r="G406">
        <f t="shared" si="323"/>
        <v>1.8096136778099324E-3</v>
      </c>
      <c r="H406">
        <f t="shared" si="324"/>
        <v>-3.1397830363221901</v>
      </c>
      <c r="J406">
        <f t="shared" si="325"/>
        <v>15</v>
      </c>
      <c r="M406">
        <f t="shared" si="326"/>
        <v>2.7809044424902079E-3</v>
      </c>
      <c r="N406">
        <f t="shared" si="327"/>
        <v>-1.5707963250000001</v>
      </c>
      <c r="O406">
        <f t="shared" si="328"/>
        <v>258.76863563040138</v>
      </c>
      <c r="P406">
        <f t="shared" si="329"/>
        <v>1.5669318612015921</v>
      </c>
      <c r="Q406">
        <f t="shared" si="330"/>
        <v>245.10055340855556</v>
      </c>
      <c r="R406">
        <f t="shared" si="331"/>
        <v>1.566716357327439</v>
      </c>
      <c r="S406">
        <f t="shared" si="332"/>
        <v>0.15831302011006293</v>
      </c>
      <c r="T406">
        <f t="shared" si="333"/>
        <v>-1.4118144349089841</v>
      </c>
      <c r="U406">
        <f t="shared" si="334"/>
        <v>0.72951517469131089</v>
      </c>
      <c r="V406">
        <f t="shared" si="335"/>
        <v>-0.7531834899776042</v>
      </c>
      <c r="X406">
        <f t="shared" si="352"/>
        <v>-41.478397587475378</v>
      </c>
      <c r="Y406">
        <f t="shared" si="336"/>
        <v>-175.24078865122596</v>
      </c>
      <c r="Z406">
        <f t="shared" si="353"/>
        <v>4.7592113487740448</v>
      </c>
      <c r="AC406">
        <v>1</v>
      </c>
      <c r="AD406">
        <f t="shared" si="337"/>
        <v>258.76670339520001</v>
      </c>
      <c r="AE406">
        <f t="shared" si="338"/>
        <v>-1.8730127772313122E-2</v>
      </c>
      <c r="AF406">
        <f t="shared" si="339"/>
        <v>1.9977513325056002E-2</v>
      </c>
      <c r="AG406">
        <f t="shared" si="315"/>
        <v>6868.4578282119528</v>
      </c>
      <c r="AH406">
        <f t="shared" si="316"/>
        <v>-6489.6511698755548</v>
      </c>
      <c r="AJ406">
        <f t="shared" si="340"/>
        <v>18000</v>
      </c>
      <c r="AK406">
        <f t="shared" si="341"/>
        <v>112264.93901145601</v>
      </c>
      <c r="AL406">
        <v>1</v>
      </c>
      <c r="AM406">
        <f t="shared" si="342"/>
        <v>245.09851342099202</v>
      </c>
      <c r="AN406">
        <f t="shared" si="317"/>
        <v>458.33206946134396</v>
      </c>
      <c r="AO406">
        <f t="shared" si="318"/>
        <v>-71.569866686250805</v>
      </c>
      <c r="AQ406">
        <f t="shared" si="343"/>
        <v>2.7126728752514986E-3</v>
      </c>
      <c r="AR406">
        <f t="shared" si="344"/>
        <v>-5.2083319204828777</v>
      </c>
      <c r="AT406">
        <f t="shared" ref="AT406:AT469" si="365">-AR406*AH406+AG406*AQ406</f>
        <v>-33781.62546161651</v>
      </c>
      <c r="AU406">
        <f t="shared" ref="AU406:AU469" si="366">AQ406*AH406+AG406*AR406</f>
        <v>-35790.812451865182</v>
      </c>
      <c r="AV406">
        <f t="shared" si="354"/>
        <v>-2.3273234490795671</v>
      </c>
      <c r="AW406">
        <f t="shared" si="355"/>
        <v>7756.6177058684152</v>
      </c>
      <c r="AX406">
        <f t="shared" si="356"/>
        <v>-9983.5438135091499</v>
      </c>
      <c r="AY406">
        <f t="shared" si="364"/>
        <v>-0.91027517157587512</v>
      </c>
      <c r="BA406">
        <f t="shared" si="345"/>
        <v>3.8928313382635231</v>
      </c>
      <c r="BB406">
        <f t="shared" si="357"/>
        <v>11.80531175559501</v>
      </c>
      <c r="BC406">
        <f t="shared" si="358"/>
        <v>-1.4170482775036919</v>
      </c>
      <c r="BD406">
        <f t="shared" si="346"/>
        <v>-261.19088576001877</v>
      </c>
      <c r="BF406">
        <f t="shared" si="347"/>
        <v>-55.852944987090531</v>
      </c>
      <c r="BG406">
        <f t="shared" si="348"/>
        <v>-221.93124812448207</v>
      </c>
      <c r="BH406">
        <f t="shared" si="359"/>
        <v>-41.931248124482067</v>
      </c>
      <c r="BI406">
        <f t="shared" si="360"/>
        <v>-41.931248124482067</v>
      </c>
      <c r="BJ406">
        <f t="shared" si="349"/>
        <v>0</v>
      </c>
      <c r="BK406">
        <f t="shared" si="361"/>
        <v>0</v>
      </c>
      <c r="BM406">
        <f t="shared" si="362"/>
        <v>-67.658256742685538</v>
      </c>
      <c r="BN406">
        <f t="shared" si="350"/>
        <v>-140.74036236446335</v>
      </c>
      <c r="BQ406" s="56">
        <f t="shared" si="363"/>
        <v>28.707272555880145</v>
      </c>
      <c r="BR406" s="59"/>
      <c r="BS406" s="59"/>
      <c r="BT406" s="59">
        <v>912010.83900000004</v>
      </c>
      <c r="BU406" s="59">
        <v>6.4708399999999999</v>
      </c>
      <c r="BV406" s="59">
        <v>100.33499999999999</v>
      </c>
      <c r="BY406" s="59"/>
      <c r="BZ406" s="59"/>
      <c r="CA406" s="59"/>
      <c r="CC406" s="59"/>
    </row>
    <row r="407" spans="1:81" x14ac:dyDescent="0.25">
      <c r="A407">
        <f t="shared" si="319"/>
        <v>965000</v>
      </c>
      <c r="B407">
        <f t="shared" si="351"/>
        <v>965</v>
      </c>
      <c r="C407">
        <f t="shared" si="320"/>
        <v>1.2922890343868454</v>
      </c>
      <c r="D407">
        <f t="shared" si="321"/>
        <v>0.68594520431586248</v>
      </c>
      <c r="F407">
        <f t="shared" si="322"/>
        <v>2.1184895314042721E-5</v>
      </c>
      <c r="G407">
        <f t="shared" si="323"/>
        <v>1.8002370537723491E-3</v>
      </c>
      <c r="H407">
        <f t="shared" si="324"/>
        <v>-3.1397924129462278</v>
      </c>
      <c r="J407">
        <f t="shared" si="325"/>
        <v>15</v>
      </c>
      <c r="M407">
        <f t="shared" si="326"/>
        <v>2.7664956111819686E-3</v>
      </c>
      <c r="N407">
        <f t="shared" si="327"/>
        <v>-1.5707963250000001</v>
      </c>
      <c r="O407">
        <f t="shared" si="328"/>
        <v>260.11636886574416</v>
      </c>
      <c r="P407">
        <f t="shared" si="329"/>
        <v>1.5669518841415768</v>
      </c>
      <c r="Q407">
        <f t="shared" si="330"/>
        <v>246.3770975961601</v>
      </c>
      <c r="R407">
        <f t="shared" si="331"/>
        <v>1.5667374968328365</v>
      </c>
      <c r="S407">
        <f t="shared" si="332"/>
        <v>0.15751314840832381</v>
      </c>
      <c r="T407">
        <f t="shared" si="333"/>
        <v>-1.4126244701336781</v>
      </c>
      <c r="U407">
        <f t="shared" si="334"/>
        <v>0.72773958722215726</v>
      </c>
      <c r="V407">
        <f t="shared" si="335"/>
        <v>-0.75577593108326646</v>
      </c>
      <c r="X407">
        <f t="shared" si="352"/>
        <v>-41.570638878117677</v>
      </c>
      <c r="Y407">
        <f t="shared" si="336"/>
        <v>-175.28810417134162</v>
      </c>
      <c r="Z407">
        <f t="shared" si="353"/>
        <v>4.7118958286583847</v>
      </c>
      <c r="AC407">
        <v>1</v>
      </c>
      <c r="AD407">
        <f t="shared" si="337"/>
        <v>260.11444664204998</v>
      </c>
      <c r="AE407">
        <f t="shared" si="338"/>
        <v>-1.8925741357174793E-2</v>
      </c>
      <c r="AF407">
        <f t="shared" si="339"/>
        <v>2.0081562873624E-2</v>
      </c>
      <c r="AG407">
        <f t="shared" si="315"/>
        <v>6835.0638522349864</v>
      </c>
      <c r="AH407">
        <f t="shared" si="316"/>
        <v>-6491.459427114255</v>
      </c>
      <c r="AJ407">
        <f t="shared" si="340"/>
        <v>18000</v>
      </c>
      <c r="AK407">
        <f t="shared" si="341"/>
        <v>112849.65223547402</v>
      </c>
      <c r="AL407">
        <v>1</v>
      </c>
      <c r="AM407">
        <f t="shared" si="342"/>
        <v>246.37506817839301</v>
      </c>
      <c r="AN407">
        <f t="shared" si="317"/>
        <v>458.32905139704582</v>
      </c>
      <c r="AO407">
        <f t="shared" si="318"/>
        <v>-71.199050611328673</v>
      </c>
      <c r="AQ407">
        <f t="shared" si="343"/>
        <v>2.6846351084230157E-3</v>
      </c>
      <c r="AR407">
        <f t="shared" si="344"/>
        <v>-5.1813457592564207</v>
      </c>
      <c r="AT407">
        <f t="shared" si="365"/>
        <v>-33616.146121677535</v>
      </c>
      <c r="AU407">
        <f t="shared" si="366"/>
        <v>-35432.25630490754</v>
      </c>
      <c r="AV407">
        <f t="shared" si="354"/>
        <v>-2.3298985658628237</v>
      </c>
      <c r="AW407">
        <f t="shared" si="355"/>
        <v>7723.1641668051843</v>
      </c>
      <c r="AX407">
        <f t="shared" si="356"/>
        <v>-9971.3650985384556</v>
      </c>
      <c r="AY407">
        <f t="shared" si="364"/>
        <v>-0.911777280433126</v>
      </c>
      <c r="BA407">
        <f t="shared" si="345"/>
        <v>3.8724633169518583</v>
      </c>
      <c r="BB407">
        <f t="shared" si="357"/>
        <v>11.759746249369385</v>
      </c>
      <c r="BC407">
        <f t="shared" si="358"/>
        <v>-1.4181212854296978</v>
      </c>
      <c r="BD407">
        <f t="shared" si="346"/>
        <v>-261.25236458563319</v>
      </c>
      <c r="BF407">
        <f t="shared" si="347"/>
        <v>-55.970708940913703</v>
      </c>
      <c r="BG407">
        <f t="shared" si="348"/>
        <v>-221.84745337076441</v>
      </c>
      <c r="BH407">
        <f t="shared" si="359"/>
        <v>-41.847453370764413</v>
      </c>
      <c r="BI407">
        <f t="shared" si="360"/>
        <v>-41.847453370764413</v>
      </c>
      <c r="BJ407">
        <f t="shared" si="349"/>
        <v>0</v>
      </c>
      <c r="BK407">
        <f t="shared" si="361"/>
        <v>0</v>
      </c>
      <c r="BM407">
        <f t="shared" si="362"/>
        <v>-67.730455190283081</v>
      </c>
      <c r="BN407">
        <f t="shared" si="350"/>
        <v>-140.59508878513122</v>
      </c>
      <c r="BQ407" s="56">
        <f t="shared" si="363"/>
        <v>28.66170704965452</v>
      </c>
      <c r="BR407" s="59"/>
      <c r="BS407" s="59"/>
      <c r="BT407" s="59">
        <v>933254.30099999998</v>
      </c>
      <c r="BU407" s="59">
        <v>6.2453099999999999</v>
      </c>
      <c r="BV407" s="59">
        <v>100.20399999999999</v>
      </c>
      <c r="BY407" s="59"/>
      <c r="BZ407" s="59"/>
      <c r="CA407" s="59"/>
      <c r="CC407" s="59"/>
    </row>
    <row r="408" spans="1:81" x14ac:dyDescent="0.25">
      <c r="A408">
        <f t="shared" si="319"/>
        <v>970000</v>
      </c>
      <c r="B408">
        <f t="shared" si="351"/>
        <v>970</v>
      </c>
      <c r="C408">
        <f t="shared" si="320"/>
        <v>1.2949795575169125</v>
      </c>
      <c r="D408">
        <f t="shared" si="321"/>
        <v>0.68847952479901853</v>
      </c>
      <c r="F408">
        <f t="shared" si="322"/>
        <v>2.0967052895026322E-5</v>
      </c>
      <c r="G408">
        <f t="shared" si="323"/>
        <v>1.7909571019060415E-3</v>
      </c>
      <c r="H408">
        <f t="shared" si="324"/>
        <v>-3.1398016928980943</v>
      </c>
      <c r="J408">
        <f t="shared" si="325"/>
        <v>15</v>
      </c>
      <c r="M408">
        <f t="shared" si="326"/>
        <v>2.7522353245263914E-3</v>
      </c>
      <c r="N408">
        <f t="shared" si="327"/>
        <v>-1.5707963250000001</v>
      </c>
      <c r="O408">
        <f t="shared" si="328"/>
        <v>261.46410220429726</v>
      </c>
      <c r="P408">
        <f t="shared" si="329"/>
        <v>1.566971700662535</v>
      </c>
      <c r="Q408">
        <f t="shared" si="330"/>
        <v>247.65364189273029</v>
      </c>
      <c r="R408">
        <f t="shared" si="331"/>
        <v>1.5667584184087604</v>
      </c>
      <c r="S408">
        <f t="shared" si="332"/>
        <v>0.15672121744118991</v>
      </c>
      <c r="T408">
        <f t="shared" si="333"/>
        <v>-1.4134263606302291</v>
      </c>
      <c r="U408">
        <f t="shared" si="334"/>
        <v>0.72596777852331651</v>
      </c>
      <c r="V408">
        <f t="shared" si="335"/>
        <v>-0.7583557659589073</v>
      </c>
      <c r="X408">
        <f t="shared" si="352"/>
        <v>-41.662418822302726</v>
      </c>
      <c r="Y408">
        <f t="shared" si="336"/>
        <v>-175.33485447613492</v>
      </c>
      <c r="Z408">
        <f t="shared" si="353"/>
        <v>4.6651455238650783</v>
      </c>
      <c r="AC408">
        <v>1</v>
      </c>
      <c r="AD408">
        <f t="shared" si="337"/>
        <v>261.46218988890001</v>
      </c>
      <c r="AE408">
        <f t="shared" si="338"/>
        <v>-1.9122371116503275E-2</v>
      </c>
      <c r="AF408">
        <f t="shared" si="339"/>
        <v>2.0185612422191999E-2</v>
      </c>
      <c r="AG408">
        <f t="shared" si="315"/>
        <v>6801.8220626351031</v>
      </c>
      <c r="AH408">
        <f t="shared" si="316"/>
        <v>-6493.0883942878854</v>
      </c>
      <c r="AJ408">
        <f t="shared" si="340"/>
        <v>18000</v>
      </c>
      <c r="AK408">
        <f t="shared" si="341"/>
        <v>113434.36545949201</v>
      </c>
      <c r="AL408">
        <v>1</v>
      </c>
      <c r="AM408">
        <f t="shared" si="342"/>
        <v>247.65162293579402</v>
      </c>
      <c r="AN408">
        <f t="shared" si="317"/>
        <v>458.32607988243973</v>
      </c>
      <c r="AO408">
        <f t="shared" si="318"/>
        <v>-70.832057194575313</v>
      </c>
      <c r="AQ408">
        <f t="shared" si="343"/>
        <v>2.6570297967292494E-3</v>
      </c>
      <c r="AR408">
        <f t="shared" si="344"/>
        <v>-5.1546378056547439</v>
      </c>
      <c r="AT408">
        <f t="shared" si="365"/>
        <v>-33451.446268761923</v>
      </c>
      <c r="AU408">
        <f t="shared" si="366"/>
        <v>-35078.181480731851</v>
      </c>
      <c r="AV408">
        <f t="shared" si="354"/>
        <v>-2.3324612550142931</v>
      </c>
      <c r="AW408">
        <f t="shared" si="355"/>
        <v>7689.8213998190595</v>
      </c>
      <c r="AX408">
        <f t="shared" si="356"/>
        <v>-9959.132817884918</v>
      </c>
      <c r="AY408">
        <f t="shared" si="364"/>
        <v>-0.91327700921781807</v>
      </c>
      <c r="BA408">
        <f t="shared" si="345"/>
        <v>3.8523078894149694</v>
      </c>
      <c r="BB408">
        <f t="shared" si="357"/>
        <v>11.714419802333179</v>
      </c>
      <c r="BC408">
        <f t="shared" si="358"/>
        <v>-1.4191842457964752</v>
      </c>
      <c r="BD408">
        <f t="shared" si="346"/>
        <v>-261.31326772850883</v>
      </c>
      <c r="BF408">
        <f t="shared" si="347"/>
        <v>-56.087748945760183</v>
      </c>
      <c r="BG408">
        <f t="shared" si="348"/>
        <v>-221.76368234793236</v>
      </c>
      <c r="BH408">
        <f t="shared" si="359"/>
        <v>-41.76368234793236</v>
      </c>
      <c r="BI408">
        <f t="shared" si="360"/>
        <v>-41.76368234793236</v>
      </c>
      <c r="BJ408">
        <f t="shared" si="349"/>
        <v>0</v>
      </c>
      <c r="BK408">
        <f t="shared" si="361"/>
        <v>0</v>
      </c>
      <c r="BM408">
        <f t="shared" si="362"/>
        <v>-67.802168748093365</v>
      </c>
      <c r="BN408">
        <f t="shared" si="350"/>
        <v>-140.45041461942355</v>
      </c>
      <c r="BQ408" s="56">
        <f t="shared" si="363"/>
        <v>28.616380602618314</v>
      </c>
      <c r="BR408" s="59"/>
      <c r="BS408" s="59"/>
      <c r="BT408" s="59">
        <v>954992.58600000001</v>
      </c>
      <c r="BU408" s="59">
        <v>6.1328699999999996</v>
      </c>
      <c r="BV408" s="59">
        <v>99.956599999999995</v>
      </c>
      <c r="BY408" s="59"/>
      <c r="BZ408" s="59"/>
      <c r="CA408" s="59"/>
      <c r="CC408" s="59"/>
    </row>
    <row r="409" spans="1:81" x14ac:dyDescent="0.25">
      <c r="A409">
        <f t="shared" si="319"/>
        <v>975000</v>
      </c>
      <c r="B409">
        <f t="shared" si="351"/>
        <v>975</v>
      </c>
      <c r="C409">
        <f t="shared" si="320"/>
        <v>1.2976783634956972</v>
      </c>
      <c r="D409">
        <f t="shared" si="321"/>
        <v>0.69100332008841714</v>
      </c>
      <c r="F409">
        <f t="shared" si="322"/>
        <v>2.075255338487374E-5</v>
      </c>
      <c r="G409">
        <f t="shared" si="323"/>
        <v>1.7817723348258394E-3</v>
      </c>
      <c r="H409">
        <f t="shared" si="324"/>
        <v>-3.1398108776651745</v>
      </c>
      <c r="J409">
        <f t="shared" si="325"/>
        <v>15</v>
      </c>
      <c r="M409">
        <f t="shared" si="326"/>
        <v>2.738121297221128E-3</v>
      </c>
      <c r="N409">
        <f t="shared" si="327"/>
        <v>-1.5707963250000001</v>
      </c>
      <c r="O409">
        <f t="shared" si="328"/>
        <v>262.81183564447286</v>
      </c>
      <c r="P409">
        <f t="shared" si="329"/>
        <v>1.5669913139400824</v>
      </c>
      <c r="Q409">
        <f t="shared" si="330"/>
        <v>248.93018629658971</v>
      </c>
      <c r="R409">
        <f t="shared" si="331"/>
        <v>1.5667791254078991</v>
      </c>
      <c r="S409">
        <f t="shared" si="332"/>
        <v>0.15593711106939023</v>
      </c>
      <c r="T409">
        <f t="shared" si="333"/>
        <v>-1.414220227608465</v>
      </c>
      <c r="U409">
        <f t="shared" si="334"/>
        <v>0.72419979155820935</v>
      </c>
      <c r="V409">
        <f t="shared" si="335"/>
        <v>-0.7609230522408218</v>
      </c>
      <c r="X409">
        <f t="shared" si="352"/>
        <v>-41.753741820544981</v>
      </c>
      <c r="Y409">
        <f t="shared" si="336"/>
        <v>-175.38104762056</v>
      </c>
      <c r="Z409">
        <f t="shared" si="353"/>
        <v>4.6189523794400031</v>
      </c>
      <c r="AC409">
        <v>1</v>
      </c>
      <c r="AD409">
        <f t="shared" si="337"/>
        <v>262.80993313575004</v>
      </c>
      <c r="AE409">
        <f t="shared" si="338"/>
        <v>-1.9320017050298573E-2</v>
      </c>
      <c r="AF409">
        <f t="shared" si="339"/>
        <v>2.0289661970760001E-2</v>
      </c>
      <c r="AG409">
        <f t="shared" si="315"/>
        <v>6768.7327440747131</v>
      </c>
      <c r="AH409">
        <f t="shared" si="316"/>
        <v>-6494.5405307559113</v>
      </c>
      <c r="AJ409">
        <f t="shared" si="340"/>
        <v>18000</v>
      </c>
      <c r="AK409">
        <f t="shared" si="341"/>
        <v>114019.07868351002</v>
      </c>
      <c r="AL409">
        <v>1</v>
      </c>
      <c r="AM409">
        <f t="shared" si="342"/>
        <v>248.92817769319501</v>
      </c>
      <c r="AN409">
        <f t="shared" si="317"/>
        <v>458.32315396513906</v>
      </c>
      <c r="AO409">
        <f t="shared" si="318"/>
        <v>-70.468827629691049</v>
      </c>
      <c r="AQ409">
        <f t="shared" si="343"/>
        <v>2.6298480920846569E-3</v>
      </c>
      <c r="AR409">
        <f t="shared" si="344"/>
        <v>-5.128203779565081</v>
      </c>
      <c r="AT409">
        <f t="shared" si="365"/>
        <v>-33287.526557468234</v>
      </c>
      <c r="AU409">
        <f t="shared" si="366"/>
        <v>-34728.520496053636</v>
      </c>
      <c r="AV409">
        <f t="shared" si="354"/>
        <v>-2.3350115714226667</v>
      </c>
      <c r="AW409">
        <f t="shared" si="355"/>
        <v>7656.5909333410746</v>
      </c>
      <c r="AX409">
        <f t="shared" si="356"/>
        <v>-9946.8474563100808</v>
      </c>
      <c r="AY409">
        <f t="shared" si="364"/>
        <v>-0.91477425201897655</v>
      </c>
      <c r="BA409">
        <f t="shared" si="345"/>
        <v>3.8323617348957399</v>
      </c>
      <c r="BB409">
        <f t="shared" si="357"/>
        <v>11.669329904031098</v>
      </c>
      <c r="BC409">
        <f t="shared" si="358"/>
        <v>-1.4202373194036901</v>
      </c>
      <c r="BD409">
        <f t="shared" si="346"/>
        <v>-261.37360440178782</v>
      </c>
      <c r="BF409">
        <f t="shared" si="347"/>
        <v>-56.20407284820827</v>
      </c>
      <c r="BG409">
        <f t="shared" si="348"/>
        <v>-221.67994245099871</v>
      </c>
      <c r="BH409">
        <f t="shared" si="359"/>
        <v>-41.679942450998709</v>
      </c>
      <c r="BI409">
        <f t="shared" si="360"/>
        <v>-41.679942450998709</v>
      </c>
      <c r="BJ409">
        <f t="shared" si="349"/>
        <v>0</v>
      </c>
      <c r="BK409">
        <f t="shared" si="361"/>
        <v>0</v>
      </c>
      <c r="BM409">
        <f t="shared" si="362"/>
        <v>-67.873402752239372</v>
      </c>
      <c r="BN409">
        <f t="shared" si="350"/>
        <v>-140.30633804921092</v>
      </c>
      <c r="BQ409" s="56">
        <f t="shared" si="363"/>
        <v>28.571290704316237</v>
      </c>
      <c r="BR409" s="59"/>
      <c r="BS409" s="59"/>
      <c r="BT409" s="59">
        <v>977237.22100000002</v>
      </c>
      <c r="BU409" s="59">
        <v>5.7547600000000001</v>
      </c>
      <c r="BV409" s="59">
        <v>98.699600000000004</v>
      </c>
      <c r="BY409" s="59"/>
      <c r="BZ409" s="59"/>
      <c r="CA409" s="59"/>
      <c r="CC409" s="59"/>
    </row>
    <row r="410" spans="1:81" x14ac:dyDescent="0.25">
      <c r="A410">
        <f t="shared" si="319"/>
        <v>980000</v>
      </c>
      <c r="B410">
        <f t="shared" si="351"/>
        <v>980</v>
      </c>
      <c r="C410">
        <f t="shared" si="320"/>
        <v>1.3003854007527933</v>
      </c>
      <c r="D410">
        <f t="shared" si="321"/>
        <v>0.69351662366476441</v>
      </c>
      <c r="F410">
        <f t="shared" si="322"/>
        <v>2.0541328733073791E-5</v>
      </c>
      <c r="G410">
        <f t="shared" si="323"/>
        <v>1.7726812955044344E-3</v>
      </c>
      <c r="H410">
        <f t="shared" si="324"/>
        <v>-3.1398199687044959</v>
      </c>
      <c r="J410">
        <f t="shared" si="325"/>
        <v>15</v>
      </c>
      <c r="M410">
        <f t="shared" si="326"/>
        <v>2.7241512906026528E-3</v>
      </c>
      <c r="N410">
        <f t="shared" si="327"/>
        <v>-1.5707963250000001</v>
      </c>
      <c r="O410">
        <f t="shared" si="328"/>
        <v>264.15956918471539</v>
      </c>
      <c r="P410">
        <f t="shared" si="329"/>
        <v>1.5670107270850273</v>
      </c>
      <c r="Q410">
        <f t="shared" si="330"/>
        <v>250.20673080609629</v>
      </c>
      <c r="R410">
        <f t="shared" si="331"/>
        <v>1.5667996211145208</v>
      </c>
      <c r="S410">
        <f t="shared" si="332"/>
        <v>0.15516071537686013</v>
      </c>
      <c r="T410">
        <f t="shared" si="333"/>
        <v>-1.4150061899051589</v>
      </c>
      <c r="U410">
        <f t="shared" si="334"/>
        <v>0.72243566813470206</v>
      </c>
      <c r="V410">
        <f t="shared" si="335"/>
        <v>-0.76347784766764304</v>
      </c>
      <c r="X410">
        <f t="shared" si="352"/>
        <v>-41.844612210869499</v>
      </c>
      <c r="Y410">
        <f t="shared" si="336"/>
        <v>-175.42669152040995</v>
      </c>
      <c r="Z410">
        <f t="shared" si="353"/>
        <v>4.5733084795900538</v>
      </c>
      <c r="AC410">
        <v>1</v>
      </c>
      <c r="AD410">
        <f t="shared" si="337"/>
        <v>264.15767638260002</v>
      </c>
      <c r="AE410">
        <f t="shared" si="338"/>
        <v>-1.9518679158560683E-2</v>
      </c>
      <c r="AF410">
        <f t="shared" si="339"/>
        <v>2.0393711519327999E-2</v>
      </c>
      <c r="AG410">
        <f t="shared" si="315"/>
        <v>6735.7961529480754</v>
      </c>
      <c r="AH410">
        <f t="shared" si="316"/>
        <v>-6495.8182752222247</v>
      </c>
      <c r="AJ410">
        <f t="shared" si="340"/>
        <v>18000</v>
      </c>
      <c r="AK410">
        <f t="shared" si="341"/>
        <v>114603.79190752799</v>
      </c>
      <c r="AL410">
        <v>1</v>
      </c>
      <c r="AM410">
        <f t="shared" si="342"/>
        <v>250.20473245059603</v>
      </c>
      <c r="AN410">
        <f t="shared" si="317"/>
        <v>458.32027271698882</v>
      </c>
      <c r="AO410">
        <f t="shared" si="318"/>
        <v>-70.109304310407822</v>
      </c>
      <c r="AQ410">
        <f t="shared" si="343"/>
        <v>2.6030813715427498E-3</v>
      </c>
      <c r="AR410">
        <f t="shared" si="344"/>
        <v>-5.1020394882237898</v>
      </c>
      <c r="AT410">
        <f t="shared" si="365"/>
        <v>-33124.387523021287</v>
      </c>
      <c r="AU410">
        <f t="shared" si="366"/>
        <v>-34383.207100512125</v>
      </c>
      <c r="AV410">
        <f t="shared" si="354"/>
        <v>-2.3375495701350464</v>
      </c>
      <c r="AW410">
        <f t="shared" si="355"/>
        <v>7623.4742334348066</v>
      </c>
      <c r="AX410">
        <f t="shared" si="356"/>
        <v>-9934.5095218027109</v>
      </c>
      <c r="AY410">
        <f t="shared" si="364"/>
        <v>-0.91626890652234994</v>
      </c>
      <c r="BA410">
        <f t="shared" si="345"/>
        <v>3.8126216015399805</v>
      </c>
      <c r="BB410">
        <f t="shared" si="357"/>
        <v>11.624474083349215</v>
      </c>
      <c r="BC410">
        <f t="shared" si="358"/>
        <v>-1.4212806636126964</v>
      </c>
      <c r="BD410">
        <f t="shared" si="346"/>
        <v>-261.4333836216116</v>
      </c>
      <c r="BF410">
        <f t="shared" si="347"/>
        <v>-56.319688376338071</v>
      </c>
      <c r="BG410">
        <f t="shared" si="348"/>
        <v>-221.59624086128321</v>
      </c>
      <c r="BH410">
        <f t="shared" si="359"/>
        <v>-41.596240861283206</v>
      </c>
      <c r="BI410">
        <f t="shared" si="360"/>
        <v>-41.596240861283206</v>
      </c>
      <c r="BJ410">
        <f t="shared" si="349"/>
        <v>0</v>
      </c>
      <c r="BK410">
        <f t="shared" si="361"/>
        <v>0</v>
      </c>
      <c r="BM410">
        <f t="shared" si="362"/>
        <v>-67.944162459687291</v>
      </c>
      <c r="BN410">
        <f t="shared" si="350"/>
        <v>-140.16285723967161</v>
      </c>
      <c r="BQ410" s="56">
        <f t="shared" si="363"/>
        <v>28.526434883634352</v>
      </c>
    </row>
    <row r="411" spans="1:81" x14ac:dyDescent="0.25">
      <c r="A411">
        <f t="shared" si="319"/>
        <v>985000</v>
      </c>
      <c r="B411">
        <f t="shared" si="351"/>
        <v>985</v>
      </c>
      <c r="C411">
        <f t="shared" si="320"/>
        <v>1.3031006179896836</v>
      </c>
      <c r="D411">
        <f t="shared" si="321"/>
        <v>0.69601946926116853</v>
      </c>
      <c r="F411">
        <f t="shared" si="322"/>
        <v>2.0333312611957523E-5</v>
      </c>
      <c r="G411">
        <f t="shared" si="323"/>
        <v>1.7636825565017855E-3</v>
      </c>
      <c r="H411">
        <f t="shared" si="324"/>
        <v>-3.1398289674434983</v>
      </c>
      <c r="J411">
        <f t="shared" si="325"/>
        <v>15</v>
      </c>
      <c r="M411">
        <f t="shared" si="326"/>
        <v>2.7103231114625377E-3</v>
      </c>
      <c r="N411">
        <f t="shared" si="327"/>
        <v>-1.5707963250000001</v>
      </c>
      <c r="O411">
        <f t="shared" si="328"/>
        <v>265.50730282350116</v>
      </c>
      <c r="P411">
        <f t="shared" si="329"/>
        <v>1.5670299431450165</v>
      </c>
      <c r="Q411">
        <f t="shared" si="330"/>
        <v>251.4832754196411</v>
      </c>
      <c r="R411">
        <f t="shared" si="331"/>
        <v>1.5668199087462096</v>
      </c>
      <c r="S411">
        <f t="shared" si="332"/>
        <v>0.15439191861856899</v>
      </c>
      <c r="T411">
        <f t="shared" si="333"/>
        <v>-1.4157843640413212</v>
      </c>
      <c r="U411">
        <f t="shared" si="334"/>
        <v>0.72067544892189428</v>
      </c>
      <c r="V411">
        <f t="shared" si="335"/>
        <v>-0.76602021006976351</v>
      </c>
      <c r="X411">
        <f t="shared" si="352"/>
        <v>-41.935034270012636</v>
      </c>
      <c r="Y411">
        <f t="shared" si="336"/>
        <v>-175.4717939553347</v>
      </c>
      <c r="Z411">
        <f t="shared" si="353"/>
        <v>4.5282060446652963</v>
      </c>
      <c r="AC411">
        <v>1</v>
      </c>
      <c r="AD411">
        <f t="shared" si="337"/>
        <v>265.50541962945005</v>
      </c>
      <c r="AE411">
        <f t="shared" si="338"/>
        <v>-1.9718357441289608E-2</v>
      </c>
      <c r="AF411">
        <f t="shared" si="339"/>
        <v>2.0497761067895998E-2</v>
      </c>
      <c r="AG411">
        <f t="shared" si="315"/>
        <v>6703.0125179987072</v>
      </c>
      <c r="AH411">
        <f t="shared" si="316"/>
        <v>-6496.9240456175712</v>
      </c>
      <c r="AJ411">
        <f t="shared" si="340"/>
        <v>18000</v>
      </c>
      <c r="AK411">
        <f t="shared" si="341"/>
        <v>115188.505131546</v>
      </c>
      <c r="AL411">
        <v>1</v>
      </c>
      <c r="AM411">
        <f t="shared" si="342"/>
        <v>251.48128720799701</v>
      </c>
      <c r="AN411">
        <f t="shared" si="317"/>
        <v>458.31743523333154</v>
      </c>
      <c r="AO411">
        <f t="shared" si="318"/>
        <v>-69.753430800034678</v>
      </c>
      <c r="AQ411">
        <f t="shared" si="343"/>
        <v>2.5767212304565359E-3</v>
      </c>
      <c r="AR411">
        <f t="shared" si="344"/>
        <v>-5.0761408239993751</v>
      </c>
      <c r="AT411">
        <f t="shared" si="365"/>
        <v>-32962.029583719384</v>
      </c>
      <c r="AU411">
        <f t="shared" si="366"/>
        <v>-34042.176248513089</v>
      </c>
      <c r="AV411">
        <f t="shared" si="354"/>
        <v>-2.3400753063449415</v>
      </c>
      <c r="AW411">
        <f t="shared" si="355"/>
        <v>7590.4727054215082</v>
      </c>
      <c r="AX411">
        <f t="shared" si="356"/>
        <v>-9922.1195442683984</v>
      </c>
      <c r="AY411">
        <f t="shared" si="364"/>
        <v>-0.91776087390645977</v>
      </c>
      <c r="BA411">
        <f t="shared" si="345"/>
        <v>3.793084304618231</v>
      </c>
      <c r="BB411">
        <f t="shared" si="357"/>
        <v>11.579849907699973</v>
      </c>
      <c r="BC411">
        <f t="shared" si="358"/>
        <v>-1.4223144324384818</v>
      </c>
      <c r="BD411">
        <f t="shared" si="346"/>
        <v>-261.49261421238896</v>
      </c>
      <c r="BF411">
        <f t="shared" si="347"/>
        <v>-56.434603142068731</v>
      </c>
      <c r="BG411">
        <f t="shared" si="348"/>
        <v>-221.5125845522162</v>
      </c>
      <c r="BH411">
        <f t="shared" si="359"/>
        <v>-41.512584552216197</v>
      </c>
      <c r="BI411">
        <f t="shared" si="360"/>
        <v>-41.512584552216197</v>
      </c>
      <c r="BJ411">
        <f t="shared" si="349"/>
        <v>0</v>
      </c>
      <c r="BK411">
        <f t="shared" si="361"/>
        <v>0</v>
      </c>
      <c r="BM411">
        <f t="shared" si="362"/>
        <v>-68.014453049768704</v>
      </c>
      <c r="BN411">
        <f t="shared" si="350"/>
        <v>-140.01997033982727</v>
      </c>
      <c r="BQ411" s="56">
        <f t="shared" si="363"/>
        <v>28.481810707985108</v>
      </c>
    </row>
    <row r="412" spans="1:81" x14ac:dyDescent="0.25">
      <c r="A412">
        <f t="shared" si="319"/>
        <v>990000</v>
      </c>
      <c r="B412">
        <f t="shared" si="351"/>
        <v>990</v>
      </c>
      <c r="C412">
        <f t="shared" si="320"/>
        <v>1.3058239641801446</v>
      </c>
      <c r="D412">
        <f t="shared" si="321"/>
        <v>0.69851189085468735</v>
      </c>
      <c r="F412">
        <f t="shared" si="322"/>
        <v>2.0128440364620868E-5</v>
      </c>
      <c r="G412">
        <f t="shared" si="323"/>
        <v>1.7547747192178732E-3</v>
      </c>
      <c r="H412">
        <f t="shared" si="324"/>
        <v>-3.1398378752807825</v>
      </c>
      <c r="J412">
        <f t="shared" si="325"/>
        <v>15</v>
      </c>
      <c r="M412">
        <f t="shared" si="326"/>
        <v>2.6966346108995959E-3</v>
      </c>
      <c r="N412">
        <f t="shared" si="327"/>
        <v>-1.5707963250000001</v>
      </c>
      <c r="O412">
        <f t="shared" si="328"/>
        <v>266.85503655933701</v>
      </c>
      <c r="P412">
        <f t="shared" si="329"/>
        <v>1.5670489651061292</v>
      </c>
      <c r="Q412">
        <f t="shared" si="330"/>
        <v>252.75982013564797</v>
      </c>
      <c r="R412">
        <f t="shared" si="331"/>
        <v>1.5668399914555495</v>
      </c>
      <c r="S412">
        <f t="shared" si="332"/>
        <v>0.15363061116978674</v>
      </c>
      <c r="T412">
        <f t="shared" si="333"/>
        <v>-1.4165548642778532</v>
      </c>
      <c r="U412">
        <f t="shared" si="334"/>
        <v>0.718919173466813</v>
      </c>
      <c r="V412">
        <f t="shared" si="335"/>
        <v>-0.768550197358989</v>
      </c>
      <c r="X412">
        <f t="shared" si="352"/>
        <v>-42.025012214593758</v>
      </c>
      <c r="Y412">
        <f t="shared" si="336"/>
        <v>-175.516362571776</v>
      </c>
      <c r="Z412">
        <f t="shared" si="353"/>
        <v>4.4836374282240001</v>
      </c>
      <c r="AC412">
        <v>1</v>
      </c>
      <c r="AD412">
        <f t="shared" si="337"/>
        <v>266.85316287630002</v>
      </c>
      <c r="AE412">
        <f t="shared" si="338"/>
        <v>-1.9919051898485345E-2</v>
      </c>
      <c r="AF412">
        <f t="shared" si="339"/>
        <v>2.0601810616464E-2</v>
      </c>
      <c r="AG412">
        <f t="shared" si="315"/>
        <v>6670.3820409292075</v>
      </c>
      <c r="AH412">
        <f t="shared" si="316"/>
        <v>-6497.8602389933976</v>
      </c>
      <c r="AJ412">
        <f t="shared" si="340"/>
        <v>18000</v>
      </c>
      <c r="AK412">
        <f t="shared" si="341"/>
        <v>115773.21835556401</v>
      </c>
      <c r="AL412">
        <v>1</v>
      </c>
      <c r="AM412">
        <f t="shared" si="342"/>
        <v>252.75784196539803</v>
      </c>
      <c r="AN412">
        <f t="shared" si="317"/>
        <v>458.31464063229549</v>
      </c>
      <c r="AO412">
        <f t="shared" si="318"/>
        <v>-69.401151801925579</v>
      </c>
      <c r="AQ412">
        <f t="shared" si="343"/>
        <v>2.5507594758801457E-3</v>
      </c>
      <c r="AR412">
        <f t="shared" si="344"/>
        <v>-5.0505037622426894</v>
      </c>
      <c r="AT412">
        <f t="shared" si="365"/>
        <v>-32800.453043364701</v>
      </c>
      <c r="AU412">
        <f t="shared" si="366"/>
        <v>-33705.364071886594</v>
      </c>
      <c r="AV412">
        <f t="shared" si="354"/>
        <v>-2.3425888353805444</v>
      </c>
      <c r="AW412">
        <f t="shared" si="355"/>
        <v>7557.5876954637624</v>
      </c>
      <c r="AX412">
        <f t="shared" si="356"/>
        <v>-9909.6780742677183</v>
      </c>
      <c r="AY412">
        <f t="shared" si="364"/>
        <v>-0.91925005874187116</v>
      </c>
      <c r="BA412">
        <f t="shared" si="345"/>
        <v>3.7737467248023</v>
      </c>
      <c r="BB412">
        <f t="shared" si="357"/>
        <v>11.535454982228089</v>
      </c>
      <c r="BC412">
        <f t="shared" si="358"/>
        <v>-1.4233387766386731</v>
      </c>
      <c r="BD412">
        <f t="shared" si="346"/>
        <v>-261.5513048118957</v>
      </c>
      <c r="BF412">
        <f t="shared" si="347"/>
        <v>-56.548824643437278</v>
      </c>
      <c r="BG412">
        <f t="shared" si="348"/>
        <v>-221.42898029496544</v>
      </c>
      <c r="BH412">
        <f t="shared" si="359"/>
        <v>-41.428980294965442</v>
      </c>
      <c r="BI412">
        <f t="shared" si="360"/>
        <v>-41.428980294965442</v>
      </c>
      <c r="BJ412">
        <f t="shared" si="349"/>
        <v>0</v>
      </c>
      <c r="BK412">
        <f t="shared" si="361"/>
        <v>0</v>
      </c>
      <c r="BM412">
        <f t="shared" si="362"/>
        <v>-68.084279625665374</v>
      </c>
      <c r="BN412">
        <f t="shared" si="350"/>
        <v>-139.87767548306974</v>
      </c>
      <c r="BQ412" s="56">
        <f t="shared" si="363"/>
        <v>28.437415782513224</v>
      </c>
    </row>
    <row r="413" spans="1:81" x14ac:dyDescent="0.25">
      <c r="A413">
        <f t="shared" si="319"/>
        <v>995000</v>
      </c>
      <c r="B413">
        <f t="shared" si="351"/>
        <v>995</v>
      </c>
      <c r="C413">
        <f t="shared" si="320"/>
        <v>1.3085553885706018</v>
      </c>
      <c r="D413">
        <f t="shared" si="321"/>
        <v>0.70099392265799976</v>
      </c>
      <c r="F413">
        <f t="shared" si="322"/>
        <v>1.9926648954674519E-5</v>
      </c>
      <c r="G413">
        <f t="shared" si="323"/>
        <v>1.7459564131679954E-3</v>
      </c>
      <c r="H413">
        <f t="shared" si="324"/>
        <v>-3.1398466935868323</v>
      </c>
      <c r="J413">
        <f t="shared" si="325"/>
        <v>15</v>
      </c>
      <c r="M413">
        <f t="shared" si="326"/>
        <v>2.6830836832066329E-3</v>
      </c>
      <c r="N413">
        <f t="shared" si="327"/>
        <v>-1.5707963250000001</v>
      </c>
      <c r="O413">
        <f t="shared" si="328"/>
        <v>268.20277039076001</v>
      </c>
      <c r="P413">
        <f t="shared" si="329"/>
        <v>1.5670677958944244</v>
      </c>
      <c r="Q413">
        <f t="shared" si="330"/>
        <v>254.03636495257214</v>
      </c>
      <c r="R413">
        <f t="shared" si="331"/>
        <v>1.5668598723317584</v>
      </c>
      <c r="S413">
        <f t="shared" si="332"/>
        <v>0.1528766854767441</v>
      </c>
      <c r="T413">
        <f t="shared" si="333"/>
        <v>-1.4173178026696185</v>
      </c>
      <c r="U413">
        <f t="shared" si="334"/>
        <v>0.71716688021100949</v>
      </c>
      <c r="V413">
        <f t="shared" si="335"/>
        <v>-0.77106786751842127</v>
      </c>
      <c r="X413">
        <f t="shared" si="352"/>
        <v>-42.114550202258918</v>
      </c>
      <c r="Y413">
        <f t="shared" si="336"/>
        <v>-175.56040488582249</v>
      </c>
      <c r="Z413">
        <f t="shared" si="353"/>
        <v>4.4395951141775072</v>
      </c>
      <c r="AC413">
        <v>1</v>
      </c>
      <c r="AD413">
        <f t="shared" si="337"/>
        <v>268.20090612314999</v>
      </c>
      <c r="AE413">
        <f t="shared" si="338"/>
        <v>-2.0120762530147898E-2</v>
      </c>
      <c r="AF413">
        <f t="shared" si="339"/>
        <v>2.0705860165031998E-2</v>
      </c>
      <c r="AG413">
        <f t="shared" si="315"/>
        <v>6637.904897003441</v>
      </c>
      <c r="AH413">
        <f t="shared" si="316"/>
        <v>-6498.6292314267712</v>
      </c>
      <c r="AJ413">
        <f t="shared" si="340"/>
        <v>18000</v>
      </c>
      <c r="AK413">
        <f t="shared" si="341"/>
        <v>116357.931579582</v>
      </c>
      <c r="AL413">
        <v>1</v>
      </c>
      <c r="AM413">
        <f t="shared" si="342"/>
        <v>254.03439672279902</v>
      </c>
      <c r="AN413">
        <f t="shared" si="317"/>
        <v>458.31188805411</v>
      </c>
      <c r="AO413">
        <f t="shared" si="318"/>
        <v>-69.052413130837891</v>
      </c>
      <c r="AQ413">
        <f t="shared" si="343"/>
        <v>2.5251881202019849E-3</v>
      </c>
      <c r="AR413">
        <f t="shared" si="344"/>
        <v>-5.0251243592019499</v>
      </c>
      <c r="AT413">
        <f t="shared" si="365"/>
        <v>-32639.658093675571</v>
      </c>
      <c r="AU413">
        <f t="shared" si="366"/>
        <v>-33372.707853330699</v>
      </c>
      <c r="AV413">
        <f t="shared" si="354"/>
        <v>-2.345090212693274</v>
      </c>
      <c r="AW413">
        <f t="shared" si="355"/>
        <v>7524.8204921089391</v>
      </c>
      <c r="AX413">
        <f t="shared" si="356"/>
        <v>-9897.1856818014276</v>
      </c>
      <c r="AY413">
        <f t="shared" si="364"/>
        <v>-0.92073636889357702</v>
      </c>
      <c r="BA413">
        <f t="shared" si="345"/>
        <v>3.7546058064945571</v>
      </c>
      <c r="BB413">
        <f t="shared" si="357"/>
        <v>11.491286949036603</v>
      </c>
      <c r="BC413">
        <f t="shared" si="358"/>
        <v>-1.424353843799697</v>
      </c>
      <c r="BD413">
        <f t="shared" si="346"/>
        <v>-261.60946387621118</v>
      </c>
      <c r="BF413">
        <f t="shared" si="347"/>
        <v>-56.662360266821366</v>
      </c>
      <c r="BG413">
        <f t="shared" si="348"/>
        <v>-221.34543466389101</v>
      </c>
      <c r="BH413">
        <f t="shared" si="359"/>
        <v>-41.345434663891012</v>
      </c>
      <c r="BI413">
        <f t="shared" si="360"/>
        <v>-41.345434663891012</v>
      </c>
      <c r="BJ413">
        <f t="shared" si="349"/>
        <v>0</v>
      </c>
      <c r="BK413">
        <f t="shared" si="361"/>
        <v>0</v>
      </c>
      <c r="BM413">
        <f t="shared" si="362"/>
        <v>-68.153647215857973</v>
      </c>
      <c r="BN413">
        <f t="shared" si="350"/>
        <v>-139.73597078767989</v>
      </c>
      <c r="BQ413" s="56">
        <f t="shared" si="363"/>
        <v>28.393247749321738</v>
      </c>
    </row>
    <row r="414" spans="1:81" x14ac:dyDescent="0.25">
      <c r="A414">
        <f t="shared" si="319"/>
        <v>1000000</v>
      </c>
      <c r="B414">
        <f t="shared" si="351"/>
        <v>1000</v>
      </c>
      <c r="C414">
        <f t="shared" si="320"/>
        <v>1.3112948406804361</v>
      </c>
      <c r="D414">
        <f t="shared" si="321"/>
        <v>0.70346559911119999</v>
      </c>
      <c r="F414">
        <f t="shared" si="322"/>
        <v>1.9727876917748373E-5</v>
      </c>
      <c r="G414">
        <f t="shared" si="323"/>
        <v>1.7372262952797975E-3</v>
      </c>
      <c r="H414">
        <f t="shared" si="324"/>
        <v>-3.1398554237047205</v>
      </c>
      <c r="J414">
        <f t="shared" si="325"/>
        <v>15</v>
      </c>
      <c r="M414">
        <f t="shared" si="326"/>
        <v>2.6696682647906001E-3</v>
      </c>
      <c r="N414">
        <f t="shared" si="327"/>
        <v>-1.5707963250000001</v>
      </c>
      <c r="O414">
        <f t="shared" si="328"/>
        <v>269.55050431633629</v>
      </c>
      <c r="P414">
        <f t="shared" si="329"/>
        <v>1.5670864383774414</v>
      </c>
      <c r="Q414">
        <f t="shared" si="330"/>
        <v>255.31290986889996</v>
      </c>
      <c r="R414">
        <f t="shared" si="331"/>
        <v>1.5668795544022704</v>
      </c>
      <c r="S414">
        <f t="shared" si="332"/>
        <v>0.15213003600864275</v>
      </c>
      <c r="T414">
        <f t="shared" si="333"/>
        <v>-1.418073289117983</v>
      </c>
      <c r="U414">
        <f t="shared" si="334"/>
        <v>0.71541860650705413</v>
      </c>
      <c r="V414">
        <f t="shared" si="335"/>
        <v>-0.7735732785925673</v>
      </c>
      <c r="X414">
        <f t="shared" si="352"/>
        <v>-42.203652332796935</v>
      </c>
      <c r="Y414">
        <f t="shared" si="336"/>
        <v>-175.60392828598722</v>
      </c>
      <c r="Z414">
        <f t="shared" si="353"/>
        <v>4.396071714012777</v>
      </c>
      <c r="AC414">
        <v>1</v>
      </c>
      <c r="AD414">
        <f t="shared" si="337"/>
        <v>269.54864937000002</v>
      </c>
      <c r="AE414">
        <f t="shared" si="338"/>
        <v>-2.0323489336277267E-2</v>
      </c>
      <c r="AF414">
        <f t="shared" si="339"/>
        <v>2.08099097136E-2</v>
      </c>
      <c r="AG414">
        <f t="shared" si="315"/>
        <v>6605.5812356410379</v>
      </c>
      <c r="AH414">
        <f t="shared" si="316"/>
        <v>-6499.2333779360069</v>
      </c>
      <c r="AJ414">
        <f t="shared" si="340"/>
        <v>18000</v>
      </c>
      <c r="AK414">
        <f t="shared" si="341"/>
        <v>116942.64480360001</v>
      </c>
      <c r="AL414">
        <v>1</v>
      </c>
      <c r="AM414">
        <f t="shared" si="342"/>
        <v>255.31095148020003</v>
      </c>
      <c r="AN414">
        <f t="shared" si="317"/>
        <v>458.30917666044445</v>
      </c>
      <c r="AO414">
        <f t="shared" si="318"/>
        <v>-68.70716168514987</v>
      </c>
      <c r="AQ414">
        <f t="shared" si="343"/>
        <v>2.4999993750001561E-3</v>
      </c>
      <c r="AR414">
        <f t="shared" si="344"/>
        <v>-4.9999987500003122</v>
      </c>
      <c r="AT414">
        <f t="shared" si="365"/>
        <v>-32479.644816679727</v>
      </c>
      <c r="AU414">
        <f t="shared" si="366"/>
        <v>-33044.146000613531</v>
      </c>
      <c r="AV414">
        <f t="shared" si="354"/>
        <v>-2.3475794938465859</v>
      </c>
      <c r="AW414">
        <f t="shared" si="355"/>
        <v>7492.1723277936708</v>
      </c>
      <c r="AX414">
        <f t="shared" si="356"/>
        <v>-9884.6429551409819</v>
      </c>
      <c r="AY414">
        <f t="shared" si="364"/>
        <v>-0.92221971542637715</v>
      </c>
      <c r="BA414">
        <f t="shared" si="345"/>
        <v>3.7356585562081417</v>
      </c>
      <c r="BB414">
        <f t="shared" si="357"/>
        <v>11.447343486432571</v>
      </c>
      <c r="BC414">
        <f t="shared" si="358"/>
        <v>-1.4253597784202088</v>
      </c>
      <c r="BD414">
        <f t="shared" si="346"/>
        <v>-261.66709968449845</v>
      </c>
      <c r="BF414">
        <f t="shared" si="347"/>
        <v>-56.77521728910726</v>
      </c>
      <c r="BG414">
        <f t="shared" si="348"/>
        <v>-221.26195404183645</v>
      </c>
      <c r="BH414">
        <f t="shared" si="359"/>
        <v>-41.261954041836447</v>
      </c>
      <c r="BI414">
        <f t="shared" si="360"/>
        <v>-41.261954041836447</v>
      </c>
      <c r="BJ414">
        <f t="shared" si="349"/>
        <v>0</v>
      </c>
      <c r="BK414">
        <f t="shared" si="361"/>
        <v>0</v>
      </c>
      <c r="BM414">
        <f t="shared" si="362"/>
        <v>-68.222560775539833</v>
      </c>
      <c r="BN414">
        <f t="shared" si="350"/>
        <v>-139.59485435733805</v>
      </c>
      <c r="BQ414" s="56">
        <f t="shared" si="363"/>
        <v>28.349304286717711</v>
      </c>
    </row>
    <row r="415" spans="1:81" x14ac:dyDescent="0.25">
      <c r="A415">
        <f t="shared" si="319"/>
        <v>1005000</v>
      </c>
      <c r="B415">
        <f t="shared" si="351"/>
        <v>1005</v>
      </c>
      <c r="C415">
        <f t="shared" si="320"/>
        <v>1.3140422703022387</v>
      </c>
      <c r="D415">
        <f t="shared" si="321"/>
        <v>0.70592695487371271</v>
      </c>
      <c r="F415">
        <f t="shared" si="322"/>
        <v>1.9532064314680601E-5</v>
      </c>
      <c r="G415">
        <f t="shared" si="323"/>
        <v>1.728583049211299E-3</v>
      </c>
      <c r="H415">
        <f t="shared" si="324"/>
        <v>-3.1398640669507891</v>
      </c>
      <c r="J415">
        <f t="shared" si="325"/>
        <v>15</v>
      </c>
      <c r="M415">
        <f t="shared" si="326"/>
        <v>2.6563863331249748E-3</v>
      </c>
      <c r="N415">
        <f t="shared" si="327"/>
        <v>-1.5707963250000001</v>
      </c>
      <c r="O415">
        <f t="shared" si="328"/>
        <v>270.8982383346605</v>
      </c>
      <c r="P415">
        <f t="shared" si="329"/>
        <v>1.5671048953656554</v>
      </c>
      <c r="Q415">
        <f t="shared" si="330"/>
        <v>256.58945488314777</v>
      </c>
      <c r="R415">
        <f t="shared" si="331"/>
        <v>1.5668990406342742</v>
      </c>
      <c r="S415">
        <f t="shared" si="332"/>
        <v>0.1513905592109735</v>
      </c>
      <c r="T415">
        <f t="shared" si="333"/>
        <v>-1.4188214314218737</v>
      </c>
      <c r="U415">
        <f t="shared" si="334"/>
        <v>0.71367438863492594</v>
      </c>
      <c r="V415">
        <f t="shared" si="335"/>
        <v>-0.77606648867767247</v>
      </c>
      <c r="X415">
        <f t="shared" si="352"/>
        <v>-42.292322649229071</v>
      </c>
      <c r="Y415">
        <f t="shared" si="336"/>
        <v>-175.64694003590972</v>
      </c>
      <c r="Z415">
        <f t="shared" si="353"/>
        <v>4.3530599640902778</v>
      </c>
      <c r="AC415">
        <v>1</v>
      </c>
      <c r="AD415">
        <f t="shared" si="337"/>
        <v>270.89639261684999</v>
      </c>
      <c r="AE415">
        <f t="shared" si="338"/>
        <v>-2.0527232316873444E-2</v>
      </c>
      <c r="AF415">
        <f t="shared" si="339"/>
        <v>2.0913959262168002E-2</v>
      </c>
      <c r="AG415">
        <f t="shared" si="315"/>
        <v>6573.4111810041341</v>
      </c>
      <c r="AH415">
        <f t="shared" si="316"/>
        <v>-6499.675012406713</v>
      </c>
      <c r="AJ415">
        <f t="shared" si="340"/>
        <v>18000</v>
      </c>
      <c r="AK415">
        <f t="shared" si="341"/>
        <v>117527.35802761801</v>
      </c>
      <c r="AL415">
        <v>1</v>
      </c>
      <c r="AM415">
        <f t="shared" si="342"/>
        <v>256.58750623760102</v>
      </c>
      <c r="AN415">
        <f t="shared" si="317"/>
        <v>458.30650563376935</v>
      </c>
      <c r="AO415">
        <f t="shared" si="318"/>
        <v>-68.365345419907385</v>
      </c>
      <c r="AQ415">
        <f t="shared" si="343"/>
        <v>2.4751856451113476E-3</v>
      </c>
      <c r="AR415">
        <f t="shared" si="344"/>
        <v>-4.9751231466738082</v>
      </c>
      <c r="AT415">
        <f t="shared" si="365"/>
        <v>-32320.413187087372</v>
      </c>
      <c r="AU415">
        <f t="shared" si="366"/>
        <v>-32719.618021506678</v>
      </c>
      <c r="AV415">
        <f t="shared" si="354"/>
        <v>-2.3500567345050469</v>
      </c>
      <c r="AW415">
        <f t="shared" si="355"/>
        <v>7459.6443803104448</v>
      </c>
      <c r="AX415">
        <f t="shared" si="356"/>
        <v>-9872.0504997029147</v>
      </c>
      <c r="AY415">
        <f t="shared" si="364"/>
        <v>-0.92370001251315537</v>
      </c>
      <c r="BA415">
        <f t="shared" si="345"/>
        <v>3.7169020409962581</v>
      </c>
      <c r="BB415">
        <f t="shared" si="357"/>
        <v>11.403622308191707</v>
      </c>
      <c r="BC415">
        <f t="shared" si="358"/>
        <v>-1.4263567219918916</v>
      </c>
      <c r="BD415">
        <f t="shared" si="346"/>
        <v>-261.72422034363382</v>
      </c>
      <c r="BF415">
        <f t="shared" si="347"/>
        <v>-56.887402879804782</v>
      </c>
      <c r="BG415">
        <f t="shared" si="348"/>
        <v>-221.17854462526012</v>
      </c>
      <c r="BH415">
        <f t="shared" si="359"/>
        <v>-41.178544625260116</v>
      </c>
      <c r="BI415">
        <f t="shared" si="360"/>
        <v>-41.178544625260116</v>
      </c>
      <c r="BJ415">
        <f t="shared" si="349"/>
        <v>0</v>
      </c>
      <c r="BK415">
        <f t="shared" si="361"/>
        <v>0</v>
      </c>
      <c r="BM415">
        <f t="shared" si="362"/>
        <v>-68.291025187996482</v>
      </c>
      <c r="BN415">
        <f t="shared" si="350"/>
        <v>-139.4543242816263</v>
      </c>
      <c r="BQ415" s="56">
        <f t="shared" si="363"/>
        <v>28.305583108476846</v>
      </c>
    </row>
    <row r="416" spans="1:81" x14ac:dyDescent="0.25">
      <c r="A416">
        <f t="shared" si="319"/>
        <v>1010000</v>
      </c>
      <c r="B416">
        <f t="shared" si="351"/>
        <v>1010</v>
      </c>
      <c r="C416">
        <f t="shared" si="320"/>
        <v>1.3167976275020217</v>
      </c>
      <c r="D416">
        <f t="shared" si="321"/>
        <v>0.70837802481633116</v>
      </c>
      <c r="F416">
        <f t="shared" si="322"/>
        <v>1.9339152686325045E-5</v>
      </c>
      <c r="G416">
        <f t="shared" si="323"/>
        <v>1.7200253846891712E-3</v>
      </c>
      <c r="H416">
        <f t="shared" si="324"/>
        <v>-3.139872624615311</v>
      </c>
      <c r="J416">
        <f t="shared" si="325"/>
        <v>15</v>
      </c>
      <c r="M416">
        <f t="shared" si="326"/>
        <v>2.6432359057332669E-3</v>
      </c>
      <c r="N416">
        <f t="shared" si="327"/>
        <v>-1.5707963250000001</v>
      </c>
      <c r="O416">
        <f t="shared" si="328"/>
        <v>272.24597244435546</v>
      </c>
      <c r="P416">
        <f t="shared" si="329"/>
        <v>1.5671231696138899</v>
      </c>
      <c r="Q416">
        <f t="shared" si="330"/>
        <v>257.86599999386135</v>
      </c>
      <c r="R416">
        <f t="shared" si="331"/>
        <v>1.5669183339362041</v>
      </c>
      <c r="S416">
        <f t="shared" si="332"/>
        <v>0.15065815346010153</v>
      </c>
      <c r="T416">
        <f t="shared" si="333"/>
        <v>-1.4195623353274027</v>
      </c>
      <c r="U416">
        <f t="shared" si="334"/>
        <v>0.71193426181829167</v>
      </c>
      <c r="V416">
        <f t="shared" si="335"/>
        <v>-0.77854755591227309</v>
      </c>
      <c r="X416">
        <f t="shared" si="352"/>
        <v>-42.380565138872711</v>
      </c>
      <c r="Y416">
        <f t="shared" si="336"/>
        <v>-175.68944727698582</v>
      </c>
      <c r="Z416">
        <f t="shared" si="353"/>
        <v>4.3105527230141831</v>
      </c>
      <c r="AC416">
        <v>1</v>
      </c>
      <c r="AD416">
        <f t="shared" si="337"/>
        <v>272.24413586370002</v>
      </c>
      <c r="AE416">
        <f t="shared" si="338"/>
        <v>-2.0731991471936436E-2</v>
      </c>
      <c r="AF416">
        <f t="shared" si="339"/>
        <v>2.1018008810736E-2</v>
      </c>
      <c r="AG416">
        <f t="shared" si="315"/>
        <v>6541.3948325763604</v>
      </c>
      <c r="AH416">
        <f t="shared" si="316"/>
        <v>-6499.9564475279221</v>
      </c>
      <c r="AJ416">
        <f t="shared" si="340"/>
        <v>18000</v>
      </c>
      <c r="AK416">
        <f t="shared" si="341"/>
        <v>118112.07125163601</v>
      </c>
      <c r="AL416">
        <v>1</v>
      </c>
      <c r="AM416">
        <f t="shared" si="342"/>
        <v>257.86406099500203</v>
      </c>
      <c r="AN416">
        <f t="shared" si="317"/>
        <v>458.30387417674029</v>
      </c>
      <c r="AO416">
        <f t="shared" si="318"/>
        <v>-68.026913320671142</v>
      </c>
      <c r="AQ416">
        <f t="shared" si="343"/>
        <v>2.4507395229047342E-3</v>
      </c>
      <c r="AR416">
        <f t="shared" si="344"/>
        <v>-4.9504938362675626</v>
      </c>
      <c r="AT416">
        <f t="shared" si="365"/>
        <v>-32161.96307464346</v>
      </c>
      <c r="AU416">
        <f t="shared" si="366"/>
        <v>-32399.064499424872</v>
      </c>
      <c r="AV416">
        <f t="shared" si="354"/>
        <v>-2.3525219904236669</v>
      </c>
      <c r="AW416">
        <f t="shared" si="355"/>
        <v>7427.2377742375165</v>
      </c>
      <c r="AX416">
        <f t="shared" si="356"/>
        <v>-9859.4089369655867</v>
      </c>
      <c r="AY416">
        <f t="shared" si="364"/>
        <v>-0.92517717734594707</v>
      </c>
      <c r="BA416">
        <f t="shared" si="345"/>
        <v>3.6983333869288635</v>
      </c>
      <c r="BB416">
        <f t="shared" si="357"/>
        <v>11.360121162841523</v>
      </c>
      <c r="BC416">
        <f t="shared" si="358"/>
        <v>-1.42734481307772</v>
      </c>
      <c r="BD416">
        <f t="shared" si="346"/>
        <v>-261.78083379269094</v>
      </c>
      <c r="BF416">
        <f t="shared" si="347"/>
        <v>-56.998924103110895</v>
      </c>
      <c r="BG416">
        <f t="shared" si="348"/>
        <v>-221.09521242921355</v>
      </c>
      <c r="BH416">
        <f t="shared" si="359"/>
        <v>-41.095212429213547</v>
      </c>
      <c r="BI416">
        <f t="shared" si="360"/>
        <v>-41.095212429213547</v>
      </c>
      <c r="BJ416">
        <f t="shared" si="349"/>
        <v>0</v>
      </c>
      <c r="BK416">
        <f t="shared" si="361"/>
        <v>0</v>
      </c>
      <c r="BM416">
        <f t="shared" si="362"/>
        <v>-68.359045265952417</v>
      </c>
      <c r="BN416">
        <f t="shared" si="350"/>
        <v>-139.31437863652258</v>
      </c>
      <c r="BQ416" s="56">
        <f t="shared" si="363"/>
        <v>28.262081963126661</v>
      </c>
    </row>
    <row r="417" spans="1:69" x14ac:dyDescent="0.25">
      <c r="A417">
        <f t="shared" si="319"/>
        <v>1015000</v>
      </c>
      <c r="B417">
        <f t="shared" si="351"/>
        <v>1015</v>
      </c>
      <c r="C417">
        <f t="shared" si="320"/>
        <v>1.3195608626193804</v>
      </c>
      <c r="D417">
        <f t="shared" si="321"/>
        <v>0.71081884401337536</v>
      </c>
      <c r="F417">
        <f t="shared" si="322"/>
        <v>1.9149085009913126E-5</v>
      </c>
      <c r="G417">
        <f t="shared" si="323"/>
        <v>1.7115520368665824E-3</v>
      </c>
      <c r="H417">
        <f t="shared" si="324"/>
        <v>-3.1398810979631335</v>
      </c>
      <c r="J417">
        <f t="shared" si="325"/>
        <v>15</v>
      </c>
      <c r="M417">
        <f t="shared" si="326"/>
        <v>2.6302150392025613E-3</v>
      </c>
      <c r="N417">
        <f t="shared" si="327"/>
        <v>-1.5707963250000001</v>
      </c>
      <c r="O417">
        <f t="shared" si="328"/>
        <v>273.59370664407066</v>
      </c>
      <c r="P417">
        <f t="shared" si="329"/>
        <v>1.5671412638226869</v>
      </c>
      <c r="Q417">
        <f t="shared" si="330"/>
        <v>259.14254519961514</v>
      </c>
      <c r="R417">
        <f t="shared" si="331"/>
        <v>1.5669374371591858</v>
      </c>
      <c r="S417">
        <f t="shared" si="332"/>
        <v>0.14993271901907962</v>
      </c>
      <c r="T417">
        <f t="shared" si="333"/>
        <v>-1.420296104576106</v>
      </c>
      <c r="U417">
        <f t="shared" si="334"/>
        <v>0.71019826024067234</v>
      </c>
      <c r="V417">
        <f t="shared" si="335"/>
        <v>-0.78101653846796815</v>
      </c>
      <c r="X417">
        <f t="shared" si="352"/>
        <v>-42.468383734380019</v>
      </c>
      <c r="Y417">
        <f t="shared" si="336"/>
        <v>-175.73145703092749</v>
      </c>
      <c r="Z417">
        <f t="shared" si="353"/>
        <v>4.268542969072513</v>
      </c>
      <c r="AC417">
        <v>1</v>
      </c>
      <c r="AD417">
        <f t="shared" si="337"/>
        <v>273.59187911055005</v>
      </c>
      <c r="AE417">
        <f t="shared" si="338"/>
        <v>-2.0937766801466237E-2</v>
      </c>
      <c r="AF417">
        <f t="shared" si="339"/>
        <v>2.1122058359303999E-2</v>
      </c>
      <c r="AG417">
        <f t="shared" si="315"/>
        <v>6509.5322657340002</v>
      </c>
      <c r="AH417">
        <f t="shared" si="316"/>
        <v>-6500.0799747379688</v>
      </c>
      <c r="AJ417">
        <f t="shared" si="340"/>
        <v>18000</v>
      </c>
      <c r="AK417">
        <f t="shared" si="341"/>
        <v>118696.78447565401</v>
      </c>
      <c r="AL417">
        <v>1</v>
      </c>
      <c r="AM417">
        <f t="shared" si="342"/>
        <v>259.14061575240299</v>
      </c>
      <c r="AN417">
        <f t="shared" si="317"/>
        <v>458.30128151160289</v>
      </c>
      <c r="AO417">
        <f t="shared" si="318"/>
        <v>-67.691815378136965</v>
      </c>
      <c r="AQ417">
        <f t="shared" si="343"/>
        <v>2.4266537827528495E-3</v>
      </c>
      <c r="AR417">
        <f t="shared" si="344"/>
        <v>-4.9261071789882847</v>
      </c>
      <c r="AT417">
        <f t="shared" si="365"/>
        <v>-32004.294246458099</v>
      </c>
      <c r="AU417">
        <f t="shared" si="366"/>
        <v>-32082.427069747027</v>
      </c>
      <c r="AV417">
        <f t="shared" si="354"/>
        <v>-2.3549753174374821</v>
      </c>
      <c r="AW417">
        <f t="shared" si="355"/>
        <v>7394.9535823331107</v>
      </c>
      <c r="AX417">
        <f t="shared" si="356"/>
        <v>-9846.7189034268595</v>
      </c>
      <c r="AY417">
        <f t="shared" si="364"/>
        <v>-0.92665113004970578</v>
      </c>
      <c r="BA417">
        <f t="shared" si="345"/>
        <v>3.6799497776150676</v>
      </c>
      <c r="BB417">
        <f t="shared" si="357"/>
        <v>11.316837832962314</v>
      </c>
      <c r="BC417">
        <f t="shared" si="358"/>
        <v>-1.4283241873877763</v>
      </c>
      <c r="BD417">
        <f t="shared" si="346"/>
        <v>-261.83694780728484</v>
      </c>
      <c r="BF417">
        <f t="shared" si="347"/>
        <v>-57.10978791992332</v>
      </c>
      <c r="BG417">
        <f t="shared" si="348"/>
        <v>-221.0119632921716</v>
      </c>
      <c r="BH417">
        <f t="shared" si="359"/>
        <v>-41.0119632921716</v>
      </c>
      <c r="BI417">
        <f t="shared" si="360"/>
        <v>-41.0119632921716</v>
      </c>
      <c r="BJ417">
        <f t="shared" si="349"/>
        <v>0</v>
      </c>
      <c r="BK417">
        <f t="shared" si="361"/>
        <v>0</v>
      </c>
      <c r="BM417">
        <f t="shared" si="362"/>
        <v>-68.426625752885641</v>
      </c>
      <c r="BN417">
        <f t="shared" si="350"/>
        <v>-139.17501548488676</v>
      </c>
      <c r="BQ417" s="56">
        <f t="shared" si="363"/>
        <v>28.218798633247452</v>
      </c>
    </row>
    <row r="418" spans="1:69" x14ac:dyDescent="0.25">
      <c r="A418">
        <f t="shared" si="319"/>
        <v>1020000</v>
      </c>
      <c r="B418">
        <f t="shared" si="351"/>
        <v>1020</v>
      </c>
      <c r="C418">
        <f t="shared" si="320"/>
        <v>1.3223319262676121</v>
      </c>
      <c r="D418">
        <f t="shared" si="321"/>
        <v>0.71324944773497179</v>
      </c>
      <c r="F418">
        <f t="shared" si="322"/>
        <v>1.8961805656909554E-5</v>
      </c>
      <c r="G418">
        <f t="shared" si="323"/>
        <v>1.7031617656999283E-3</v>
      </c>
      <c r="H418">
        <f t="shared" si="324"/>
        <v>-3.1398894882343003</v>
      </c>
      <c r="J418">
        <f t="shared" si="325"/>
        <v>15</v>
      </c>
      <c r="M418">
        <f t="shared" si="326"/>
        <v>2.6173218282260781E-3</v>
      </c>
      <c r="N418">
        <f t="shared" si="327"/>
        <v>-1.5707963250000001</v>
      </c>
      <c r="O418">
        <f t="shared" si="328"/>
        <v>274.94144093248246</v>
      </c>
      <c r="P418">
        <f t="shared" si="329"/>
        <v>1.5671591806396383</v>
      </c>
      <c r="Q418">
        <f t="shared" si="330"/>
        <v>260.41909049901147</v>
      </c>
      <c r="R418">
        <f t="shared" si="331"/>
        <v>1.5669563530984432</v>
      </c>
      <c r="S418">
        <f t="shared" si="332"/>
        <v>0.14921415799465146</v>
      </c>
      <c r="T418">
        <f t="shared" si="333"/>
        <v>-1.4210228409518388</v>
      </c>
      <c r="U418">
        <f t="shared" si="334"/>
        <v>0.70846641706149305</v>
      </c>
      <c r="V418">
        <f t="shared" si="335"/>
        <v>-0.78347349454040416</v>
      </c>
      <c r="X418">
        <f t="shared" si="352"/>
        <v>-42.555782314752108</v>
      </c>
      <c r="Y418">
        <f t="shared" si="336"/>
        <v>-175.7729762022546</v>
      </c>
      <c r="Z418">
        <f t="shared" si="353"/>
        <v>4.227023797745403</v>
      </c>
      <c r="AC418">
        <v>1</v>
      </c>
      <c r="AD418">
        <f t="shared" si="337"/>
        <v>274.93962235740003</v>
      </c>
      <c r="AE418">
        <f t="shared" si="338"/>
        <v>-2.1144558305462861E-2</v>
      </c>
      <c r="AF418">
        <f t="shared" si="339"/>
        <v>2.1226107907872001E-2</v>
      </c>
      <c r="AG418">
        <f t="shared" si="315"/>
        <v>6477.8235323093268</v>
      </c>
      <c r="AH418">
        <f t="shared" si="316"/>
        <v>-6500.0478641798272</v>
      </c>
      <c r="AJ418">
        <f t="shared" si="340"/>
        <v>18000</v>
      </c>
      <c r="AK418">
        <f t="shared" si="341"/>
        <v>119281.49769967202</v>
      </c>
      <c r="AL418">
        <v>1</v>
      </c>
      <c r="AM418">
        <f t="shared" si="342"/>
        <v>260.41717050980401</v>
      </c>
      <c r="AN418">
        <f t="shared" si="317"/>
        <v>458.29872687961773</v>
      </c>
      <c r="AO418">
        <f t="shared" si="318"/>
        <v>-67.360002563502178</v>
      </c>
      <c r="AQ418">
        <f t="shared" si="343"/>
        <v>2.402921375691711E-3</v>
      </c>
      <c r="AR418">
        <f t="shared" si="344"/>
        <v>-4.90195960641109</v>
      </c>
      <c r="AT418">
        <f t="shared" si="365"/>
        <v>-31847.406369314445</v>
      </c>
      <c r="AU418">
        <f t="shared" si="366"/>
        <v>-31769.648396795383</v>
      </c>
      <c r="AV418">
        <f t="shared" si="354"/>
        <v>-2.3574167714513909</v>
      </c>
      <c r="AW418">
        <f t="shared" si="355"/>
        <v>7362.7928268950182</v>
      </c>
      <c r="AX418">
        <f t="shared" si="356"/>
        <v>-9833.9810496012869</v>
      </c>
      <c r="AY418">
        <f t="shared" si="364"/>
        <v>-0.92812179359867097</v>
      </c>
      <c r="BA418">
        <f t="shared" si="345"/>
        <v>3.6617484527696793</v>
      </c>
      <c r="BB418">
        <f t="shared" si="357"/>
        <v>11.273770134505558</v>
      </c>
      <c r="BC418">
        <f t="shared" si="358"/>
        <v>-1.42929497785272</v>
      </c>
      <c r="BD418">
        <f t="shared" si="346"/>
        <v>-261.8925700037812</v>
      </c>
      <c r="BF418">
        <f t="shared" si="347"/>
        <v>-57.2200011898057</v>
      </c>
      <c r="BG418">
        <f t="shared" si="348"/>
        <v>-220.92880288071996</v>
      </c>
      <c r="BH418">
        <f t="shared" si="359"/>
        <v>-40.928802880719957</v>
      </c>
      <c r="BI418">
        <f t="shared" si="360"/>
        <v>-40.928802880719957</v>
      </c>
      <c r="BJ418">
        <f t="shared" si="349"/>
        <v>0</v>
      </c>
      <c r="BK418">
        <f t="shared" si="361"/>
        <v>0</v>
      </c>
      <c r="BM418">
        <f t="shared" si="362"/>
        <v>-68.493771324311268</v>
      </c>
      <c r="BN418">
        <f t="shared" si="350"/>
        <v>-139.03623287693873</v>
      </c>
      <c r="BQ418" s="56">
        <f t="shared" si="363"/>
        <v>28.175730934790696</v>
      </c>
    </row>
    <row r="419" spans="1:69" x14ac:dyDescent="0.25">
      <c r="A419">
        <f t="shared" si="319"/>
        <v>1025000</v>
      </c>
      <c r="B419">
        <f t="shared" si="351"/>
        <v>1025</v>
      </c>
      <c r="C419">
        <f t="shared" si="320"/>
        <v>1.3251107693337882</v>
      </c>
      <c r="D419">
        <f t="shared" si="321"/>
        <v>0.71566987143945193</v>
      </c>
      <c r="F419">
        <f t="shared" si="322"/>
        <v>1.8777260352303657E-5</v>
      </c>
      <c r="G419">
        <f t="shared" si="323"/>
        <v>1.6948533553438081E-3</v>
      </c>
      <c r="H419">
        <f t="shared" si="324"/>
        <v>-3.1398977966446564</v>
      </c>
      <c r="J419">
        <f t="shared" si="325"/>
        <v>15</v>
      </c>
      <c r="M419">
        <f t="shared" si="326"/>
        <v>2.6045544046737561E-3</v>
      </c>
      <c r="N419">
        <f t="shared" si="327"/>
        <v>-1.5707963250000001</v>
      </c>
      <c r="O419">
        <f t="shared" si="328"/>
        <v>276.28917530829273</v>
      </c>
      <c r="P419">
        <f t="shared" si="329"/>
        <v>1.5671769226606767</v>
      </c>
      <c r="Q419">
        <f t="shared" si="330"/>
        <v>261.69563589067997</v>
      </c>
      <c r="R419">
        <f t="shared" si="331"/>
        <v>1.5669750844946595</v>
      </c>
      <c r="S419">
        <f t="shared" si="332"/>
        <v>0.14850237429540816</v>
      </c>
      <c r="T419">
        <f t="shared" si="333"/>
        <v>-1.4217426443263717</v>
      </c>
      <c r="U419">
        <f t="shared" si="334"/>
        <v>0.70673876443201178</v>
      </c>
      <c r="V419">
        <f t="shared" si="335"/>
        <v>-0.78591848234047279</v>
      </c>
      <c r="X419">
        <f t="shared" si="352"/>
        <v>-42.642764706329459</v>
      </c>
      <c r="Y419">
        <f t="shared" si="336"/>
        <v>-175.81401158072114</v>
      </c>
      <c r="Z419">
        <f t="shared" si="353"/>
        <v>4.185988419278857</v>
      </c>
      <c r="AC419">
        <v>1</v>
      </c>
      <c r="AD419">
        <f t="shared" si="337"/>
        <v>276.28736560425</v>
      </c>
      <c r="AE419">
        <f t="shared" si="338"/>
        <v>-2.13523659839263E-2</v>
      </c>
      <c r="AF419">
        <f t="shared" si="339"/>
        <v>2.1330157456439999E-2</v>
      </c>
      <c r="AG419">
        <f t="shared" si="315"/>
        <v>6446.2686611461013</v>
      </c>
      <c r="AH419">
        <f t="shared" si="316"/>
        <v>-6499.8623646656215</v>
      </c>
      <c r="AJ419">
        <f t="shared" si="340"/>
        <v>18000</v>
      </c>
      <c r="AK419">
        <f t="shared" si="341"/>
        <v>119866.21092369</v>
      </c>
      <c r="AL419">
        <v>1</v>
      </c>
      <c r="AM419">
        <f t="shared" si="342"/>
        <v>261.69372526720502</v>
      </c>
      <c r="AN419">
        <f t="shared" si="317"/>
        <v>458.2962095405058</v>
      </c>
      <c r="AO419">
        <f t="shared" si="318"/>
        <v>-67.031426804553149</v>
      </c>
      <c r="AQ419">
        <f t="shared" si="343"/>
        <v>2.3795354242628379E-3</v>
      </c>
      <c r="AR419">
        <f t="shared" si="344"/>
        <v>-4.8780476197388172</v>
      </c>
      <c r="AT419">
        <f t="shared" si="365"/>
        <v>-31691.299011953543</v>
      </c>
      <c r="AU419">
        <f t="shared" si="366"/>
        <v>-31460.672151450224</v>
      </c>
      <c r="AV419">
        <f t="shared" si="354"/>
        <v>-2.359846408430232</v>
      </c>
      <c r="AW419">
        <f t="shared" si="355"/>
        <v>7330.7564810865397</v>
      </c>
      <c r="AX419">
        <f t="shared" si="356"/>
        <v>-9821.196039055596</v>
      </c>
      <c r="AY419">
        <f t="shared" si="364"/>
        <v>-0.92958909373525112</v>
      </c>
      <c r="BA419">
        <f t="shared" si="345"/>
        <v>3.6437267068223611</v>
      </c>
      <c r="BB419">
        <f t="shared" si="357"/>
        <v>11.230915916129167</v>
      </c>
      <c r="BC419">
        <f t="shared" si="358"/>
        <v>-1.4302573146949809</v>
      </c>
      <c r="BD419">
        <f t="shared" si="346"/>
        <v>-261.94770784337572</v>
      </c>
      <c r="BF419">
        <f t="shared" si="347"/>
        <v>-57.329570672905625</v>
      </c>
      <c r="BG419">
        <f t="shared" si="348"/>
        <v>-220.84573669410429</v>
      </c>
      <c r="BH419">
        <f t="shared" si="359"/>
        <v>-40.845736694104289</v>
      </c>
      <c r="BI419">
        <f t="shared" si="360"/>
        <v>-40.845736694104289</v>
      </c>
      <c r="BJ419">
        <f t="shared" si="349"/>
        <v>0</v>
      </c>
      <c r="BK419">
        <f t="shared" si="361"/>
        <v>0</v>
      </c>
      <c r="BM419">
        <f t="shared" si="362"/>
        <v>-68.560486589034781</v>
      </c>
      <c r="BN419">
        <f t="shared" si="350"/>
        <v>-138.89802885072856</v>
      </c>
      <c r="BQ419" s="56">
        <f t="shared" si="363"/>
        <v>28.132876716414302</v>
      </c>
    </row>
    <row r="420" spans="1:69" x14ac:dyDescent="0.25">
      <c r="A420">
        <f t="shared" si="319"/>
        <v>1030000</v>
      </c>
      <c r="B420">
        <f t="shared" si="351"/>
        <v>1030</v>
      </c>
      <c r="C420">
        <f t="shared" si="320"/>
        <v>1.3278973429787839</v>
      </c>
      <c r="D420">
        <f t="shared" si="321"/>
        <v>0.71808015076587084</v>
      </c>
      <c r="F420">
        <f t="shared" si="322"/>
        <v>1.859539613528069E-5</v>
      </c>
      <c r="G420">
        <f t="shared" si="323"/>
        <v>1.6866256135636252E-3</v>
      </c>
      <c r="H420">
        <f t="shared" si="324"/>
        <v>-3.1399060243864367</v>
      </c>
      <c r="J420">
        <f t="shared" si="325"/>
        <v>15</v>
      </c>
      <c r="M420">
        <f t="shared" si="326"/>
        <v>2.5919109366899025E-3</v>
      </c>
      <c r="N420">
        <f t="shared" si="327"/>
        <v>-1.5707963250000001</v>
      </c>
      <c r="O420">
        <f t="shared" si="328"/>
        <v>277.63690977022878</v>
      </c>
      <c r="P420">
        <f t="shared" si="329"/>
        <v>1.5671944924313292</v>
      </c>
      <c r="Q420">
        <f t="shared" si="330"/>
        <v>262.97218137327695</v>
      </c>
      <c r="R420">
        <f t="shared" si="331"/>
        <v>1.5669936340353028</v>
      </c>
      <c r="S420">
        <f t="shared" si="332"/>
        <v>0.14779727359106298</v>
      </c>
      <c r="T420">
        <f t="shared" si="333"/>
        <v>-1.4224556127037271</v>
      </c>
      <c r="U420">
        <f t="shared" si="334"/>
        <v>0.70501533351112722</v>
      </c>
      <c r="V420">
        <f t="shared" si="335"/>
        <v>-0.78835156008571672</v>
      </c>
      <c r="X420">
        <f t="shared" si="352"/>
        <v>-42.729334683759333</v>
      </c>
      <c r="Y420">
        <f t="shared" si="336"/>
        <v>-175.85456984367724</v>
      </c>
      <c r="Z420">
        <f t="shared" si="353"/>
        <v>4.1454301563227602</v>
      </c>
      <c r="AC420">
        <v>1</v>
      </c>
      <c r="AD420">
        <f t="shared" si="337"/>
        <v>277.63510885110003</v>
      </c>
      <c r="AE420">
        <f t="shared" si="338"/>
        <v>-2.1561189836856544E-2</v>
      </c>
      <c r="AF420">
        <f t="shared" si="339"/>
        <v>2.1434207005007998E-2</v>
      </c>
      <c r="AG420">
        <f t="shared" si="315"/>
        <v>6414.8676586471838</v>
      </c>
      <c r="AH420">
        <f t="shared" si="316"/>
        <v>-6499.5257036499552</v>
      </c>
      <c r="AJ420">
        <f t="shared" si="340"/>
        <v>18000</v>
      </c>
      <c r="AK420">
        <f t="shared" si="341"/>
        <v>120450.92414770801</v>
      </c>
      <c r="AL420">
        <v>1</v>
      </c>
      <c r="AM420">
        <f t="shared" si="342"/>
        <v>262.97028002460604</v>
      </c>
      <c r="AN420">
        <f t="shared" si="317"/>
        <v>458.29372877191167</v>
      </c>
      <c r="AO420">
        <f t="shared" si="318"/>
        <v>-66.706040962449137</v>
      </c>
      <c r="AQ420">
        <f t="shared" si="343"/>
        <v>2.3564892175301118E-3</v>
      </c>
      <c r="AR420">
        <f t="shared" si="344"/>
        <v>-4.8543677881120306</v>
      </c>
      <c r="AT420">
        <f t="shared" si="365"/>
        <v>-31535.971647335038</v>
      </c>
      <c r="AU420">
        <f t="shared" si="366"/>
        <v>-31155.442989378244</v>
      </c>
      <c r="AV420">
        <f t="shared" si="354"/>
        <v>-2.3622642843891075</v>
      </c>
      <c r="AW420">
        <f t="shared" si="355"/>
        <v>7298.8454702297204</v>
      </c>
      <c r="AX420">
        <f t="shared" si="356"/>
        <v>-9808.3645474810201</v>
      </c>
      <c r="AY420">
        <f t="shared" si="364"/>
        <v>-0.93105295889133499</v>
      </c>
      <c r="BA420">
        <f t="shared" si="345"/>
        <v>3.6258818875679064</v>
      </c>
      <c r="BB420">
        <f t="shared" si="357"/>
        <v>11.188273058549061</v>
      </c>
      <c r="BC420">
        <f t="shared" si="358"/>
        <v>-1.4312113254977725</v>
      </c>
      <c r="BD420">
        <f t="shared" si="346"/>
        <v>-262.002368636048</v>
      </c>
      <c r="BF420">
        <f t="shared" si="347"/>
        <v>-57.438503031827167</v>
      </c>
      <c r="BG420">
        <f t="shared" si="348"/>
        <v>-220.7627700686468</v>
      </c>
      <c r="BH420">
        <f t="shared" si="359"/>
        <v>-40.762770068646802</v>
      </c>
      <c r="BI420">
        <f t="shared" si="360"/>
        <v>-40.762770068646802</v>
      </c>
      <c r="BJ420">
        <f t="shared" si="349"/>
        <v>0</v>
      </c>
      <c r="BK420">
        <f t="shared" si="361"/>
        <v>0</v>
      </c>
      <c r="BM420">
        <f t="shared" si="362"/>
        <v>-68.626776090376225</v>
      </c>
      <c r="BN420">
        <f t="shared" si="350"/>
        <v>-138.7604014325988</v>
      </c>
      <c r="BQ420" s="56">
        <f t="shared" si="363"/>
        <v>28.090233858834196</v>
      </c>
    </row>
    <row r="421" spans="1:69" x14ac:dyDescent="0.25">
      <c r="A421">
        <f t="shared" si="319"/>
        <v>1035000</v>
      </c>
      <c r="B421">
        <f t="shared" si="351"/>
        <v>1035</v>
      </c>
      <c r="C421">
        <f t="shared" si="320"/>
        <v>1.3306915986372663</v>
      </c>
      <c r="D421">
        <f t="shared" si="321"/>
        <v>0.72048032152664387</v>
      </c>
      <c r="F421">
        <f t="shared" si="322"/>
        <v>1.8416161321219974E-5</v>
      </c>
      <c r="G421">
        <f t="shared" si="323"/>
        <v>1.6784773711652165E-3</v>
      </c>
      <c r="H421">
        <f t="shared" si="324"/>
        <v>-3.1399141726288349</v>
      </c>
      <c r="J421">
        <f t="shared" si="325"/>
        <v>15</v>
      </c>
      <c r="M421">
        <f t="shared" si="326"/>
        <v>2.5793896278170042E-3</v>
      </c>
      <c r="N421">
        <f t="shared" si="327"/>
        <v>-1.5707963250000001</v>
      </c>
      <c r="O421">
        <f t="shared" si="328"/>
        <v>278.98464431704241</v>
      </c>
      <c r="P421">
        <f t="shared" si="329"/>
        <v>1.5672118924479352</v>
      </c>
      <c r="Q421">
        <f t="shared" si="330"/>
        <v>264.24872694548463</v>
      </c>
      <c r="R421">
        <f t="shared" si="331"/>
        <v>1.5670120043559104</v>
      </c>
      <c r="S421">
        <f t="shared" si="332"/>
        <v>0.14709876327280996</v>
      </c>
      <c r="T421">
        <f t="shared" si="333"/>
        <v>-1.4231618422633021</v>
      </c>
      <c r="U421">
        <f t="shared" si="334"/>
        <v>0.70329615448105776</v>
      </c>
      <c r="V421">
        <f t="shared" si="335"/>
        <v>-0.79077278599194045</v>
      </c>
      <c r="X421">
        <f t="shared" si="352"/>
        <v>-42.815495970940646</v>
      </c>
      <c r="Y421">
        <f t="shared" si="336"/>
        <v>-175.89465755837114</v>
      </c>
      <c r="Z421">
        <f t="shared" si="353"/>
        <v>4.1053424416288635</v>
      </c>
      <c r="AC421">
        <v>1</v>
      </c>
      <c r="AD421">
        <f t="shared" si="337"/>
        <v>278.98285209795</v>
      </c>
      <c r="AE421">
        <f t="shared" si="338"/>
        <v>-2.177102986425361E-2</v>
      </c>
      <c r="AF421">
        <f t="shared" si="339"/>
        <v>2.1538256553576E-2</v>
      </c>
      <c r="AG421">
        <f t="shared" si="315"/>
        <v>6383.6205093142735</v>
      </c>
      <c r="AH421">
        <f t="shared" si="316"/>
        <v>-6499.0400872118098</v>
      </c>
      <c r="AJ421">
        <f t="shared" si="340"/>
        <v>18000</v>
      </c>
      <c r="AK421">
        <f t="shared" si="341"/>
        <v>121035.63737172601</v>
      </c>
      <c r="AL421">
        <v>1</v>
      </c>
      <c r="AM421">
        <f t="shared" si="342"/>
        <v>264.246834782007</v>
      </c>
      <c r="AN421">
        <f t="shared" si="317"/>
        <v>458.29128386888533</v>
      </c>
      <c r="AO421">
        <f t="shared" si="318"/>
        <v>-66.383798809178998</v>
      </c>
      <c r="AQ421">
        <f t="shared" si="343"/>
        <v>2.3337762062647423E-3</v>
      </c>
      <c r="AR421">
        <f t="shared" si="344"/>
        <v>-4.8309167469680165</v>
      </c>
      <c r="AT421">
        <f t="shared" si="365"/>
        <v>-31381.42365487355</v>
      </c>
      <c r="AU421">
        <f t="shared" si="366"/>
        <v>-30853.906529853917</v>
      </c>
      <c r="AV421">
        <f t="shared" si="354"/>
        <v>-2.3646704553839397</v>
      </c>
      <c r="AW421">
        <f t="shared" si="355"/>
        <v>7267.0606730667787</v>
      </c>
      <c r="AX421">
        <f t="shared" si="356"/>
        <v>-9795.4872618013378</v>
      </c>
      <c r="AY421">
        <f t="shared" si="364"/>
        <v>-0.93251332011195009</v>
      </c>
      <c r="BA421">
        <f t="shared" si="345"/>
        <v>3.6082113948562724</v>
      </c>
      <c r="BB421">
        <f t="shared" si="357"/>
        <v>11.145839473906705</v>
      </c>
      <c r="BC421">
        <f t="shared" si="358"/>
        <v>-1.4321571352719897</v>
      </c>
      <c r="BD421">
        <f t="shared" si="346"/>
        <v>-262.05655954439482</v>
      </c>
      <c r="BF421">
        <f t="shared" si="347"/>
        <v>-57.546804833458893</v>
      </c>
      <c r="BG421">
        <f t="shared" si="348"/>
        <v>-220.67990818203387</v>
      </c>
      <c r="BH421">
        <f t="shared" si="359"/>
        <v>-40.67990818203387</v>
      </c>
      <c r="BI421">
        <f t="shared" si="360"/>
        <v>-40.67990818203387</v>
      </c>
      <c r="BJ421">
        <f t="shared" si="349"/>
        <v>0</v>
      </c>
      <c r="BK421">
        <f t="shared" si="361"/>
        <v>0</v>
      </c>
      <c r="BM421">
        <f t="shared" si="362"/>
        <v>-68.692644307365597</v>
      </c>
      <c r="BN421">
        <f t="shared" si="350"/>
        <v>-138.62334863763905</v>
      </c>
      <c r="BQ421" s="56">
        <f t="shared" si="363"/>
        <v>28.047800274191843</v>
      </c>
    </row>
    <row r="422" spans="1:69" x14ac:dyDescent="0.25">
      <c r="A422">
        <f t="shared" si="319"/>
        <v>1040000</v>
      </c>
      <c r="B422">
        <f t="shared" si="351"/>
        <v>1040</v>
      </c>
      <c r="C422">
        <f t="shared" si="320"/>
        <v>1.3334934880176406</v>
      </c>
      <c r="D422">
        <f t="shared" si="321"/>
        <v>0.72287041970030164</v>
      </c>
      <c r="F422">
        <f t="shared" si="322"/>
        <v>1.8239505464968868E-5</v>
      </c>
      <c r="G422">
        <f t="shared" si="323"/>
        <v>1.6704074814409338E-3</v>
      </c>
      <c r="H422">
        <f t="shared" si="324"/>
        <v>-3.1399222425185593</v>
      </c>
      <c r="J422">
        <f t="shared" si="325"/>
        <v>15</v>
      </c>
      <c r="M422">
        <f t="shared" si="326"/>
        <v>2.5669887161448076E-3</v>
      </c>
      <c r="N422">
        <f t="shared" si="327"/>
        <v>-1.5707963250000001</v>
      </c>
      <c r="O422">
        <f t="shared" si="328"/>
        <v>280.33237894750943</v>
      </c>
      <c r="P422">
        <f t="shared" si="329"/>
        <v>1.5672291251588286</v>
      </c>
      <c r="Q422">
        <f t="shared" si="330"/>
        <v>265.5252726060105</v>
      </c>
      <c r="R422">
        <f t="shared" si="331"/>
        <v>1.5670301980413373</v>
      </c>
      <c r="S422">
        <f t="shared" si="332"/>
        <v>0.14640675241473336</v>
      </c>
      <c r="T422">
        <f t="shared" si="333"/>
        <v>-1.4238614274018058</v>
      </c>
      <c r="U422">
        <f t="shared" si="334"/>
        <v>0.70158125656289583</v>
      </c>
      <c r="V422">
        <f t="shared" si="335"/>
        <v>-0.79318221826502588</v>
      </c>
      <c r="X422">
        <f t="shared" si="352"/>
        <v>-42.901252241947049</v>
      </c>
      <c r="Y422">
        <f t="shared" si="336"/>
        <v>-175.9342811841905</v>
      </c>
      <c r="Z422">
        <f t="shared" si="353"/>
        <v>4.0657188158095039</v>
      </c>
      <c r="AC422">
        <v>1</v>
      </c>
      <c r="AD422">
        <f t="shared" si="337"/>
        <v>280.33059534480003</v>
      </c>
      <c r="AE422">
        <f t="shared" si="338"/>
        <v>-2.1981886066117486E-2</v>
      </c>
      <c r="AF422">
        <f t="shared" si="339"/>
        <v>2.1642306102144002E-2</v>
      </c>
      <c r="AG422">
        <f t="shared" si="315"/>
        <v>6352.5271762798075</v>
      </c>
      <c r="AH422">
        <f t="shared" si="316"/>
        <v>-6498.4077000447369</v>
      </c>
      <c r="AJ422">
        <f t="shared" si="340"/>
        <v>18000</v>
      </c>
      <c r="AK422">
        <f t="shared" si="341"/>
        <v>121620.35059574401</v>
      </c>
      <c r="AL422">
        <v>1</v>
      </c>
      <c r="AM422">
        <f t="shared" si="342"/>
        <v>265.52338953940802</v>
      </c>
      <c r="AN422">
        <f t="shared" si="317"/>
        <v>458.28887414338101</v>
      </c>
      <c r="AO422">
        <f t="shared" si="318"/>
        <v>-66.064655005668143</v>
      </c>
      <c r="AQ422">
        <f t="shared" si="343"/>
        <v>2.3113899982918828E-3</v>
      </c>
      <c r="AR422">
        <f t="shared" si="344"/>
        <v>-4.8076911964471165</v>
      </c>
      <c r="AT422">
        <f t="shared" si="365"/>
        <v>-31227.654322650105</v>
      </c>
      <c r="AU422">
        <f t="shared" si="366"/>
        <v>-30556.009335154195</v>
      </c>
      <c r="AV422">
        <f t="shared" si="354"/>
        <v>-2.3670649775022627</v>
      </c>
      <c r="AW422">
        <f t="shared" si="355"/>
        <v>7235.4029229906837</v>
      </c>
      <c r="AX422">
        <f t="shared" si="356"/>
        <v>-9782.564879315416</v>
      </c>
      <c r="AY422">
        <f t="shared" si="364"/>
        <v>-0.93397011098118587</v>
      </c>
      <c r="BA422">
        <f t="shared" si="345"/>
        <v>3.5907126793209767</v>
      </c>
      <c r="BB422">
        <f t="shared" si="357"/>
        <v>11.103613105152032</v>
      </c>
      <c r="BC422">
        <f t="shared" si="358"/>
        <v>-1.4330948665210768</v>
      </c>
      <c r="BD422">
        <f t="shared" si="346"/>
        <v>-262.11028758734642</v>
      </c>
      <c r="BF422">
        <f t="shared" si="347"/>
        <v>-57.654482550758857</v>
      </c>
      <c r="BG422">
        <f t="shared" si="348"/>
        <v>-220.59715605747937</v>
      </c>
      <c r="BH422">
        <f t="shared" si="359"/>
        <v>-40.597156057479367</v>
      </c>
      <c r="BI422">
        <f t="shared" si="360"/>
        <v>-40.597156057479367</v>
      </c>
      <c r="BJ422">
        <f t="shared" si="349"/>
        <v>0</v>
      </c>
      <c r="BK422">
        <f t="shared" si="361"/>
        <v>0</v>
      </c>
      <c r="BM422">
        <f t="shared" si="362"/>
        <v>-68.758095655910893</v>
      </c>
      <c r="BN422">
        <f t="shared" si="350"/>
        <v>-138.48686847013295</v>
      </c>
      <c r="BQ422" s="56">
        <f t="shared" si="363"/>
        <v>28.005573905437167</v>
      </c>
    </row>
    <row r="423" spans="1:69" x14ac:dyDescent="0.25">
      <c r="A423">
        <f t="shared" si="319"/>
        <v>1045000</v>
      </c>
      <c r="B423">
        <f t="shared" si="351"/>
        <v>1045</v>
      </c>
      <c r="C423">
        <f t="shared" si="320"/>
        <v>1.3363029631019541</v>
      </c>
      <c r="D423">
        <f t="shared" si="321"/>
        <v>0.72525048142436155</v>
      </c>
      <c r="F423">
        <f t="shared" si="322"/>
        <v>1.8065379325343933E-5</v>
      </c>
      <c r="G423">
        <f t="shared" si="323"/>
        <v>1.6624148196316359E-3</v>
      </c>
      <c r="H423">
        <f t="shared" si="324"/>
        <v>-3.1399302351803686</v>
      </c>
      <c r="J423">
        <f t="shared" si="325"/>
        <v>15</v>
      </c>
      <c r="M423">
        <f t="shared" si="326"/>
        <v>2.5547064734838276E-3</v>
      </c>
      <c r="N423">
        <f t="shared" si="327"/>
        <v>-1.5707963250000001</v>
      </c>
      <c r="O423">
        <f t="shared" si="328"/>
        <v>281.68011366042907</v>
      </c>
      <c r="P423">
        <f t="shared" si="329"/>
        <v>1.567246192965486</v>
      </c>
      <c r="Q423">
        <f t="shared" si="330"/>
        <v>266.8018183535869</v>
      </c>
      <c r="R423">
        <f t="shared" si="331"/>
        <v>1.5670482176269689</v>
      </c>
      <c r="S423">
        <f t="shared" si="332"/>
        <v>0.14572115173623626</v>
      </c>
      <c r="T423">
        <f t="shared" si="333"/>
        <v>-1.4245544607740592</v>
      </c>
      <c r="U423">
        <f t="shared" si="334"/>
        <v>0.69987066803202658</v>
      </c>
      <c r="V423">
        <f t="shared" si="335"/>
        <v>-0.79557991509294546</v>
      </c>
      <c r="X423">
        <f t="shared" si="352"/>
        <v>-42.986607121928799</v>
      </c>
      <c r="Y423">
        <f t="shared" si="336"/>
        <v>-175.97344707484601</v>
      </c>
      <c r="Z423">
        <f t="shared" si="353"/>
        <v>4.0265529251539931</v>
      </c>
      <c r="AC423">
        <v>1</v>
      </c>
      <c r="AD423">
        <f t="shared" si="337"/>
        <v>281.67833859165</v>
      </c>
      <c r="AE423">
        <f t="shared" si="338"/>
        <v>-2.2193758442448176E-2</v>
      </c>
      <c r="AF423">
        <f t="shared" si="339"/>
        <v>2.1746355650712E-2</v>
      </c>
      <c r="AG423">
        <f t="shared" si="315"/>
        <v>6321.5876018309491</v>
      </c>
      <c r="AH423">
        <f t="shared" si="316"/>
        <v>-6497.6307054550098</v>
      </c>
      <c r="AJ423">
        <f t="shared" si="340"/>
        <v>18000</v>
      </c>
      <c r="AK423">
        <f t="shared" si="341"/>
        <v>122205.06381976201</v>
      </c>
      <c r="AL423">
        <v>1</v>
      </c>
      <c r="AM423">
        <f t="shared" si="342"/>
        <v>266.79994429680897</v>
      </c>
      <c r="AN423">
        <f t="shared" si="317"/>
        <v>458.2864989237741</v>
      </c>
      <c r="AO423">
        <f t="shared" si="318"/>
        <v>-65.748565080513899</v>
      </c>
      <c r="AQ423">
        <f t="shared" si="343"/>
        <v>2.2893243539927307E-3</v>
      </c>
      <c r="AR423">
        <f t="shared" si="344"/>
        <v>-4.7846878998448066</v>
      </c>
      <c r="AT423">
        <f t="shared" si="365"/>
        <v>-31074.662849597888</v>
      </c>
      <c r="AU423">
        <f t="shared" si="366"/>
        <v>-30261.698890506741</v>
      </c>
      <c r="AV423">
        <f t="shared" si="354"/>
        <v>-2.3694479068542433</v>
      </c>
      <c r="AW423">
        <f t="shared" si="355"/>
        <v>7203.873009245619</v>
      </c>
      <c r="AX423">
        <f t="shared" si="356"/>
        <v>-9769.5981068730343</v>
      </c>
      <c r="AY423">
        <f t="shared" si="364"/>
        <v>-0.93542326755031058</v>
      </c>
      <c r="BA423">
        <f t="shared" si="345"/>
        <v>3.5733832411445587</v>
      </c>
      <c r="BB423">
        <f t="shared" si="357"/>
        <v>11.061591925441354</v>
      </c>
      <c r="BC423">
        <f t="shared" si="358"/>
        <v>-1.4340246393039329</v>
      </c>
      <c r="BD423">
        <f t="shared" si="346"/>
        <v>-262.16355964377112</v>
      </c>
      <c r="BF423">
        <f t="shared" si="347"/>
        <v>-57.761542564497795</v>
      </c>
      <c r="BG423">
        <f t="shared" si="348"/>
        <v>-220.51451856776819</v>
      </c>
      <c r="BH423">
        <f t="shared" si="359"/>
        <v>-40.514518567768192</v>
      </c>
      <c r="BI423">
        <f t="shared" si="360"/>
        <v>-40.514518567768192</v>
      </c>
      <c r="BJ423">
        <f t="shared" si="349"/>
        <v>0</v>
      </c>
      <c r="BK423">
        <f t="shared" si="361"/>
        <v>0</v>
      </c>
      <c r="BM423">
        <f t="shared" si="362"/>
        <v>-68.82313448993915</v>
      </c>
      <c r="BN423">
        <f t="shared" si="350"/>
        <v>-138.3509589239971</v>
      </c>
      <c r="BQ423" s="56">
        <f t="shared" si="363"/>
        <v>27.96355272572649</v>
      </c>
    </row>
    <row r="424" spans="1:69" x14ac:dyDescent="0.25">
      <c r="A424">
        <f t="shared" si="319"/>
        <v>1050000</v>
      </c>
      <c r="B424">
        <f t="shared" si="351"/>
        <v>1050</v>
      </c>
      <c r="C424">
        <f t="shared" si="320"/>
        <v>1.3391199761457639</v>
      </c>
      <c r="D424">
        <f t="shared" si="321"/>
        <v>0.72762054298831624</v>
      </c>
      <c r="F424">
        <f t="shared" si="322"/>
        <v>1.7893734830812609E-5</v>
      </c>
      <c r="G424">
        <f t="shared" si="323"/>
        <v>1.6544982824040454E-3</v>
      </c>
      <c r="H424">
        <f t="shared" si="324"/>
        <v>-3.1399381517175962</v>
      </c>
      <c r="J424">
        <f t="shared" si="325"/>
        <v>15</v>
      </c>
      <c r="M424">
        <f t="shared" si="326"/>
        <v>2.5425412045624761E-3</v>
      </c>
      <c r="N424">
        <f t="shared" si="327"/>
        <v>-1.5707963250000001</v>
      </c>
      <c r="O424">
        <f t="shared" si="328"/>
        <v>283.02784845462349</v>
      </c>
      <c r="P424">
        <f t="shared" si="329"/>
        <v>1.5672630982236428</v>
      </c>
      <c r="Q424">
        <f t="shared" si="330"/>
        <v>268.07836418697025</v>
      </c>
      <c r="R424">
        <f t="shared" si="331"/>
        <v>1.5670660655998987</v>
      </c>
      <c r="S424">
        <f t="shared" si="332"/>
        <v>0.14504187356545767</v>
      </c>
      <c r="T424">
        <f t="shared" si="333"/>
        <v>-1.4252410333326868</v>
      </c>
      <c r="U424">
        <f t="shared" si="334"/>
        <v>0.69816441623341685</v>
      </c>
      <c r="V424">
        <f t="shared" si="335"/>
        <v>-0.79796593463797316</v>
      </c>
      <c r="X424">
        <f t="shared" si="352"/>
        <v>-43.071564187993943</v>
      </c>
      <c r="Y424">
        <f t="shared" si="336"/>
        <v>-176.01216148049991</v>
      </c>
      <c r="Z424">
        <f t="shared" si="353"/>
        <v>3.9878385195000874</v>
      </c>
      <c r="AC424">
        <v>1</v>
      </c>
      <c r="AD424">
        <f t="shared" si="337"/>
        <v>283.02608183850003</v>
      </c>
      <c r="AE424">
        <f t="shared" si="338"/>
        <v>-2.2406646993245682E-2</v>
      </c>
      <c r="AF424">
        <f t="shared" si="339"/>
        <v>2.1850405199279999E-2</v>
      </c>
      <c r="AG424">
        <f t="shared" ref="AG424:AG487" si="367">AC424*AE424/(AE424^2+AF424^2)+AD424*AF424/(AE424^2+AF424^2)</f>
        <v>6290.8017079257534</v>
      </c>
      <c r="AH424">
        <f t="shared" ref="AH424:AH487" si="368">AD424*AE424/(AE424^2+AF424^2)-AC424*AF424/(AE424^2+AF424^2)</f>
        <v>-6496.7112453675245</v>
      </c>
      <c r="AJ424">
        <f t="shared" si="340"/>
        <v>18000</v>
      </c>
      <c r="AK424">
        <f t="shared" si="341"/>
        <v>122789.77704377999</v>
      </c>
      <c r="AL424">
        <v>1</v>
      </c>
      <c r="AM424">
        <f t="shared" si="342"/>
        <v>268.07649905420999</v>
      </c>
      <c r="AN424">
        <f t="shared" ref="AN424:AN487" si="369">AJ424*AL424/(AL424^2+AM424^2)+AK424*AM424/(AL424^2+AM424^2)</f>
        <v>458.28415755439175</v>
      </c>
      <c r="AO424">
        <f t="shared" ref="AO424:AO487" si="370">AK424*AL424/(AL424^2+AM424^2)-AJ424*AM424/(AL424^2+AM424^2)</f>
        <v>-65.43548540932845</v>
      </c>
      <c r="AQ424">
        <f t="shared" si="343"/>
        <v>2.2675731819561946E-3</v>
      </c>
      <c r="AR424">
        <f t="shared" si="344"/>
        <v>-4.7619036821080085</v>
      </c>
      <c r="AT424">
        <f t="shared" si="365"/>
        <v>-30922.448347662226</v>
      </c>
      <c r="AU424">
        <f t="shared" si="366"/>
        <v>-29970.923584573902</v>
      </c>
      <c r="AV424">
        <f t="shared" si="354"/>
        <v>-2.3718192995639265</v>
      </c>
      <c r="AW424">
        <f t="shared" si="355"/>
        <v>7172.4716780982517</v>
      </c>
      <c r="AX424">
        <f t="shared" si="356"/>
        <v>-9756.5876600829215</v>
      </c>
      <c r="AY424">
        <f t="shared" si="364"/>
        <v>-0.93687272826800316</v>
      </c>
      <c r="BA424">
        <f t="shared" si="345"/>
        <v>3.5562206288598794</v>
      </c>
      <c r="BB424">
        <f t="shared" si="357"/>
        <v>11.01977393754985</v>
      </c>
      <c r="BC424">
        <f t="shared" si="358"/>
        <v>-1.4349465712959233</v>
      </c>
      <c r="BD424">
        <f t="shared" si="346"/>
        <v>-262.21638245597057</v>
      </c>
      <c r="BF424">
        <f t="shared" si="347"/>
        <v>-57.867991164961545</v>
      </c>
      <c r="BG424">
        <f t="shared" si="348"/>
        <v>-220.43200043918378</v>
      </c>
      <c r="BH424">
        <f t="shared" si="359"/>
        <v>-40.432000439183781</v>
      </c>
      <c r="BI424">
        <f t="shared" si="360"/>
        <v>-40.432000439183781</v>
      </c>
      <c r="BJ424">
        <f t="shared" si="349"/>
        <v>0</v>
      </c>
      <c r="BK424">
        <f t="shared" si="361"/>
        <v>0</v>
      </c>
      <c r="BM424">
        <f t="shared" si="362"/>
        <v>-68.887765102511395</v>
      </c>
      <c r="BN424">
        <f t="shared" si="350"/>
        <v>-138.21561798321318</v>
      </c>
      <c r="BQ424" s="56">
        <f t="shared" si="363"/>
        <v>27.921734737834988</v>
      </c>
    </row>
    <row r="425" spans="1:69" x14ac:dyDescent="0.25">
      <c r="A425">
        <f t="shared" si="319"/>
        <v>1055000</v>
      </c>
      <c r="B425">
        <f t="shared" si="351"/>
        <v>1055</v>
      </c>
      <c r="C425">
        <f t="shared" si="320"/>
        <v>1.3419444796779634</v>
      </c>
      <c r="D425">
        <f t="shared" si="321"/>
        <v>0.72998064082673719</v>
      </c>
      <c r="F425">
        <f t="shared" si="322"/>
        <v>1.7724525046310765E-5</v>
      </c>
      <c r="G425">
        <f t="shared" si="323"/>
        <v>1.6466567873429758E-3</v>
      </c>
      <c r="H425">
        <f t="shared" si="324"/>
        <v>-3.1399459932126574</v>
      </c>
      <c r="J425">
        <f t="shared" si="325"/>
        <v>15</v>
      </c>
      <c r="M425">
        <f t="shared" si="326"/>
        <v>2.5304912462470138E-3</v>
      </c>
      <c r="N425">
        <f t="shared" si="327"/>
        <v>-1.5707963250000001</v>
      </c>
      <c r="O425">
        <f t="shared" si="328"/>
        <v>284.37558332893707</v>
      </c>
      <c r="P425">
        <f t="shared" si="329"/>
        <v>1.5672798432443766</v>
      </c>
      <c r="Q425">
        <f t="shared" si="330"/>
        <v>269.35491010494059</v>
      </c>
      <c r="R425">
        <f t="shared" si="331"/>
        <v>1.5670837444000725</v>
      </c>
      <c r="S425">
        <f t="shared" si="332"/>
        <v>0.14436883180364762</v>
      </c>
      <c r="T425">
        <f t="shared" si="333"/>
        <v>-1.4259212343667347</v>
      </c>
      <c r="U425">
        <f t="shared" si="334"/>
        <v>0.69646252759676663</v>
      </c>
      <c r="V425">
        <f t="shared" si="335"/>
        <v>-0.80034033502908908</v>
      </c>
      <c r="X425">
        <f t="shared" si="352"/>
        <v>-43.156126970069451</v>
      </c>
      <c r="Y425">
        <f t="shared" si="336"/>
        <v>-176.05043054984006</v>
      </c>
      <c r="Z425">
        <f t="shared" si="353"/>
        <v>3.9495694501599417</v>
      </c>
      <c r="AC425">
        <v>1</v>
      </c>
      <c r="AD425">
        <f t="shared" si="337"/>
        <v>284.37382508535006</v>
      </c>
      <c r="AE425">
        <f t="shared" si="338"/>
        <v>-2.2620551718510001E-2</v>
      </c>
      <c r="AF425">
        <f t="shared" si="339"/>
        <v>2.1954454747848001E-2</v>
      </c>
      <c r="AG425">
        <f t="shared" si="367"/>
        <v>6260.169396701458</v>
      </c>
      <c r="AH425">
        <f t="shared" si="368"/>
        <v>-6495.6514403391184</v>
      </c>
      <c r="AJ425">
        <f t="shared" si="340"/>
        <v>18000</v>
      </c>
      <c r="AK425">
        <f t="shared" si="341"/>
        <v>123374.49026779801</v>
      </c>
      <c r="AL425">
        <v>1</v>
      </c>
      <c r="AM425">
        <f t="shared" si="342"/>
        <v>269.35305381161101</v>
      </c>
      <c r="AN425">
        <f t="shared" si="369"/>
        <v>458.28184939506173</v>
      </c>
      <c r="AO425">
        <f t="shared" si="370"/>
        <v>-65.125373194669024</v>
      </c>
      <c r="AQ425">
        <f t="shared" si="343"/>
        <v>2.2461305347744806E-3</v>
      </c>
      <c r="AR425">
        <f t="shared" si="344"/>
        <v>-4.7393354283741544</v>
      </c>
      <c r="AT425">
        <f t="shared" si="365"/>
        <v>-30771.009843933996</v>
      </c>
      <c r="AU425">
        <f t="shared" si="366"/>
        <v>-29683.632690454273</v>
      </c>
      <c r="AV425">
        <f t="shared" si="354"/>
        <v>-2.3741792117607003</v>
      </c>
      <c r="AW425">
        <f t="shared" si="355"/>
        <v>7141.19963398052</v>
      </c>
      <c r="AX425">
        <f t="shared" si="356"/>
        <v>-9743.5342625519006</v>
      </c>
      <c r="AY425">
        <f t="shared" si="364"/>
        <v>-0.93831843391263592</v>
      </c>
      <c r="BA425">
        <f t="shared" si="345"/>
        <v>3.539222438186016</v>
      </c>
      <c r="BB425">
        <f t="shared" si="357"/>
        <v>10.978157173298158</v>
      </c>
      <c r="BC425">
        <f t="shared" si="358"/>
        <v>-1.4358607778480645</v>
      </c>
      <c r="BD425">
        <f t="shared" si="346"/>
        <v>-262.26876263307133</v>
      </c>
      <c r="BF425">
        <f t="shared" si="347"/>
        <v>-57.97383455361409</v>
      </c>
      <c r="BG425">
        <f t="shared" si="348"/>
        <v>-220.34960625532312</v>
      </c>
      <c r="BH425">
        <f t="shared" si="359"/>
        <v>-40.349606255323124</v>
      </c>
      <c r="BI425">
        <f t="shared" si="360"/>
        <v>-40.349606255323124</v>
      </c>
      <c r="BJ425">
        <f t="shared" si="349"/>
        <v>0</v>
      </c>
      <c r="BK425">
        <f t="shared" si="361"/>
        <v>0</v>
      </c>
      <c r="BM425">
        <f t="shared" si="362"/>
        <v>-68.95199172691224</v>
      </c>
      <c r="BN425">
        <f t="shared" si="350"/>
        <v>-138.08084362225179</v>
      </c>
      <c r="BQ425" s="56">
        <f t="shared" si="363"/>
        <v>27.880117973583292</v>
      </c>
    </row>
    <row r="426" spans="1:69" x14ac:dyDescent="0.25">
      <c r="A426">
        <f t="shared" si="319"/>
        <v>1060000</v>
      </c>
      <c r="B426">
        <f t="shared" si="351"/>
        <v>1060</v>
      </c>
      <c r="C426">
        <f t="shared" si="320"/>
        <v>1.3447764265005722</v>
      </c>
      <c r="D426">
        <f t="shared" si="321"/>
        <v>0.73233081151249346</v>
      </c>
      <c r="F426">
        <f t="shared" si="322"/>
        <v>1.7557704141153339E-5</v>
      </c>
      <c r="G426">
        <f t="shared" si="323"/>
        <v>1.6388892724579292E-3</v>
      </c>
      <c r="H426">
        <f t="shared" si="324"/>
        <v>-3.1399537607275421</v>
      </c>
      <c r="J426">
        <f t="shared" si="325"/>
        <v>15</v>
      </c>
      <c r="M426">
        <f t="shared" si="326"/>
        <v>2.5185549667835847E-3</v>
      </c>
      <c r="N426">
        <f t="shared" si="327"/>
        <v>-1.5707963250000001</v>
      </c>
      <c r="O426">
        <f t="shared" si="328"/>
        <v>285.72331828223622</v>
      </c>
      <c r="P426">
        <f t="shared" si="329"/>
        <v>1.5672964302951611</v>
      </c>
      <c r="Q426">
        <f t="shared" si="330"/>
        <v>270.6314561063009</v>
      </c>
      <c r="R426">
        <f t="shared" si="331"/>
        <v>1.5671012564214006</v>
      </c>
      <c r="S426">
        <f t="shared" si="332"/>
        <v>0.14370194189047297</v>
      </c>
      <c r="T426">
        <f t="shared" si="333"/>
        <v>-1.4265951515392525</v>
      </c>
      <c r="U426">
        <f t="shared" si="334"/>
        <v>0.69476502765152315</v>
      </c>
      <c r="V426">
        <f t="shared" si="335"/>
        <v>-0.8027031743545755</v>
      </c>
      <c r="X426">
        <f t="shared" si="352"/>
        <v>-43.240298951742759</v>
      </c>
      <c r="Y426">
        <f t="shared" si="336"/>
        <v>-176.0882603321015</v>
      </c>
      <c r="Z426">
        <f t="shared" si="353"/>
        <v>3.9117396678985017</v>
      </c>
      <c r="AC426">
        <v>1</v>
      </c>
      <c r="AD426">
        <f t="shared" si="337"/>
        <v>285.72156833219998</v>
      </c>
      <c r="AE426">
        <f t="shared" si="338"/>
        <v>-2.2835472618241134E-2</v>
      </c>
      <c r="AF426">
        <f t="shared" si="339"/>
        <v>2.2058504296415999E-2</v>
      </c>
      <c r="AG426">
        <f t="shared" si="367"/>
        <v>6229.6905509749504</v>
      </c>
      <c r="AH426">
        <f t="shared" si="368"/>
        <v>-6494.4533895790992</v>
      </c>
      <c r="AJ426">
        <f t="shared" si="340"/>
        <v>18000</v>
      </c>
      <c r="AK426">
        <f t="shared" si="341"/>
        <v>123959.20349181602</v>
      </c>
      <c r="AL426">
        <v>1</v>
      </c>
      <c r="AM426">
        <f t="shared" si="342"/>
        <v>270.62960856901196</v>
      </c>
      <c r="AN426">
        <f t="shared" si="369"/>
        <v>458.27957382067376</v>
      </c>
      <c r="AO426">
        <f t="shared" si="370"/>
        <v>-64.818186446536188</v>
      </c>
      <c r="AQ426">
        <f t="shared" si="343"/>
        <v>2.2249906049771704E-3</v>
      </c>
      <c r="AR426">
        <f t="shared" si="344"/>
        <v>-4.7169800825516015</v>
      </c>
      <c r="AT426">
        <f t="shared" si="365"/>
        <v>-30620.346282756513</v>
      </c>
      <c r="AU426">
        <f t="shared" si="366"/>
        <v>-29399.77634718503</v>
      </c>
      <c r="AV426">
        <f t="shared" si="354"/>
        <v>-2.3765276995709845</v>
      </c>
      <c r="AW426">
        <f t="shared" si="355"/>
        <v>7110.0575406047356</v>
      </c>
      <c r="AX426">
        <f t="shared" si="356"/>
        <v>-9730.438645154074</v>
      </c>
      <c r="AY426">
        <f t="shared" si="364"/>
        <v>-0.93976032752653582</v>
      </c>
      <c r="BA426">
        <f t="shared" si="345"/>
        <v>3.522386310897637</v>
      </c>
      <c r="BB426">
        <f t="shared" si="357"/>
        <v>10.936739692992761</v>
      </c>
      <c r="BC426">
        <f t="shared" si="358"/>
        <v>-1.4367673720444487</v>
      </c>
      <c r="BD426">
        <f t="shared" si="346"/>
        <v>-262.32070665431456</v>
      </c>
      <c r="BF426">
        <f t="shared" si="347"/>
        <v>-58.079078844722119</v>
      </c>
      <c r="BG426">
        <f t="shared" si="348"/>
        <v>-220.26734046080401</v>
      </c>
      <c r="BH426">
        <f t="shared" si="359"/>
        <v>-40.267340460804007</v>
      </c>
      <c r="BI426">
        <f t="shared" si="360"/>
        <v>-40.267340460804007</v>
      </c>
      <c r="BJ426">
        <f t="shared" si="349"/>
        <v>0</v>
      </c>
      <c r="BK426">
        <f t="shared" si="361"/>
        <v>0</v>
      </c>
      <c r="BM426">
        <f t="shared" si="362"/>
        <v>-69.015818537714878</v>
      </c>
      <c r="BN426">
        <f t="shared" si="350"/>
        <v>-137.94663380648944</v>
      </c>
      <c r="BQ426" s="56">
        <f t="shared" si="363"/>
        <v>27.838700493277898</v>
      </c>
    </row>
    <row r="427" spans="1:69" x14ac:dyDescent="0.25">
      <c r="A427">
        <f t="shared" si="319"/>
        <v>1065000</v>
      </c>
      <c r="B427">
        <f t="shared" si="351"/>
        <v>1065</v>
      </c>
      <c r="C427">
        <f t="shared" si="320"/>
        <v>1.3476157696884883</v>
      </c>
      <c r="D427">
        <f t="shared" si="321"/>
        <v>0.73467109175008383</v>
      </c>
      <c r="F427">
        <f t="shared" si="322"/>
        <v>1.7393227357997095E-5</v>
      </c>
      <c r="G427">
        <f t="shared" si="323"/>
        <v>1.6311946957035933E-3</v>
      </c>
      <c r="H427">
        <f t="shared" si="324"/>
        <v>-3.1399614553042965</v>
      </c>
      <c r="J427">
        <f t="shared" si="325"/>
        <v>15</v>
      </c>
      <c r="M427">
        <f t="shared" si="326"/>
        <v>2.5067307650615961E-3</v>
      </c>
      <c r="N427">
        <f t="shared" si="327"/>
        <v>-1.5707963250000001</v>
      </c>
      <c r="O427">
        <f t="shared" si="328"/>
        <v>287.0710533134083</v>
      </c>
      <c r="P427">
        <f t="shared" si="329"/>
        <v>1.5673128616008885</v>
      </c>
      <c r="Q427">
        <f t="shared" si="330"/>
        <v>271.90800218987664</v>
      </c>
      <c r="R427">
        <f t="shared" si="331"/>
        <v>1.5671186040128382</v>
      </c>
      <c r="S427">
        <f t="shared" si="332"/>
        <v>0.14304112077022427</v>
      </c>
      <c r="T427">
        <f t="shared" si="333"/>
        <v>-1.4272628709238688</v>
      </c>
      <c r="U427">
        <f t="shared" si="334"/>
        <v>0.69307194104175485</v>
      </c>
      <c r="V427">
        <f t="shared" si="335"/>
        <v>-0.8050545106547996</v>
      </c>
      <c r="X427">
        <f t="shared" si="352"/>
        <v>-43.324083571084373</v>
      </c>
      <c r="Y427">
        <f t="shared" si="336"/>
        <v>-176.12565677903774</v>
      </c>
      <c r="Z427">
        <f t="shared" si="353"/>
        <v>3.8743432209622597</v>
      </c>
      <c r="AC427">
        <v>1</v>
      </c>
      <c r="AD427">
        <f t="shared" si="337"/>
        <v>287.06931157905001</v>
      </c>
      <c r="AE427">
        <f t="shared" si="338"/>
        <v>-2.305140969243908E-2</v>
      </c>
      <c r="AF427">
        <f t="shared" si="339"/>
        <v>2.2162553844984001E-2</v>
      </c>
      <c r="AG427">
        <f t="shared" si="367"/>
        <v>6199.3650347354605</v>
      </c>
      <c r="AH427">
        <f t="shared" si="368"/>
        <v>-6493.1191709766981</v>
      </c>
      <c r="AJ427">
        <f t="shared" si="340"/>
        <v>18000</v>
      </c>
      <c r="AK427">
        <f t="shared" si="341"/>
        <v>124543.916715834</v>
      </c>
      <c r="AL427">
        <v>1</v>
      </c>
      <c r="AM427">
        <f t="shared" si="342"/>
        <v>271.90616332641298</v>
      </c>
      <c r="AN427">
        <f t="shared" si="369"/>
        <v>458.27733022075626</v>
      </c>
      <c r="AO427">
        <f t="shared" si="370"/>
        <v>-64.513883963421137</v>
      </c>
      <c r="AQ427">
        <f t="shared" si="343"/>
        <v>2.2041477210986088E-3</v>
      </c>
      <c r="AR427">
        <f t="shared" si="344"/>
        <v>-4.6948346459400367</v>
      </c>
      <c r="AT427">
        <f t="shared" si="365"/>
        <v>-30470.45652780528</v>
      </c>
      <c r="AU427">
        <f t="shared" si="366"/>
        <v>-29119.305541728831</v>
      </c>
      <c r="AV427">
        <f t="shared" si="354"/>
        <v>-2.3788648191101229</v>
      </c>
      <c r="AW427">
        <f t="shared" si="355"/>
        <v>7079.0460220517743</v>
      </c>
      <c r="AX427">
        <f t="shared" si="356"/>
        <v>-9717.3015453290773</v>
      </c>
      <c r="AY427">
        <f t="shared" si="364"/>
        <v>-0.94119835435215882</v>
      </c>
      <c r="BA427">
        <f t="shared" si="345"/>
        <v>3.5057099337267013</v>
      </c>
      <c r="BB427">
        <f t="shared" si="357"/>
        <v>10.895519584879668</v>
      </c>
      <c r="BC427">
        <f t="shared" si="358"/>
        <v>-1.4376664647579642</v>
      </c>
      <c r="BD427">
        <f t="shared" si="346"/>
        <v>-262.37222087224882</v>
      </c>
      <c r="BF427">
        <f t="shared" si="347"/>
        <v>-58.183730066942346</v>
      </c>
      <c r="BG427">
        <f t="shared" si="348"/>
        <v>-220.1852073648669</v>
      </c>
      <c r="BH427">
        <f t="shared" si="359"/>
        <v>-40.185207364866898</v>
      </c>
      <c r="BI427">
        <f t="shared" si="360"/>
        <v>-40.185207364866898</v>
      </c>
      <c r="BJ427">
        <f t="shared" si="349"/>
        <v>0</v>
      </c>
      <c r="BK427">
        <f t="shared" si="361"/>
        <v>0</v>
      </c>
      <c r="BM427">
        <f t="shared" si="362"/>
        <v>-69.079249651822025</v>
      </c>
      <c r="BN427">
        <f t="shared" si="350"/>
        <v>-137.81298649261808</v>
      </c>
      <c r="BQ427" s="56">
        <f t="shared" si="363"/>
        <v>27.797480385164807</v>
      </c>
    </row>
    <row r="428" spans="1:69" x14ac:dyDescent="0.25">
      <c r="A428">
        <f t="shared" ref="A428:A433" si="371">A427+5000</f>
        <v>1070000</v>
      </c>
      <c r="B428">
        <f t="shared" si="351"/>
        <v>1070</v>
      </c>
      <c r="C428">
        <f t="shared" si="320"/>
        <v>1.3504624625892068</v>
      </c>
      <c r="D428">
        <f t="shared" si="321"/>
        <v>0.73700151836908245</v>
      </c>
      <c r="F428">
        <f t="shared" si="322"/>
        <v>1.7231050982816359E-5</v>
      </c>
      <c r="G428">
        <f t="shared" si="323"/>
        <v>1.6235720345137872E-3</v>
      </c>
      <c r="H428">
        <f t="shared" si="324"/>
        <v>-3.1399690779654863</v>
      </c>
      <c r="J428">
        <f t="shared" si="325"/>
        <v>15</v>
      </c>
      <c r="M428">
        <f t="shared" si="326"/>
        <v>2.4950170698977564E-3</v>
      </c>
      <c r="N428">
        <f t="shared" si="327"/>
        <v>-1.5707963250000001</v>
      </c>
      <c r="O428">
        <f t="shared" si="328"/>
        <v>288.41878842136174</v>
      </c>
      <c r="P428">
        <f t="shared" si="329"/>
        <v>1.5673291393448658</v>
      </c>
      <c r="Q428">
        <f t="shared" si="330"/>
        <v>273.18454835451547</v>
      </c>
      <c r="R428">
        <f t="shared" si="331"/>
        <v>1.5671357894794355</v>
      </c>
      <c r="S428">
        <f t="shared" si="332"/>
        <v>0.14238628685889868</v>
      </c>
      <c r="T428">
        <f t="shared" si="333"/>
        <v>-1.4279244770403881</v>
      </c>
      <c r="U428">
        <f t="shared" si="334"/>
        <v>0.69138329154088507</v>
      </c>
      <c r="V428">
        <f t="shared" si="335"/>
        <v>-0.80739440191518197</v>
      </c>
      <c r="X428">
        <f t="shared" si="352"/>
        <v>-43.40748422145186</v>
      </c>
      <c r="Y428">
        <f t="shared" si="336"/>
        <v>-176.16262574684245</v>
      </c>
      <c r="Z428">
        <f t="shared" si="353"/>
        <v>3.8373742531575488</v>
      </c>
      <c r="AC428">
        <v>1</v>
      </c>
      <c r="AD428">
        <f t="shared" si="337"/>
        <v>288.41705482590004</v>
      </c>
      <c r="AE428">
        <f t="shared" si="338"/>
        <v>-2.3268362941103841E-2</v>
      </c>
      <c r="AF428">
        <f t="shared" si="339"/>
        <v>2.2266603393551999E-2</v>
      </c>
      <c r="AG428">
        <f t="shared" si="367"/>
        <v>6169.1926936294094</v>
      </c>
      <c r="AH428">
        <f t="shared" si="368"/>
        <v>-6491.6508411351724</v>
      </c>
      <c r="AJ428">
        <f t="shared" si="340"/>
        <v>18000</v>
      </c>
      <c r="AK428">
        <f t="shared" si="341"/>
        <v>125128.62993985201</v>
      </c>
      <c r="AL428">
        <v>1</v>
      </c>
      <c r="AM428">
        <f t="shared" si="342"/>
        <v>273.182718083814</v>
      </c>
      <c r="AN428">
        <f t="shared" si="369"/>
        <v>458.27511799906762</v>
      </c>
      <c r="AO428">
        <f t="shared" si="370"/>
        <v>-64.212425313884722</v>
      </c>
      <c r="AQ428">
        <f t="shared" si="343"/>
        <v>2.1835963438736256E-3</v>
      </c>
      <c r="AR428">
        <f t="shared" si="344"/>
        <v>-4.6728961758895586</v>
      </c>
      <c r="AT428">
        <f t="shared" si="365"/>
        <v>-30321.339364140324</v>
      </c>
      <c r="AU428">
        <f t="shared" si="366"/>
        <v>-28842.172091429078</v>
      </c>
      <c r="AV428">
        <f t="shared" si="354"/>
        <v>-2.3811906264744955</v>
      </c>
      <c r="AW428">
        <f t="shared" si="355"/>
        <v>7048.1656638329423</v>
      </c>
      <c r="AX428">
        <f t="shared" si="356"/>
        <v>-9704.1237064083707</v>
      </c>
      <c r="AY428">
        <f t="shared" si="364"/>
        <v>-0.94263246177012172</v>
      </c>
      <c r="BA428">
        <f t="shared" si="345"/>
        <v>3.4891910372954298</v>
      </c>
      <c r="BB428">
        <f t="shared" si="357"/>
        <v>10.854494964611092</v>
      </c>
      <c r="BC428">
        <f t="shared" si="358"/>
        <v>-1.4385581647043737</v>
      </c>
      <c r="BD428">
        <f t="shared" si="346"/>
        <v>-262.42331151582852</v>
      </c>
      <c r="BF428">
        <f t="shared" si="347"/>
        <v>-58.287794164872523</v>
      </c>
      <c r="BG428">
        <f t="shared" si="348"/>
        <v>-220.10321114487579</v>
      </c>
      <c r="BH428">
        <f t="shared" si="359"/>
        <v>-40.103211144875786</v>
      </c>
      <c r="BI428">
        <f t="shared" si="360"/>
        <v>-40.103211144875786</v>
      </c>
      <c r="BJ428">
        <f t="shared" si="349"/>
        <v>0</v>
      </c>
      <c r="BK428">
        <f t="shared" si="361"/>
        <v>0</v>
      </c>
      <c r="BM428">
        <f t="shared" si="362"/>
        <v>-69.142289129483615</v>
      </c>
      <c r="BN428">
        <f t="shared" si="350"/>
        <v>-137.67989962904727</v>
      </c>
      <c r="BQ428" s="56">
        <f t="shared" si="363"/>
        <v>27.756455764896231</v>
      </c>
    </row>
    <row r="429" spans="1:69" x14ac:dyDescent="0.25">
      <c r="A429">
        <f t="shared" si="371"/>
        <v>1075000</v>
      </c>
      <c r="B429">
        <f t="shared" si="351"/>
        <v>1075</v>
      </c>
      <c r="C429">
        <f t="shared" si="320"/>
        <v>1.3533164588225004</v>
      </c>
      <c r="D429">
        <f t="shared" si="321"/>
        <v>0.73932212831769617</v>
      </c>
      <c r="F429">
        <f t="shared" si="322"/>
        <v>1.7071132315853952E-5</v>
      </c>
      <c r="G429">
        <f t="shared" si="323"/>
        <v>1.6160202853484084E-3</v>
      </c>
      <c r="H429">
        <f t="shared" si="324"/>
        <v>-3.1399766297146519</v>
      </c>
      <c r="J429">
        <f t="shared" si="325"/>
        <v>15</v>
      </c>
      <c r="M429">
        <f t="shared" si="326"/>
        <v>2.4834123393400929E-3</v>
      </c>
      <c r="N429">
        <f t="shared" si="327"/>
        <v>-1.5707963250000001</v>
      </c>
      <c r="O429">
        <f t="shared" si="328"/>
        <v>289.76652360502516</v>
      </c>
      <c r="P429">
        <f t="shared" si="329"/>
        <v>1.5673452656697808</v>
      </c>
      <c r="Q429">
        <f t="shared" si="330"/>
        <v>274.46109459908615</v>
      </c>
      <c r="R429">
        <f t="shared" si="331"/>
        <v>1.5671528150833596</v>
      </c>
      <c r="S429">
        <f t="shared" si="332"/>
        <v>0.14173736001213172</v>
      </c>
      <c r="T429">
        <f t="shared" si="333"/>
        <v>-1.4285800528894463</v>
      </c>
      <c r="U429">
        <f t="shared" si="334"/>
        <v>0.68969910206628227</v>
      </c>
      <c r="V429">
        <f t="shared" si="335"/>
        <v>-0.80972290605934671</v>
      </c>
      <c r="X429">
        <f t="shared" si="352"/>
        <v>-43.49050425227594</v>
      </c>
      <c r="Y429">
        <f t="shared" si="336"/>
        <v>-176.19917299802361</v>
      </c>
      <c r="Z429">
        <f t="shared" si="353"/>
        <v>3.800827001976387</v>
      </c>
      <c r="AC429">
        <v>1</v>
      </c>
      <c r="AD429">
        <f t="shared" si="337"/>
        <v>289.76479807275001</v>
      </c>
      <c r="AE429">
        <f t="shared" si="338"/>
        <v>-2.3486332364235415E-2</v>
      </c>
      <c r="AF429">
        <f t="shared" si="339"/>
        <v>2.2370652942119998E-2</v>
      </c>
      <c r="AG429">
        <f t="shared" si="367"/>
        <v>6139.1733554375678</v>
      </c>
      <c r="AH429">
        <f t="shared" si="368"/>
        <v>-6490.0504354123777</v>
      </c>
      <c r="AJ429">
        <f t="shared" si="340"/>
        <v>18000</v>
      </c>
      <c r="AK429">
        <f t="shared" si="341"/>
        <v>125713.34316387001</v>
      </c>
      <c r="AL429">
        <v>1</v>
      </c>
      <c r="AM429">
        <f t="shared" si="342"/>
        <v>274.45927284121501</v>
      </c>
      <c r="AN429">
        <f t="shared" si="369"/>
        <v>458.27293657319973</v>
      </c>
      <c r="AO429">
        <f t="shared" si="370"/>
        <v>-63.9137708186502</v>
      </c>
      <c r="AQ429">
        <f t="shared" si="343"/>
        <v>2.1633310625568279E-3</v>
      </c>
      <c r="AR429">
        <f t="shared" si="344"/>
        <v>-4.6511617844971802</v>
      </c>
      <c r="AT429">
        <f t="shared" si="365"/>
        <v>-30172.993500231096</v>
      </c>
      <c r="AU429">
        <f t="shared" si="366"/>
        <v>-28568.328626919028</v>
      </c>
      <c r="AV429">
        <f t="shared" si="354"/>
        <v>-2.3835051777338294</v>
      </c>
      <c r="AW429">
        <f t="shared" si="355"/>
        <v>7017.4170139263606</v>
      </c>
      <c r="AX429">
        <f t="shared" si="356"/>
        <v>-9690.9058769686671</v>
      </c>
      <c r="AY429">
        <f t="shared" si="364"/>
        <v>-0.94406259923902192</v>
      </c>
      <c r="BA429">
        <f t="shared" si="345"/>
        <v>3.4728273950795208</v>
      </c>
      <c r="BB429">
        <f t="shared" si="357"/>
        <v>10.813663974724715</v>
      </c>
      <c r="BC429">
        <f t="shared" si="358"/>
        <v>-1.4394425784948075</v>
      </c>
      <c r="BD429">
        <f t="shared" si="346"/>
        <v>-262.47398469342147</v>
      </c>
      <c r="BF429">
        <f t="shared" si="347"/>
        <v>-58.3912770005672</v>
      </c>
      <c r="BG429">
        <f t="shared" si="348"/>
        <v>-220.02135584972081</v>
      </c>
      <c r="BH429">
        <f t="shared" si="359"/>
        <v>-40.021355849720806</v>
      </c>
      <c r="BI429">
        <f t="shared" si="360"/>
        <v>-40.021355849720806</v>
      </c>
      <c r="BJ429">
        <f t="shared" si="349"/>
        <v>0</v>
      </c>
      <c r="BK429">
        <f t="shared" si="361"/>
        <v>0</v>
      </c>
      <c r="BM429">
        <f t="shared" si="362"/>
        <v>-69.204940975291919</v>
      </c>
      <c r="BN429">
        <f t="shared" si="350"/>
        <v>-137.54737115629933</v>
      </c>
      <c r="BQ429" s="56">
        <f t="shared" si="363"/>
        <v>27.715624775009854</v>
      </c>
    </row>
    <row r="430" spans="1:69" x14ac:dyDescent="0.25">
      <c r="A430">
        <f t="shared" si="371"/>
        <v>1080000</v>
      </c>
      <c r="B430">
        <f t="shared" si="351"/>
        <v>1080</v>
      </c>
      <c r="C430">
        <f t="shared" si="320"/>
        <v>1.3561777122800684</v>
      </c>
      <c r="D430">
        <f t="shared" si="321"/>
        <v>0.74163295865643353</v>
      </c>
      <c r="F430">
        <f t="shared" si="322"/>
        <v>1.6913429643511454E-5</v>
      </c>
      <c r="G430">
        <f t="shared" si="323"/>
        <v>1.6085384632529758E-3</v>
      </c>
      <c r="H430">
        <f t="shared" si="324"/>
        <v>-3.1399841115367471</v>
      </c>
      <c r="J430">
        <f t="shared" si="325"/>
        <v>15</v>
      </c>
      <c r="M430">
        <f t="shared" si="326"/>
        <v>2.4719150599912961E-3</v>
      </c>
      <c r="N430">
        <f t="shared" si="327"/>
        <v>-1.5707963250000001</v>
      </c>
      <c r="O430">
        <f t="shared" si="328"/>
        <v>291.11425886334706</v>
      </c>
      <c r="P430">
        <f t="shared" si="329"/>
        <v>1.5673612426786427</v>
      </c>
      <c r="Q430">
        <f t="shared" si="330"/>
        <v>275.73764092247848</v>
      </c>
      <c r="R430">
        <f t="shared" si="331"/>
        <v>1.567169683044886</v>
      </c>
      <c r="S430">
        <f t="shared" si="332"/>
        <v>0.14109426149395321</v>
      </c>
      <c r="T430">
        <f t="shared" si="333"/>
        <v>-1.4292296799862476</v>
      </c>
      <c r="U430">
        <f t="shared" si="334"/>
        <v>0.68801939469370443</v>
      </c>
      <c r="V430">
        <f t="shared" si="335"/>
        <v>-0.81204008094245139</v>
      </c>
      <c r="X430">
        <f t="shared" si="352"/>
        <v>-43.573146969829004</v>
      </c>
      <c r="Y430">
        <f t="shared" si="336"/>
        <v>-176.23530420323181</v>
      </c>
      <c r="Z430">
        <f t="shared" si="353"/>
        <v>3.7646957967681942</v>
      </c>
      <c r="AC430">
        <v>1</v>
      </c>
      <c r="AD430">
        <f t="shared" si="337"/>
        <v>291.11254131960004</v>
      </c>
      <c r="AE430">
        <f t="shared" si="338"/>
        <v>-2.37053179618338E-2</v>
      </c>
      <c r="AF430">
        <f t="shared" si="339"/>
        <v>2.2474702490688E-2</v>
      </c>
      <c r="AG430">
        <f t="shared" si="367"/>
        <v>6109.3068305444758</v>
      </c>
      <c r="AH430">
        <f t="shared" si="368"/>
        <v>-6488.3199679675008</v>
      </c>
      <c r="AJ430">
        <f t="shared" si="340"/>
        <v>18000</v>
      </c>
      <c r="AK430">
        <f t="shared" si="341"/>
        <v>126298.05638788801</v>
      </c>
      <c r="AL430">
        <v>1</v>
      </c>
      <c r="AM430">
        <f t="shared" si="342"/>
        <v>275.73582759861597</v>
      </c>
      <c r="AN430">
        <f t="shared" si="369"/>
        <v>458.27078537419436</v>
      </c>
      <c r="AO430">
        <f t="shared" si="370"/>
        <v>-63.617881533193447</v>
      </c>
      <c r="AQ430">
        <f t="shared" si="343"/>
        <v>2.1433465913608986E-3</v>
      </c>
      <c r="AR430">
        <f t="shared" si="344"/>
        <v>-4.6296286373395414</v>
      </c>
      <c r="AT430">
        <f t="shared" si="365"/>
        <v>-30025.41756995349</v>
      </c>
      <c r="AU430">
        <f t="shared" si="366"/>
        <v>-28297.728575469777</v>
      </c>
      <c r="AV430">
        <f t="shared" si="354"/>
        <v>-2.3858085289237154</v>
      </c>
      <c r="AW430">
        <f t="shared" si="355"/>
        <v>6986.8005837884148</v>
      </c>
      <c r="AX430">
        <f t="shared" si="356"/>
        <v>-9677.6488102115327</v>
      </c>
      <c r="AY430">
        <f t="shared" si="364"/>
        <v>-0.94548871823699376</v>
      </c>
      <c r="BA430">
        <f t="shared" si="345"/>
        <v>3.4566168224006084</v>
      </c>
      <c r="BB430">
        <f t="shared" si="357"/>
        <v>10.773024784135238</v>
      </c>
      <c r="BC430">
        <f t="shared" si="358"/>
        <v>-1.4403198106867217</v>
      </c>
      <c r="BD430">
        <f t="shared" si="346"/>
        <v>-262.5242463957286</v>
      </c>
      <c r="BF430">
        <f t="shared" si="347"/>
        <v>-58.494184355019172</v>
      </c>
      <c r="BG430">
        <f t="shared" si="348"/>
        <v>-219.93964540312581</v>
      </c>
      <c r="BH430">
        <f t="shared" si="359"/>
        <v>-39.939645403125809</v>
      </c>
      <c r="BI430">
        <f t="shared" si="360"/>
        <v>-39.939645403125809</v>
      </c>
      <c r="BJ430">
        <f t="shared" si="349"/>
        <v>0</v>
      </c>
      <c r="BK430">
        <f t="shared" si="361"/>
        <v>0</v>
      </c>
      <c r="BM430">
        <f t="shared" si="362"/>
        <v>-69.267209139154403</v>
      </c>
      <c r="BN430">
        <f t="shared" si="350"/>
        <v>-137.41539900739724</v>
      </c>
      <c r="BQ430" s="56">
        <f t="shared" si="363"/>
        <v>27.674985584420376</v>
      </c>
    </row>
    <row r="431" spans="1:69" x14ac:dyDescent="0.25">
      <c r="A431">
        <f t="shared" si="371"/>
        <v>1085000</v>
      </c>
      <c r="B431">
        <f t="shared" si="351"/>
        <v>1085</v>
      </c>
      <c r="C431">
        <f t="shared" si="320"/>
        <v>1.359046177125151</v>
      </c>
      <c r="D431">
        <f t="shared" si="321"/>
        <v>0.74393404655188389</v>
      </c>
      <c r="F431">
        <f t="shared" si="322"/>
        <v>1.6757902211144138E-5</v>
      </c>
      <c r="G431">
        <f t="shared" si="323"/>
        <v>1.6011256014303429E-3</v>
      </c>
      <c r="H431">
        <f t="shared" si="324"/>
        <v>-3.1399915243985697</v>
      </c>
      <c r="J431">
        <f t="shared" si="325"/>
        <v>15</v>
      </c>
      <c r="M431">
        <f t="shared" si="326"/>
        <v>2.4605237463507833E-3</v>
      </c>
      <c r="N431">
        <f t="shared" si="327"/>
        <v>-1.5707963250000001</v>
      </c>
      <c r="O431">
        <f t="shared" si="328"/>
        <v>292.46199419529523</v>
      </c>
      <c r="P431">
        <f t="shared" si="329"/>
        <v>1.5673770724356961</v>
      </c>
      <c r="Q431">
        <f t="shared" si="330"/>
        <v>277.01418732360287</v>
      </c>
      <c r="R431">
        <f t="shared" si="331"/>
        <v>1.5671863955433645</v>
      </c>
      <c r="S431">
        <f t="shared" si="332"/>
        <v>0.14045691394634333</v>
      </c>
      <c r="T431">
        <f t="shared" si="333"/>
        <v>-1.4298734383934126</v>
      </c>
      <c r="U431">
        <f t="shared" si="334"/>
        <v>0.68634419067160002</v>
      </c>
      <c r="V431">
        <f t="shared" si="335"/>
        <v>-0.81434598434469185</v>
      </c>
      <c r="X431">
        <f t="shared" si="352"/>
        <v>-43.655415637976553</v>
      </c>
      <c r="Y431">
        <f t="shared" si="336"/>
        <v>-176.27102494304322</v>
      </c>
      <c r="Z431">
        <f t="shared" si="353"/>
        <v>3.7289750569567843</v>
      </c>
      <c r="AC431">
        <v>1</v>
      </c>
      <c r="AD431">
        <f t="shared" si="337"/>
        <v>292.46028456645001</v>
      </c>
      <c r="AE431">
        <f t="shared" si="338"/>
        <v>-2.3925319733899001E-2</v>
      </c>
      <c r="AF431">
        <f t="shared" si="339"/>
        <v>2.2578752039256002E-2</v>
      </c>
      <c r="AG431">
        <f t="shared" si="367"/>
        <v>6079.5929124001677</v>
      </c>
      <c r="AH431">
        <f t="shared" si="368"/>
        <v>-6486.4614318137556</v>
      </c>
      <c r="AJ431">
        <f t="shared" si="340"/>
        <v>18000</v>
      </c>
      <c r="AK431">
        <f t="shared" si="341"/>
        <v>126882.76961190601</v>
      </c>
      <c r="AL431">
        <v>1</v>
      </c>
      <c r="AM431">
        <f t="shared" si="342"/>
        <v>277.01238235601699</v>
      </c>
      <c r="AN431">
        <f t="shared" si="369"/>
        <v>458.2686638461721</v>
      </c>
      <c r="AO431">
        <f t="shared" si="370"/>
        <v>-63.324719230814566</v>
      </c>
      <c r="AQ431">
        <f t="shared" si="343"/>
        <v>2.1236377660095213E-3</v>
      </c>
      <c r="AR431">
        <f t="shared" si="344"/>
        <v>-4.6082939522406612</v>
      </c>
      <c r="AT431">
        <f t="shared" si="365"/>
        <v>-29878.61013455889</v>
      </c>
      <c r="AU431">
        <f t="shared" si="366"/>
        <v>-28030.326144763247</v>
      </c>
      <c r="AV431">
        <f t="shared" si="354"/>
        <v>-2.3881007360383224</v>
      </c>
      <c r="AW431">
        <f t="shared" si="355"/>
        <v>6956.3168493409412</v>
      </c>
      <c r="AX431">
        <f t="shared" si="356"/>
        <v>-9664.3532633683208</v>
      </c>
      <c r="AY431">
        <f t="shared" si="364"/>
        <v>-0.94691077220494402</v>
      </c>
      <c r="BA431">
        <f t="shared" si="345"/>
        <v>3.4405571754469966</v>
      </c>
      <c r="BB431">
        <f t="shared" si="357"/>
        <v>10.732575587637809</v>
      </c>
      <c r="BC431">
        <f t="shared" si="358"/>
        <v>-1.4411899638333785</v>
      </c>
      <c r="BD431">
        <f t="shared" si="346"/>
        <v>-262.57410249861903</v>
      </c>
      <c r="BF431">
        <f t="shared" si="347"/>
        <v>-58.596521929607661</v>
      </c>
      <c r="BG431">
        <f t="shared" si="348"/>
        <v>-219.85808360686465</v>
      </c>
      <c r="BH431">
        <f t="shared" si="359"/>
        <v>-39.858083606864653</v>
      </c>
      <c r="BI431">
        <f t="shared" si="360"/>
        <v>-39.858083606864653</v>
      </c>
      <c r="BJ431">
        <f t="shared" si="349"/>
        <v>0</v>
      </c>
      <c r="BK431">
        <f t="shared" si="361"/>
        <v>0</v>
      </c>
      <c r="BM431">
        <f t="shared" si="362"/>
        <v>-69.329097517245472</v>
      </c>
      <c r="BN431">
        <f t="shared" si="350"/>
        <v>-137.28398110824565</v>
      </c>
      <c r="BQ431" s="56">
        <f t="shared" si="363"/>
        <v>27.63453638792295</v>
      </c>
    </row>
    <row r="432" spans="1:69" x14ac:dyDescent="0.25">
      <c r="A432">
        <f t="shared" si="371"/>
        <v>1090000</v>
      </c>
      <c r="B432">
        <f t="shared" si="351"/>
        <v>1090</v>
      </c>
      <c r="C432">
        <f t="shared" si="320"/>
        <v>1.361921807792112</v>
      </c>
      <c r="D432">
        <f t="shared" si="321"/>
        <v>0.74622542927060587</v>
      </c>
      <c r="F432">
        <f t="shared" si="322"/>
        <v>1.6604510196727482E-5</v>
      </c>
      <c r="G432">
        <f t="shared" si="323"/>
        <v>1.593780750824207E-3</v>
      </c>
      <c r="H432">
        <f t="shared" si="324"/>
        <v>-3.139998869249176</v>
      </c>
      <c r="J432">
        <f t="shared" si="325"/>
        <v>15</v>
      </c>
      <c r="M432">
        <f t="shared" si="326"/>
        <v>2.449236940174862E-3</v>
      </c>
      <c r="N432">
        <f t="shared" si="327"/>
        <v>-1.5707963250000001</v>
      </c>
      <c r="O432">
        <f t="shared" si="328"/>
        <v>293.80972959985667</v>
      </c>
      <c r="P432">
        <f t="shared" si="329"/>
        <v>1.567392756967311</v>
      </c>
      <c r="Q432">
        <f t="shared" si="330"/>
        <v>278.29073380138965</v>
      </c>
      <c r="R432">
        <f t="shared" si="331"/>
        <v>1.5672029547181578</v>
      </c>
      <c r="S432">
        <f t="shared" si="332"/>
        <v>0.13982524135956487</v>
      </c>
      <c r="T432">
        <f t="shared" si="333"/>
        <v>-1.4305114067529665</v>
      </c>
      <c r="U432">
        <f t="shared" si="334"/>
        <v>0.68467351043526059</v>
      </c>
      <c r="V432">
        <f t="shared" si="335"/>
        <v>-0.81664067396498163</v>
      </c>
      <c r="X432">
        <f t="shared" si="352"/>
        <v>-43.737313478912071</v>
      </c>
      <c r="Y432">
        <f t="shared" si="336"/>
        <v>-176.30634070969987</v>
      </c>
      <c r="Z432">
        <f t="shared" si="353"/>
        <v>3.6936592903001326</v>
      </c>
      <c r="AC432">
        <v>1</v>
      </c>
      <c r="AD432">
        <f t="shared" si="337"/>
        <v>293.80802781329999</v>
      </c>
      <c r="AE432">
        <f t="shared" si="338"/>
        <v>-2.4146337680431017E-2</v>
      </c>
      <c r="AF432">
        <f t="shared" si="339"/>
        <v>2.2682801587824E-2</v>
      </c>
      <c r="AG432">
        <f t="shared" si="367"/>
        <v>6050.0313779742928</v>
      </c>
      <c r="AH432">
        <f t="shared" si="368"/>
        <v>-6484.4767988768053</v>
      </c>
      <c r="AJ432">
        <f t="shared" si="340"/>
        <v>18000</v>
      </c>
      <c r="AK432">
        <f t="shared" si="341"/>
        <v>127467.48283592402</v>
      </c>
      <c r="AL432">
        <v>1</v>
      </c>
      <c r="AM432">
        <f t="shared" si="342"/>
        <v>278.288937113418</v>
      </c>
      <c r="AN432">
        <f t="shared" si="369"/>
        <v>458.2665714459734</v>
      </c>
      <c r="AO432">
        <f t="shared" si="370"/>
        <v>-63.034246386175269</v>
      </c>
      <c r="AQ432">
        <f t="shared" si="343"/>
        <v>2.1041995404007365E-3</v>
      </c>
      <c r="AR432">
        <f t="shared" si="344"/>
        <v>-4.5871549980736051</v>
      </c>
      <c r="AT432">
        <f t="shared" si="365"/>
        <v>-29732.569684615122</v>
      </c>
      <c r="AU432">
        <f t="shared" si="366"/>
        <v>-27766.076307076852</v>
      </c>
      <c r="AV432">
        <f t="shared" si="354"/>
        <v>-2.3903818550233082</v>
      </c>
      <c r="AW432">
        <f t="shared" si="355"/>
        <v>6925.9662519348103</v>
      </c>
      <c r="AX432">
        <f t="shared" si="356"/>
        <v>-9651.0199971295333</v>
      </c>
      <c r="AY432">
        <f t="shared" si="364"/>
        <v>-0.94832871649141048</v>
      </c>
      <c r="BA432">
        <f t="shared" si="345"/>
        <v>3.424646350321781</v>
      </c>
      <c r="BB432">
        <f t="shared" si="357"/>
        <v>10.692314605423064</v>
      </c>
      <c r="BC432">
        <f t="shared" si="358"/>
        <v>-1.4420531385318978</v>
      </c>
      <c r="BD432">
        <f t="shared" si="346"/>
        <v>-262.62355876588316</v>
      </c>
      <c r="BF432">
        <f t="shared" si="347"/>
        <v>-58.698295347513998</v>
      </c>
      <c r="BG432">
        <f t="shared" si="348"/>
        <v>-219.77667414388819</v>
      </c>
      <c r="BH432">
        <f t="shared" si="359"/>
        <v>-39.776674143888187</v>
      </c>
      <c r="BI432">
        <f t="shared" si="360"/>
        <v>-39.776674143888187</v>
      </c>
      <c r="BJ432">
        <f t="shared" si="349"/>
        <v>0</v>
      </c>
      <c r="BK432">
        <f t="shared" si="361"/>
        <v>0</v>
      </c>
      <c r="BM432">
        <f t="shared" si="362"/>
        <v>-69.390609952937069</v>
      </c>
      <c r="BN432">
        <f t="shared" si="350"/>
        <v>-137.15311537800505</v>
      </c>
      <c r="BQ432" s="56">
        <f t="shared" si="363"/>
        <v>27.594275405708203</v>
      </c>
    </row>
    <row r="433" spans="1:69" x14ac:dyDescent="0.25">
      <c r="A433">
        <f t="shared" si="371"/>
        <v>1095000</v>
      </c>
      <c r="B433">
        <f t="shared" si="351"/>
        <v>1095</v>
      </c>
      <c r="C433">
        <f t="shared" si="320"/>
        <v>1.3648045589859894</v>
      </c>
      <c r="D433">
        <f t="shared" si="321"/>
        <v>0.74850714417312403</v>
      </c>
      <c r="F433">
        <f t="shared" si="322"/>
        <v>1.6453214685363552E-5</v>
      </c>
      <c r="G433">
        <f t="shared" si="323"/>
        <v>1.5865029797140252E-3</v>
      </c>
      <c r="H433">
        <f t="shared" si="324"/>
        <v>-3.1400061470202862</v>
      </c>
      <c r="J433">
        <f t="shared" si="325"/>
        <v>15</v>
      </c>
      <c r="M433">
        <f t="shared" si="326"/>
        <v>2.4380532098544293E-3</v>
      </c>
      <c r="N433">
        <f t="shared" si="327"/>
        <v>-1.5707963250000001</v>
      </c>
      <c r="O433">
        <f t="shared" si="328"/>
        <v>295.15746507603649</v>
      </c>
      <c r="P433">
        <f t="shared" si="329"/>
        <v>1.5674082982628457</v>
      </c>
      <c r="Q433">
        <f t="shared" si="330"/>
        <v>279.56728035478858</v>
      </c>
      <c r="R433">
        <f t="shared" si="331"/>
        <v>1.5672193626695543</v>
      </c>
      <c r="S433">
        <f t="shared" si="332"/>
        <v>0.13919916904324947</v>
      </c>
      <c r="T433">
        <f t="shared" si="333"/>
        <v>-1.43114366231749</v>
      </c>
      <c r="U433">
        <f t="shared" si="334"/>
        <v>0.68300737362082509</v>
      </c>
      <c r="V433">
        <f t="shared" si="335"/>
        <v>-0.81892420741480032</v>
      </c>
      <c r="X433">
        <f t="shared" si="352"/>
        <v>-43.818843673875698</v>
      </c>
      <c r="Y433">
        <f t="shared" si="336"/>
        <v>-176.34125690880686</v>
      </c>
      <c r="Z433">
        <f t="shared" si="353"/>
        <v>3.6587430911931449</v>
      </c>
      <c r="AC433">
        <v>1</v>
      </c>
      <c r="AD433">
        <f t="shared" si="337"/>
        <v>295.15577106015002</v>
      </c>
      <c r="AE433">
        <f t="shared" si="338"/>
        <v>-2.4368371801429839E-2</v>
      </c>
      <c r="AF433">
        <f t="shared" si="339"/>
        <v>2.2786851136391999E-2</v>
      </c>
      <c r="AG433">
        <f t="shared" si="367"/>
        <v>6020.6219882026217</v>
      </c>
      <c r="AH433">
        <f t="shared" si="368"/>
        <v>-6482.3680200586768</v>
      </c>
      <c r="AJ433">
        <f t="shared" si="340"/>
        <v>18000</v>
      </c>
      <c r="AK433">
        <f t="shared" si="341"/>
        <v>128052.196059942</v>
      </c>
      <c r="AL433">
        <v>1</v>
      </c>
      <c r="AM433">
        <f t="shared" si="342"/>
        <v>279.56549187081896</v>
      </c>
      <c r="AN433">
        <f t="shared" si="369"/>
        <v>458.26450764281162</v>
      </c>
      <c r="AO433">
        <f t="shared" si="370"/>
        <v>-62.746426159287346</v>
      </c>
      <c r="AQ433">
        <f t="shared" si="343"/>
        <v>2.0850269833767054E-3</v>
      </c>
      <c r="AR433">
        <f t="shared" si="344"/>
        <v>-4.5662090935949848</v>
      </c>
      <c r="AT433">
        <f t="shared" si="365"/>
        <v>-29587.294641919132</v>
      </c>
      <c r="AU433">
        <f t="shared" si="366"/>
        <v>-27504.934783866727</v>
      </c>
      <c r="AV433">
        <f t="shared" si="354"/>
        <v>-2.3926519417689169</v>
      </c>
      <c r="AW433">
        <f t="shared" si="355"/>
        <v>6895.7491992904534</v>
      </c>
      <c r="AX433">
        <f t="shared" si="356"/>
        <v>-9637.6497750978269</v>
      </c>
      <c r="AY433">
        <f t="shared" si="364"/>
        <v>-0.94974250829899531</v>
      </c>
      <c r="BA433">
        <f t="shared" si="345"/>
        <v>3.4088822821174278</v>
      </c>
      <c r="BB433">
        <f t="shared" si="357"/>
        <v>10.652240082603397</v>
      </c>
      <c r="BC433">
        <f t="shared" si="358"/>
        <v>-1.4429094334699215</v>
      </c>
      <c r="BD433">
        <f t="shared" si="346"/>
        <v>-262.6726208519064</v>
      </c>
      <c r="BF433">
        <f t="shared" si="347"/>
        <v>-58.799510155105764</v>
      </c>
      <c r="BG433">
        <f t="shared" si="348"/>
        <v>-219.695420581365</v>
      </c>
      <c r="BH433">
        <f t="shared" si="359"/>
        <v>-39.695420581364999</v>
      </c>
      <c r="BI433">
        <f t="shared" si="360"/>
        <v>-39.695420581364999</v>
      </c>
      <c r="BJ433">
        <f t="shared" si="349"/>
        <v>0</v>
      </c>
      <c r="BK433">
        <f t="shared" si="361"/>
        <v>0</v>
      </c>
      <c r="BM433">
        <f t="shared" si="362"/>
        <v>-69.451750237709163</v>
      </c>
      <c r="BN433">
        <f t="shared" si="350"/>
        <v>-137.0227997294586</v>
      </c>
      <c r="BQ433" s="56">
        <f t="shared" si="363"/>
        <v>27.554200882888537</v>
      </c>
    </row>
    <row r="434" spans="1:69" x14ac:dyDescent="0.25">
      <c r="A434">
        <f>A433+5000</f>
        <v>1100000</v>
      </c>
      <c r="B434">
        <f t="shared" si="351"/>
        <v>1100</v>
      </c>
      <c r="C434">
        <f t="shared" si="320"/>
        <v>1.3676943856820163</v>
      </c>
      <c r="D434">
        <f t="shared" si="321"/>
        <v>0.75077922870803326</v>
      </c>
      <c r="F434">
        <f t="shared" si="322"/>
        <v>1.6303977644596639E-5</v>
      </c>
      <c r="G434">
        <f t="shared" si="323"/>
        <v>1.5792913733209848E-3</v>
      </c>
      <c r="H434">
        <f t="shared" si="324"/>
        <v>-3.1400133586266792</v>
      </c>
      <c r="J434">
        <f t="shared" si="325"/>
        <v>15</v>
      </c>
      <c r="M434">
        <f t="shared" si="326"/>
        <v>2.426971149809636E-3</v>
      </c>
      <c r="N434">
        <f t="shared" si="327"/>
        <v>-1.5707963250000001</v>
      </c>
      <c r="O434">
        <f t="shared" si="328"/>
        <v>296.50520062285818</v>
      </c>
      <c r="P434">
        <f t="shared" si="329"/>
        <v>1.5674236982754899</v>
      </c>
      <c r="Q434">
        <f t="shared" si="330"/>
        <v>280.84382698276863</v>
      </c>
      <c r="R434">
        <f t="shared" si="331"/>
        <v>1.5672356214596563</v>
      </c>
      <c r="S434">
        <f t="shared" si="332"/>
        <v>0.13857862359821563</v>
      </c>
      <c r="T434">
        <f t="shared" si="333"/>
        <v>-1.4317702809804613</v>
      </c>
      <c r="U434">
        <f t="shared" si="334"/>
        <v>0.68134579907913551</v>
      </c>
      <c r="V434">
        <f t="shared" si="335"/>
        <v>-0.82119664221221111</v>
      </c>
      <c r="X434">
        <f t="shared" si="352"/>
        <v>-43.900009363857208</v>
      </c>
      <c r="Y434">
        <f t="shared" si="336"/>
        <v>-176.37577886098978</v>
      </c>
      <c r="Z434">
        <f t="shared" si="353"/>
        <v>3.624221139010217</v>
      </c>
      <c r="AC434">
        <v>1</v>
      </c>
      <c r="AD434">
        <f t="shared" si="337"/>
        <v>296.50351430699999</v>
      </c>
      <c r="AE434">
        <f t="shared" si="338"/>
        <v>-2.4591422096895486E-2</v>
      </c>
      <c r="AF434">
        <f t="shared" si="339"/>
        <v>2.2890900684960001E-2</v>
      </c>
      <c r="AG434">
        <f t="shared" si="367"/>
        <v>5991.3644884259957</v>
      </c>
      <c r="AH434">
        <f t="shared" si="368"/>
        <v>-6480.1370253069681</v>
      </c>
      <c r="AJ434">
        <f t="shared" si="340"/>
        <v>18000</v>
      </c>
      <c r="AK434">
        <f t="shared" si="341"/>
        <v>128636.90928396002</v>
      </c>
      <c r="AL434">
        <v>1</v>
      </c>
      <c r="AM434">
        <f t="shared" si="342"/>
        <v>280.84204662821998</v>
      </c>
      <c r="AN434">
        <f t="shared" si="369"/>
        <v>458.26247191793465</v>
      </c>
      <c r="AO434">
        <f t="shared" si="370"/>
        <v>-62.461222379937645</v>
      </c>
      <c r="AQ434">
        <f t="shared" si="343"/>
        <v>2.0661152755960172E-3</v>
      </c>
      <c r="AR434">
        <f t="shared" si="344"/>
        <v>-4.5454536063112387</v>
      </c>
      <c r="AT434">
        <f t="shared" si="365"/>
        <v>-29442.783361381338</v>
      </c>
      <c r="AU434">
        <f t="shared" si="366"/>
        <v>-27246.858030736974</v>
      </c>
      <c r="AV434">
        <f t="shared" si="354"/>
        <v>-2.3949110521032733</v>
      </c>
      <c r="AW434">
        <f t="shared" si="355"/>
        <v>6865.6660664159126</v>
      </c>
      <c r="AX434">
        <f t="shared" si="356"/>
        <v>-9624.2433632638149</v>
      </c>
      <c r="AY434">
        <f t="shared" si="364"/>
        <v>-0.95115210663232341</v>
      </c>
      <c r="BA434">
        <f t="shared" si="345"/>
        <v>3.3932629440159894</v>
      </c>
      <c r="BB434">
        <f t="shared" si="357"/>
        <v>10.612350288750205</v>
      </c>
      <c r="BC434">
        <f t="shared" si="358"/>
        <v>-1.4437589454709499</v>
      </c>
      <c r="BD434">
        <f t="shared" si="346"/>
        <v>-262.72129430426662</v>
      </c>
      <c r="BF434">
        <f t="shared" si="347"/>
        <v>-58.900171823290265</v>
      </c>
      <c r="BG434">
        <f t="shared" si="348"/>
        <v>-219.61432637363953</v>
      </c>
      <c r="BH434">
        <f t="shared" si="359"/>
        <v>-39.614326373639528</v>
      </c>
      <c r="BI434">
        <f t="shared" si="360"/>
        <v>-39.614326373639528</v>
      </c>
      <c r="BJ434">
        <f t="shared" si="349"/>
        <v>0</v>
      </c>
      <c r="BK434">
        <f t="shared" si="361"/>
        <v>0</v>
      </c>
      <c r="BM434">
        <f t="shared" si="362"/>
        <v>-69.512522112040472</v>
      </c>
      <c r="BN434">
        <f t="shared" si="350"/>
        <v>-136.89303206937291</v>
      </c>
      <c r="BQ434" s="56">
        <f t="shared" si="363"/>
        <v>27.514311089035338</v>
      </c>
    </row>
    <row r="435" spans="1:69" x14ac:dyDescent="0.25">
      <c r="A435">
        <f t="shared" ref="A435:A472" si="372">A434+5000</f>
        <v>1105000</v>
      </c>
      <c r="B435">
        <f t="shared" si="351"/>
        <v>1105</v>
      </c>
      <c r="C435">
        <f t="shared" si="320"/>
        <v>1.3705912431251099</v>
      </c>
      <c r="D435">
        <f t="shared" si="321"/>
        <v>0.75304172040620998</v>
      </c>
      <c r="F435">
        <f t="shared" si="322"/>
        <v>1.6156761900509096E-5</v>
      </c>
      <c r="G435">
        <f t="shared" si="323"/>
        <v>1.572145033424668E-3</v>
      </c>
      <c r="H435">
        <f t="shared" si="324"/>
        <v>-3.1400205049665755</v>
      </c>
      <c r="J435">
        <f t="shared" si="325"/>
        <v>15</v>
      </c>
      <c r="M435">
        <f t="shared" si="326"/>
        <v>2.4159893799009951E-3</v>
      </c>
      <c r="N435">
        <f t="shared" si="327"/>
        <v>-1.5707963250000001</v>
      </c>
      <c r="O435">
        <f t="shared" si="328"/>
        <v>297.85293623936275</v>
      </c>
      <c r="P435">
        <f t="shared" si="329"/>
        <v>1.5674389589230822</v>
      </c>
      <c r="Q435">
        <f t="shared" si="330"/>
        <v>282.12037368431743</v>
      </c>
      <c r="R435">
        <f t="shared" si="331"/>
        <v>1.5672517331132432</v>
      </c>
      <c r="S435">
        <f t="shared" si="332"/>
        <v>0.13796353288899713</v>
      </c>
      <c r="T435">
        <f t="shared" si="333"/>
        <v>-1.4323913373058108</v>
      </c>
      <c r="U435">
        <f t="shared" si="334"/>
        <v>0.67968880488944272</v>
      </c>
      <c r="V435">
        <f t="shared" si="335"/>
        <v>-0.8234580357760416</v>
      </c>
      <c r="X435">
        <f t="shared" si="352"/>
        <v>-43.980813650283572</v>
      </c>
      <c r="Y435">
        <f t="shared" si="336"/>
        <v>-176.4099118035117</v>
      </c>
      <c r="Z435">
        <f t="shared" si="353"/>
        <v>3.5900881964882956</v>
      </c>
      <c r="AC435">
        <v>1</v>
      </c>
      <c r="AD435">
        <f t="shared" si="337"/>
        <v>297.85125755385002</v>
      </c>
      <c r="AE435">
        <f t="shared" si="338"/>
        <v>-2.4815488566827942E-2</v>
      </c>
      <c r="AF435">
        <f t="shared" si="339"/>
        <v>2.2994950233527999E-2</v>
      </c>
      <c r="AG435">
        <f t="shared" si="367"/>
        <v>5962.2586088218177</v>
      </c>
      <c r="AH435">
        <f t="shared" si="368"/>
        <v>-6477.7857236891123</v>
      </c>
      <c r="AJ435">
        <f t="shared" si="340"/>
        <v>18000</v>
      </c>
      <c r="AK435">
        <f t="shared" si="341"/>
        <v>129221.622507978</v>
      </c>
      <c r="AL435">
        <v>1</v>
      </c>
      <c r="AM435">
        <f t="shared" si="342"/>
        <v>282.11860138562099</v>
      </c>
      <c r="AN435">
        <f t="shared" si="369"/>
        <v>458.2604637643006</v>
      </c>
      <c r="AO435">
        <f t="shared" si="370"/>
        <v>-62.178599532536062</v>
      </c>
      <c r="AQ435">
        <f t="shared" si="343"/>
        <v>2.0474597065048409E-3</v>
      </c>
      <c r="AR435">
        <f t="shared" si="344"/>
        <v>-4.5248859513756985</v>
      </c>
      <c r="AT435">
        <f t="shared" si="365"/>
        <v>-29299.034132881599</v>
      </c>
      <c r="AU435">
        <f t="shared" si="366"/>
        <v>-26991.803222783288</v>
      </c>
      <c r="AV435">
        <f t="shared" si="354"/>
        <v>-2.3971592417858512</v>
      </c>
      <c r="AW435">
        <f t="shared" si="355"/>
        <v>6835.7171965030575</v>
      </c>
      <c r="AX435">
        <f t="shared" si="356"/>
        <v>-9610.8015295039331</v>
      </c>
      <c r="AY435">
        <f t="shared" si="364"/>
        <v>-0.95255747224747178</v>
      </c>
      <c r="BA435">
        <f t="shared" si="345"/>
        <v>3.3777863464141222</v>
      </c>
      <c r="BB435">
        <f t="shared" si="357"/>
        <v>10.572643517441772</v>
      </c>
      <c r="BC435">
        <f t="shared" si="358"/>
        <v>-1.4446017695383793</v>
      </c>
      <c r="BD435">
        <f t="shared" si="346"/>
        <v>-262.76958456625755</v>
      </c>
      <c r="BF435">
        <f t="shared" si="347"/>
        <v>-59.000285748838181</v>
      </c>
      <c r="BG435">
        <f t="shared" si="348"/>
        <v>-219.53339486510893</v>
      </c>
      <c r="BH435">
        <f t="shared" si="359"/>
        <v>-39.533394865108932</v>
      </c>
      <c r="BI435">
        <f t="shared" si="360"/>
        <v>-39.533394865108932</v>
      </c>
      <c r="BJ435">
        <f t="shared" si="349"/>
        <v>0</v>
      </c>
      <c r="BK435">
        <f t="shared" si="361"/>
        <v>0</v>
      </c>
      <c r="BM435">
        <f t="shared" si="362"/>
        <v>-69.572929266279942</v>
      </c>
      <c r="BN435">
        <f t="shared" si="350"/>
        <v>-136.76381029885138</v>
      </c>
      <c r="BQ435" s="56">
        <f t="shared" si="363"/>
        <v>27.474604317726907</v>
      </c>
    </row>
    <row r="436" spans="1:69" x14ac:dyDescent="0.25">
      <c r="A436">
        <f t="shared" si="372"/>
        <v>1110000</v>
      </c>
      <c r="B436">
        <f t="shared" si="351"/>
        <v>1110</v>
      </c>
      <c r="C436">
        <f t="shared" si="320"/>
        <v>1.3734950868293341</v>
      </c>
      <c r="D436">
        <f t="shared" si="321"/>
        <v>0.75529465687512742</v>
      </c>
      <c r="F436">
        <f t="shared" si="322"/>
        <v>1.6011531114569181E-5</v>
      </c>
      <c r="G436">
        <f t="shared" si="323"/>
        <v>1.5650630779900801E-3</v>
      </c>
      <c r="H436">
        <f t="shared" si="324"/>
        <v>-3.14002758692201</v>
      </c>
      <c r="J436">
        <f t="shared" si="325"/>
        <v>15</v>
      </c>
      <c r="M436">
        <f t="shared" si="326"/>
        <v>2.4051065448563963E-3</v>
      </c>
      <c r="N436">
        <f t="shared" si="327"/>
        <v>-1.5707963250000001</v>
      </c>
      <c r="O436">
        <f t="shared" si="328"/>
        <v>299.20067192460868</v>
      </c>
      <c r="P436">
        <f t="shared" si="329"/>
        <v>1.5674540820889054</v>
      </c>
      <c r="Q436">
        <f t="shared" si="330"/>
        <v>283.39692045844077</v>
      </c>
      <c r="R436">
        <f t="shared" si="331"/>
        <v>1.5672676996186135</v>
      </c>
      <c r="S436">
        <f t="shared" si="332"/>
        <v>0.13735382601706178</v>
      </c>
      <c r="T436">
        <f t="shared" si="333"/>
        <v>-1.4330069045567142</v>
      </c>
      <c r="U436">
        <f t="shared" si="334"/>
        <v>0.67803640837296164</v>
      </c>
      <c r="V436">
        <f t="shared" si="335"/>
        <v>-0.82570844542022703</v>
      </c>
      <c r="X436">
        <f t="shared" si="352"/>
        <v>-44.061259595691681</v>
      </c>
      <c r="Y436">
        <f t="shared" si="336"/>
        <v>-176.44366089185206</v>
      </c>
      <c r="Z436">
        <f t="shared" si="353"/>
        <v>3.5563391081479381</v>
      </c>
      <c r="AC436">
        <v>1</v>
      </c>
      <c r="AD436">
        <f t="shared" si="337"/>
        <v>299.19900080069999</v>
      </c>
      <c r="AE436">
        <f t="shared" si="338"/>
        <v>-2.504057121122721E-2</v>
      </c>
      <c r="AF436">
        <f t="shared" si="339"/>
        <v>2.3098999782096001E-2</v>
      </c>
      <c r="AG436">
        <f t="shared" si="367"/>
        <v>5933.3040648280621</v>
      </c>
      <c r="AH436">
        <f t="shared" si="368"/>
        <v>-6475.3160034715011</v>
      </c>
      <c r="AJ436">
        <f t="shared" si="340"/>
        <v>18000</v>
      </c>
      <c r="AK436">
        <f t="shared" si="341"/>
        <v>129806.33573199601</v>
      </c>
      <c r="AL436">
        <v>1</v>
      </c>
      <c r="AM436">
        <f t="shared" si="342"/>
        <v>283.39515614302201</v>
      </c>
      <c r="AN436">
        <f t="shared" si="369"/>
        <v>458.2584826862614</v>
      </c>
      <c r="AO436">
        <f t="shared" si="370"/>
        <v>-61.898522741372787</v>
      </c>
      <c r="AQ436">
        <f t="shared" si="343"/>
        <v>2.0290556714033618E-3</v>
      </c>
      <c r="AR436">
        <f t="shared" si="344"/>
        <v>-4.5045035905154629</v>
      </c>
      <c r="AT436">
        <f t="shared" si="365"/>
        <v>-29156.045183096714</v>
      </c>
      <c r="AU436">
        <f t="shared" si="366"/>
        <v>-26739.728240298969</v>
      </c>
      <c r="AV436">
        <f t="shared" si="354"/>
        <v>-2.3993965665011308</v>
      </c>
      <c r="AW436">
        <f t="shared" si="355"/>
        <v>6805.9029018023921</v>
      </c>
      <c r="AX436">
        <f t="shared" si="356"/>
        <v>-9597.3250430995777</v>
      </c>
      <c r="AY436">
        <f t="shared" si="364"/>
        <v>-0.95395856760283271</v>
      </c>
      <c r="BA436">
        <f t="shared" si="345"/>
        <v>3.3624505360721058</v>
      </c>
      <c r="BB436">
        <f t="shared" si="357"/>
        <v>10.533118085821517</v>
      </c>
      <c r="BC436">
        <f t="shared" si="358"/>
        <v>-1.4454379988982979</v>
      </c>
      <c r="BD436">
        <f t="shared" si="346"/>
        <v>-262.8174969793406</v>
      </c>
      <c r="BF436">
        <f t="shared" si="347"/>
        <v>-59.099857255678039</v>
      </c>
      <c r="BG436">
        <f t="shared" si="348"/>
        <v>-219.45262929302194</v>
      </c>
      <c r="BH436">
        <f t="shared" si="359"/>
        <v>-39.452629293021943</v>
      </c>
      <c r="BI436">
        <f t="shared" si="360"/>
        <v>-39.452629293021943</v>
      </c>
      <c r="BJ436">
        <f t="shared" si="349"/>
        <v>0</v>
      </c>
      <c r="BK436">
        <f t="shared" si="361"/>
        <v>0</v>
      </c>
      <c r="BM436">
        <f t="shared" si="362"/>
        <v>-69.632975341499559</v>
      </c>
      <c r="BN436">
        <f t="shared" si="350"/>
        <v>-136.63513231368134</v>
      </c>
      <c r="BQ436" s="56">
        <f t="shared" si="363"/>
        <v>27.435078886106655</v>
      </c>
    </row>
    <row r="437" spans="1:69" x14ac:dyDescent="0.25">
      <c r="A437">
        <f t="shared" si="372"/>
        <v>1115000</v>
      </c>
      <c r="B437">
        <f t="shared" si="351"/>
        <v>1115</v>
      </c>
      <c r="C437">
        <f t="shared" si="320"/>
        <v>1.3764058725773318</v>
      </c>
      <c r="D437">
        <f t="shared" si="321"/>
        <v>0.75753807579327648</v>
      </c>
      <c r="F437">
        <f t="shared" si="322"/>
        <v>1.586824976120407E-5</v>
      </c>
      <c r="G437">
        <f t="shared" si="323"/>
        <v>1.5580446408047126E-3</v>
      </c>
      <c r="H437">
        <f t="shared" si="324"/>
        <v>-3.1400346053591957</v>
      </c>
      <c r="J437">
        <f t="shared" si="325"/>
        <v>15</v>
      </c>
      <c r="M437">
        <f t="shared" si="326"/>
        <v>2.3943213137135422E-3</v>
      </c>
      <c r="N437">
        <f t="shared" si="327"/>
        <v>-1.5707963250000001</v>
      </c>
      <c r="O437">
        <f t="shared" si="328"/>
        <v>300.54840767767104</v>
      </c>
      <c r="P437">
        <f t="shared" si="329"/>
        <v>1.5674690696224627</v>
      </c>
      <c r="Q437">
        <f t="shared" si="330"/>
        <v>284.67346730416233</v>
      </c>
      <c r="R437">
        <f t="shared" si="331"/>
        <v>1.567283522928401</v>
      </c>
      <c r="S437">
        <f t="shared" si="332"/>
        <v>0.13674943329470013</v>
      </c>
      <c r="T437">
        <f t="shared" si="333"/>
        <v>-1.4336170547236455</v>
      </c>
      <c r="U437">
        <f t="shared" si="334"/>
        <v>0.67638862610627482</v>
      </c>
      <c r="V437">
        <f t="shared" si="335"/>
        <v>-0.82794792834831266</v>
      </c>
      <c r="X437">
        <f t="shared" si="352"/>
        <v>-44.141350224386493</v>
      </c>
      <c r="Y437">
        <f t="shared" si="336"/>
        <v>-176.47703120124837</v>
      </c>
      <c r="Z437">
        <f t="shared" si="353"/>
        <v>3.5229687987516343</v>
      </c>
      <c r="AC437">
        <v>1</v>
      </c>
      <c r="AD437">
        <f t="shared" si="337"/>
        <v>300.54674404755002</v>
      </c>
      <c r="AE437">
        <f t="shared" si="338"/>
        <v>-2.5266670030093297E-2</v>
      </c>
      <c r="AF437">
        <f t="shared" si="339"/>
        <v>2.3203049330664E-2</v>
      </c>
      <c r="AG437">
        <f t="shared" si="367"/>
        <v>5904.5005575599125</v>
      </c>
      <c r="AH437">
        <f t="shared" si="368"/>
        <v>-6472.7297322032764</v>
      </c>
      <c r="AJ437">
        <f t="shared" si="340"/>
        <v>18000</v>
      </c>
      <c r="AK437">
        <f t="shared" si="341"/>
        <v>130391.04895601401</v>
      </c>
      <c r="AL437">
        <v>1</v>
      </c>
      <c r="AM437">
        <f t="shared" si="342"/>
        <v>284.67171090042297</v>
      </c>
      <c r="AN437">
        <f t="shared" si="369"/>
        <v>458.25652819925654</v>
      </c>
      <c r="AO437">
        <f t="shared" si="370"/>
        <v>-61.620957756272368</v>
      </c>
      <c r="AQ437">
        <f t="shared" si="343"/>
        <v>2.0108986686041006E-3</v>
      </c>
      <c r="AR437">
        <f t="shared" si="344"/>
        <v>-4.4843040309871443</v>
      </c>
      <c r="AT437">
        <f t="shared" si="365"/>
        <v>-29013.814677299521</v>
      </c>
      <c r="AU437">
        <f t="shared" si="366"/>
        <v>-26490.591654832479</v>
      </c>
      <c r="AV437">
        <f t="shared" si="354"/>
        <v>-2.4016230818524278</v>
      </c>
      <c r="AW437">
        <f t="shared" si="355"/>
        <v>6776.2234644770779</v>
      </c>
      <c r="AX437">
        <f t="shared" si="356"/>
        <v>-9583.8146742768167</v>
      </c>
      <c r="AY437">
        <f t="shared" si="364"/>
        <v>-0.95535535681135864</v>
      </c>
      <c r="BA437">
        <f t="shared" si="345"/>
        <v>3.3472535952861167</v>
      </c>
      <c r="BB437">
        <f t="shared" si="357"/>
        <v>10.493772334166334</v>
      </c>
      <c r="BC437">
        <f t="shared" si="358"/>
        <v>-1.4462677250410692</v>
      </c>
      <c r="BD437">
        <f t="shared" si="346"/>
        <v>-262.86503678552737</v>
      </c>
      <c r="BF437">
        <f t="shared" si="347"/>
        <v>-59.198891596162547</v>
      </c>
      <c r="BG437">
        <f t="shared" si="348"/>
        <v>-219.37203279020207</v>
      </c>
      <c r="BH437">
        <f t="shared" si="359"/>
        <v>-39.37203279020207</v>
      </c>
      <c r="BI437">
        <f t="shared" si="360"/>
        <v>-39.37203279020207</v>
      </c>
      <c r="BJ437">
        <f t="shared" si="349"/>
        <v>0</v>
      </c>
      <c r="BK437">
        <f t="shared" si="361"/>
        <v>0</v>
      </c>
      <c r="BM437">
        <f t="shared" si="362"/>
        <v>-69.692663930328877</v>
      </c>
      <c r="BN437">
        <f t="shared" si="350"/>
        <v>-136.5069960046747</v>
      </c>
      <c r="BQ437" s="56">
        <f t="shared" si="363"/>
        <v>27.395733134451472</v>
      </c>
    </row>
    <row r="438" spans="1:69" x14ac:dyDescent="0.25">
      <c r="A438">
        <f t="shared" si="372"/>
        <v>1120000</v>
      </c>
      <c r="B438">
        <f t="shared" si="351"/>
        <v>1120</v>
      </c>
      <c r="C438">
        <f t="shared" si="320"/>
        <v>1.3793235564197299</v>
      </c>
      <c r="D438">
        <f t="shared" si="321"/>
        <v>0.75977201490469026</v>
      </c>
      <c r="F438">
        <f t="shared" si="322"/>
        <v>1.5726883106072161E-5</v>
      </c>
      <c r="G438">
        <f t="shared" si="323"/>
        <v>1.5510888711253333E-3</v>
      </c>
      <c r="H438">
        <f t="shared" si="324"/>
        <v>-3.140041561128875</v>
      </c>
      <c r="J438">
        <f t="shared" si="325"/>
        <v>15</v>
      </c>
      <c r="M438">
        <f t="shared" si="326"/>
        <v>2.3836323792773215E-3</v>
      </c>
      <c r="N438">
        <f t="shared" si="327"/>
        <v>-1.5707963250000001</v>
      </c>
      <c r="O438">
        <f t="shared" si="328"/>
        <v>301.89614349764173</v>
      </c>
      <c r="P438">
        <f t="shared" si="329"/>
        <v>1.5674839233402311</v>
      </c>
      <c r="Q438">
        <f t="shared" si="330"/>
        <v>285.95001422052331</v>
      </c>
      <c r="R438">
        <f t="shared" si="331"/>
        <v>1.5672992049603724</v>
      </c>
      <c r="S438">
        <f t="shared" si="332"/>
        <v>0.13615028621956521</v>
      </c>
      <c r="T438">
        <f t="shared" si="333"/>
        <v>-1.4342218585517121</v>
      </c>
      <c r="U438">
        <f t="shared" si="334"/>
        <v>0.67474547393458373</v>
      </c>
      <c r="V438">
        <f t="shared" si="335"/>
        <v>-0.83017654164811205</v>
      </c>
      <c r="X438">
        <f t="shared" si="352"/>
        <v>-44.221088523084966</v>
      </c>
      <c r="Y438">
        <f t="shared" si="336"/>
        <v>-176.51002772820115</v>
      </c>
      <c r="Z438">
        <f t="shared" si="353"/>
        <v>3.4899722717988482</v>
      </c>
      <c r="AC438">
        <v>1</v>
      </c>
      <c r="AD438">
        <f t="shared" si="337"/>
        <v>301.89448729440005</v>
      </c>
      <c r="AE438">
        <f t="shared" si="338"/>
        <v>-2.5493785023426193E-2</v>
      </c>
      <c r="AF438">
        <f t="shared" si="339"/>
        <v>2.3307098879231998E-2</v>
      </c>
      <c r="AG438">
        <f t="shared" si="367"/>
        <v>5875.8477742190744</v>
      </c>
      <c r="AH438">
        <f t="shared" si="368"/>
        <v>-6470.0287568045596</v>
      </c>
      <c r="AJ438">
        <f t="shared" si="340"/>
        <v>18000</v>
      </c>
      <c r="AK438">
        <f t="shared" si="341"/>
        <v>130975.762180032</v>
      </c>
      <c r="AL438">
        <v>1</v>
      </c>
      <c r="AM438">
        <f t="shared" si="342"/>
        <v>285.94826565782398</v>
      </c>
      <c r="AN438">
        <f t="shared" si="369"/>
        <v>458.25459982951725</v>
      </c>
      <c r="AO438">
        <f t="shared" si="370"/>
        <v>-61.345870938631847</v>
      </c>
      <c r="AQ438">
        <f t="shared" si="343"/>
        <v>1.992984296678831E-3</v>
      </c>
      <c r="AR438">
        <f t="shared" si="344"/>
        <v>-4.4642848245605817</v>
      </c>
      <c r="AT438">
        <f t="shared" si="365"/>
        <v>-28872.340721129469</v>
      </c>
      <c r="AU438">
        <f t="shared" si="366"/>
        <v>-26244.352715585654</v>
      </c>
      <c r="AV438">
        <f t="shared" si="354"/>
        <v>-2.4038388433559028</v>
      </c>
      <c r="AW438">
        <f t="shared" si="355"/>
        <v>6746.6791374366412</v>
      </c>
      <c r="AX438">
        <f t="shared" si="356"/>
        <v>-9570.2711937659606</v>
      </c>
      <c r="AY438">
        <f t="shared" si="364"/>
        <v>-0.95674780559414963</v>
      </c>
      <c r="BA438">
        <f t="shared" si="345"/>
        <v>3.3321936410829998</v>
      </c>
      <c r="BB438">
        <f t="shared" si="357"/>
        <v>10.454604625464693</v>
      </c>
      <c r="BC438">
        <f t="shared" si="358"/>
        <v>-1.4470910377617532</v>
      </c>
      <c r="BD438">
        <f t="shared" si="346"/>
        <v>-262.9122091296959</v>
      </c>
      <c r="BF438">
        <f t="shared" si="347"/>
        <v>-59.297393952307274</v>
      </c>
      <c r="BG438">
        <f t="shared" si="348"/>
        <v>-219.29160838769747</v>
      </c>
      <c r="BH438">
        <f t="shared" si="359"/>
        <v>-39.291608387697465</v>
      </c>
      <c r="BI438">
        <f t="shared" si="360"/>
        <v>-39.291608387697465</v>
      </c>
      <c r="BJ438">
        <f t="shared" si="349"/>
        <v>0</v>
      </c>
      <c r="BK438">
        <f t="shared" si="361"/>
        <v>0</v>
      </c>
      <c r="BM438">
        <f t="shared" si="362"/>
        <v>-69.751998577771971</v>
      </c>
      <c r="BN438">
        <f t="shared" si="350"/>
        <v>-136.37939925800157</v>
      </c>
      <c r="BQ438" s="56">
        <f t="shared" si="363"/>
        <v>27.356565425749832</v>
      </c>
    </row>
    <row r="439" spans="1:69" x14ac:dyDescent="0.25">
      <c r="A439">
        <f t="shared" si="372"/>
        <v>1125000</v>
      </c>
      <c r="B439">
        <f t="shared" si="351"/>
        <v>1125</v>
      </c>
      <c r="C439">
        <f t="shared" si="320"/>
        <v>1.3822480946745186</v>
      </c>
      <c r="D439">
        <f t="shared" si="321"/>
        <v>0.76199651201356922</v>
      </c>
      <c r="F439">
        <f t="shared" si="322"/>
        <v>1.5587397185009862E-5</v>
      </c>
      <c r="G439">
        <f t="shared" si="323"/>
        <v>1.5441949333341891E-3</v>
      </c>
      <c r="H439">
        <f t="shared" si="324"/>
        <v>-3.1400484550666659</v>
      </c>
      <c r="J439">
        <f t="shared" si="325"/>
        <v>15</v>
      </c>
      <c r="M439">
        <f t="shared" si="326"/>
        <v>2.3730384575916443E-3</v>
      </c>
      <c r="N439">
        <f t="shared" si="327"/>
        <v>-1.5707963250000001</v>
      </c>
      <c r="O439">
        <f t="shared" si="328"/>
        <v>303.2438793836285</v>
      </c>
      <c r="P439">
        <f t="shared" si="329"/>
        <v>1.5674986450263948</v>
      </c>
      <c r="Q439">
        <f t="shared" si="330"/>
        <v>287.22656120658172</v>
      </c>
      <c r="R439">
        <f t="shared" si="331"/>
        <v>1.5673147475982014</v>
      </c>
      <c r="S439">
        <f t="shared" si="332"/>
        <v>0.13555631744984459</v>
      </c>
      <c r="T439">
        <f t="shared" si="333"/>
        <v>-1.434821385567292</v>
      </c>
      <c r="U439">
        <f t="shared" si="334"/>
        <v>0.67310696698480987</v>
      </c>
      <c r="V439">
        <f t="shared" si="335"/>
        <v>-0.8323943422865191</v>
      </c>
      <c r="X439">
        <f t="shared" si="352"/>
        <v>-44.300477441546306</v>
      </c>
      <c r="Y439">
        <f t="shared" si="336"/>
        <v>-176.54265539194461</v>
      </c>
      <c r="Z439">
        <f t="shared" si="353"/>
        <v>3.4573446080553936</v>
      </c>
      <c r="AC439">
        <v>1</v>
      </c>
      <c r="AD439">
        <f t="shared" si="337"/>
        <v>303.24223054124997</v>
      </c>
      <c r="AE439">
        <f t="shared" si="338"/>
        <v>-2.5721916191225908E-2</v>
      </c>
      <c r="AF439">
        <f t="shared" si="339"/>
        <v>2.34111484278E-2</v>
      </c>
      <c r="AG439">
        <f t="shared" si="367"/>
        <v>5847.3453884957999</v>
      </c>
      <c r="AH439">
        <f t="shared" si="368"/>
        <v>-6467.2149036589626</v>
      </c>
      <c r="AJ439">
        <f t="shared" si="340"/>
        <v>18000</v>
      </c>
      <c r="AK439">
        <f t="shared" si="341"/>
        <v>131560.47540405</v>
      </c>
      <c r="AL439">
        <v>1</v>
      </c>
      <c r="AM439">
        <f t="shared" si="342"/>
        <v>287.224820415225</v>
      </c>
      <c r="AN439">
        <f t="shared" si="369"/>
        <v>458.25269711377956</v>
      </c>
      <c r="AO439">
        <f t="shared" si="370"/>
        <v>-61.073229247831328</v>
      </c>
      <c r="AQ439">
        <f t="shared" si="343"/>
        <v>1.9753082517909625E-3</v>
      </c>
      <c r="AR439">
        <f t="shared" si="344"/>
        <v>-4.4444435665296655</v>
      </c>
      <c r="AT439">
        <f t="shared" si="365"/>
        <v>-28731.621362334878</v>
      </c>
      <c r="AU439">
        <f t="shared" si="366"/>
        <v>-26000.971336142367</v>
      </c>
      <c r="AV439">
        <f t="shared" si="354"/>
        <v>-2.4060439064347365</v>
      </c>
      <c r="AW439">
        <f t="shared" si="355"/>
        <v>6717.2701451508665</v>
      </c>
      <c r="AX439">
        <f t="shared" si="356"/>
        <v>-9556.6953723803163</v>
      </c>
      <c r="AY439">
        <f t="shared" si="364"/>
        <v>-0.95813588123534099</v>
      </c>
      <c r="BA439">
        <f t="shared" si="345"/>
        <v>3.3172688244368405</v>
      </c>
      <c r="BB439">
        <f t="shared" si="357"/>
        <v>10.415613345004349</v>
      </c>
      <c r="BC439">
        <f t="shared" si="358"/>
        <v>-1.4479080251993954</v>
      </c>
      <c r="BD439">
        <f t="shared" si="346"/>
        <v>-262.9590190618415</v>
      </c>
      <c r="BF439">
        <f t="shared" si="347"/>
        <v>-59.395369437002614</v>
      </c>
      <c r="BG439">
        <f t="shared" si="348"/>
        <v>-219.21135901735971</v>
      </c>
      <c r="BH439">
        <f t="shared" si="359"/>
        <v>-39.211359017359712</v>
      </c>
      <c r="BI439">
        <f t="shared" si="360"/>
        <v>-39.211359017359712</v>
      </c>
      <c r="BJ439">
        <f t="shared" si="349"/>
        <v>0</v>
      </c>
      <c r="BK439">
        <f t="shared" si="361"/>
        <v>0</v>
      </c>
      <c r="BM439">
        <f t="shared" si="362"/>
        <v>-69.81098278200696</v>
      </c>
      <c r="BN439">
        <f t="shared" si="350"/>
        <v>-136.25233995551821</v>
      </c>
      <c r="BQ439" s="56">
        <f t="shared" si="363"/>
        <v>27.317574145289484</v>
      </c>
    </row>
    <row r="440" spans="1:69" x14ac:dyDescent="0.25">
      <c r="A440">
        <f t="shared" si="372"/>
        <v>1130000</v>
      </c>
      <c r="B440">
        <f t="shared" si="351"/>
        <v>1130</v>
      </c>
      <c r="C440">
        <f t="shared" si="320"/>
        <v>1.385179443926404</v>
      </c>
      <c r="D440">
        <f t="shared" si="321"/>
        <v>0.76421160497900942</v>
      </c>
      <c r="F440">
        <f t="shared" si="322"/>
        <v>1.5449758783629073E-5</v>
      </c>
      <c r="G440">
        <f t="shared" si="323"/>
        <v>1.5373620066043432E-3</v>
      </c>
      <c r="H440">
        <f t="shared" si="324"/>
        <v>-3.1400552879933961</v>
      </c>
      <c r="J440">
        <f t="shared" si="325"/>
        <v>15</v>
      </c>
      <c r="M440">
        <f t="shared" si="326"/>
        <v>2.3625382874253096E-3</v>
      </c>
      <c r="N440">
        <f t="shared" si="327"/>
        <v>-1.5707963250000001</v>
      </c>
      <c r="O440">
        <f t="shared" si="328"/>
        <v>304.59161533475515</v>
      </c>
      <c r="P440">
        <f t="shared" si="329"/>
        <v>1.5675132364335607</v>
      </c>
      <c r="Q440">
        <f t="shared" si="330"/>
        <v>288.50310826141254</v>
      </c>
      <c r="R440">
        <f t="shared" si="331"/>
        <v>1.5673301526922228</v>
      </c>
      <c r="S440">
        <f t="shared" si="332"/>
        <v>0.13496746078004684</v>
      </c>
      <c r="T440">
        <f t="shared" si="333"/>
        <v>-1.4354157041039972</v>
      </c>
      <c r="U440">
        <f t="shared" si="334"/>
        <v>0.67147311967854006</v>
      </c>
      <c r="V440">
        <f t="shared" si="335"/>
        <v>-0.83460138710447107</v>
      </c>
      <c r="X440">
        <f t="shared" si="352"/>
        <v>-44.379519893188657</v>
      </c>
      <c r="Y440">
        <f t="shared" si="336"/>
        <v>-176.57491903588229</v>
      </c>
      <c r="Z440">
        <f t="shared" si="353"/>
        <v>3.4250809641177113</v>
      </c>
      <c r="AC440">
        <v>1</v>
      </c>
      <c r="AD440">
        <f t="shared" si="337"/>
        <v>304.5899737881</v>
      </c>
      <c r="AE440">
        <f t="shared" si="338"/>
        <v>-2.5951063533492438E-2</v>
      </c>
      <c r="AF440">
        <f t="shared" si="339"/>
        <v>2.3515197976368002E-2</v>
      </c>
      <c r="AG440">
        <f t="shared" si="367"/>
        <v>5818.9930609637322</v>
      </c>
      <c r="AH440">
        <f t="shared" si="368"/>
        <v>-6464.2899787101742</v>
      </c>
      <c r="AJ440">
        <f t="shared" si="340"/>
        <v>18000</v>
      </c>
      <c r="AK440">
        <f t="shared" si="341"/>
        <v>132145.18862806802</v>
      </c>
      <c r="AL440">
        <v>1</v>
      </c>
      <c r="AM440">
        <f t="shared" si="342"/>
        <v>288.50137517262601</v>
      </c>
      <c r="AN440">
        <f t="shared" si="369"/>
        <v>458.25081959900535</v>
      </c>
      <c r="AO440">
        <f t="shared" si="370"/>
        <v>-60.803000228005203</v>
      </c>
      <c r="AQ440">
        <f t="shared" si="343"/>
        <v>1.95786632511036E-3</v>
      </c>
      <c r="AR440">
        <f t="shared" si="344"/>
        <v>-4.4247778947494139</v>
      </c>
      <c r="AT440">
        <f t="shared" si="365"/>
        <v>-28591.654592486826</v>
      </c>
      <c r="AU440">
        <f t="shared" si="366"/>
        <v>-25760.408081517617</v>
      </c>
      <c r="AV440">
        <f t="shared" si="354"/>
        <v>-2.4082383264134744</v>
      </c>
      <c r="AW440">
        <f t="shared" si="355"/>
        <v>6687.9966844443725</v>
      </c>
      <c r="AX440">
        <f t="shared" si="356"/>
        <v>-9543.0879806134599</v>
      </c>
      <c r="AY440">
        <f t="shared" si="364"/>
        <v>-0.95951955253824972</v>
      </c>
      <c r="BA440">
        <f t="shared" si="345"/>
        <v>3.3024773295066607</v>
      </c>
      <c r="BB440">
        <f t="shared" si="357"/>
        <v>10.37679689996928</v>
      </c>
      <c r="BC440">
        <f t="shared" si="358"/>
        <v>-1.4487187738752247</v>
      </c>
      <c r="BD440">
        <f t="shared" si="346"/>
        <v>-263.00547153926544</v>
      </c>
      <c r="BF440">
        <f t="shared" si="347"/>
        <v>-59.492823095199583</v>
      </c>
      <c r="BG440">
        <f t="shared" si="348"/>
        <v>-219.13128751435357</v>
      </c>
      <c r="BH440">
        <f t="shared" si="359"/>
        <v>-39.131287514353573</v>
      </c>
      <c r="BI440">
        <f t="shared" si="360"/>
        <v>-39.131287514353573</v>
      </c>
      <c r="BJ440">
        <f t="shared" si="349"/>
        <v>0</v>
      </c>
      <c r="BK440">
        <f t="shared" si="361"/>
        <v>0</v>
      </c>
      <c r="BM440">
        <f t="shared" si="362"/>
        <v>-69.869619995168875</v>
      </c>
      <c r="BN440">
        <f t="shared" si="350"/>
        <v>-136.12581597508816</v>
      </c>
      <c r="BQ440" s="56">
        <f t="shared" si="363"/>
        <v>27.278757700254417</v>
      </c>
    </row>
    <row r="441" spans="1:69" x14ac:dyDescent="0.25">
      <c r="A441">
        <f t="shared" si="372"/>
        <v>1135000</v>
      </c>
      <c r="B441">
        <f t="shared" si="351"/>
        <v>1135</v>
      </c>
      <c r="C441">
        <f t="shared" si="320"/>
        <v>1.3881175610261354</v>
      </c>
      <c r="D441">
        <f t="shared" si="321"/>
        <v>0.76641733170983006</v>
      </c>
      <c r="F441">
        <f t="shared" si="322"/>
        <v>1.5313935417542426E-5</v>
      </c>
      <c r="G441">
        <f t="shared" si="323"/>
        <v>1.5305892845738564E-3</v>
      </c>
      <c r="H441">
        <f t="shared" si="324"/>
        <v>-3.1400620607154264</v>
      </c>
      <c r="J441">
        <f t="shared" si="325"/>
        <v>15</v>
      </c>
      <c r="M441">
        <f t="shared" si="326"/>
        <v>2.3521306297714538E-3</v>
      </c>
      <c r="N441">
        <f t="shared" si="327"/>
        <v>-1.5707963250000001</v>
      </c>
      <c r="O441">
        <f t="shared" si="328"/>
        <v>305.93935135016085</v>
      </c>
      <c r="P441">
        <f t="shared" si="329"/>
        <v>1.5675276992834524</v>
      </c>
      <c r="Q441">
        <f t="shared" si="330"/>
        <v>289.77965538410666</v>
      </c>
      <c r="R441">
        <f t="shared" si="331"/>
        <v>1.567345422060167</v>
      </c>
      <c r="S441">
        <f t="shared" si="332"/>
        <v>0.13438365111738465</v>
      </c>
      <c r="T441">
        <f t="shared" si="333"/>
        <v>-1.4360048813279784</v>
      </c>
      <c r="U441">
        <f t="shared" si="334"/>
        <v>0.66984394574482209</v>
      </c>
      <c r="V441">
        <f t="shared" si="335"/>
        <v>-0.83679773281205838</v>
      </c>
      <c r="X441">
        <f t="shared" si="352"/>
        <v>-44.458218755692762</v>
      </c>
      <c r="Y441">
        <f t="shared" si="336"/>
        <v>-176.60682342898988</v>
      </c>
      <c r="Z441">
        <f t="shared" si="353"/>
        <v>3.393176571010116</v>
      </c>
      <c r="AC441">
        <v>1</v>
      </c>
      <c r="AD441">
        <f t="shared" si="337"/>
        <v>305.93771703495003</v>
      </c>
      <c r="AE441">
        <f t="shared" si="338"/>
        <v>-2.6181227050225773E-2</v>
      </c>
      <c r="AF441">
        <f t="shared" si="339"/>
        <v>2.3619247524936E-2</v>
      </c>
      <c r="AG441">
        <f t="shared" si="367"/>
        <v>5790.7904394675706</v>
      </c>
      <c r="AH441">
        <f t="shared" si="368"/>
        <v>-6461.2557675624203</v>
      </c>
      <c r="AJ441">
        <f t="shared" si="340"/>
        <v>18000</v>
      </c>
      <c r="AK441">
        <f t="shared" si="341"/>
        <v>132729.90185208601</v>
      </c>
      <c r="AL441">
        <v>1</v>
      </c>
      <c r="AM441">
        <f t="shared" si="342"/>
        <v>289.77792993002697</v>
      </c>
      <c r="AN441">
        <f t="shared" si="369"/>
        <v>458.2489668421133</v>
      </c>
      <c r="AO441">
        <f t="shared" si="370"/>
        <v>-60.535151995163027</v>
      </c>
      <c r="AQ441">
        <f t="shared" si="343"/>
        <v>1.9406544003077101E-3</v>
      </c>
      <c r="AR441">
        <f t="shared" si="344"/>
        <v>-4.4052854886985022</v>
      </c>
      <c r="AT441">
        <f t="shared" si="365"/>
        <v>-28452.438348664618</v>
      </c>
      <c r="AU441">
        <f t="shared" si="366"/>
        <v>-25522.624155517347</v>
      </c>
      <c r="AV441">
        <f t="shared" si="354"/>
        <v>-2.4104221585125352</v>
      </c>
      <c r="AW441">
        <f t="shared" si="355"/>
        <v>6658.8589252723114</v>
      </c>
      <c r="AX441">
        <f t="shared" si="356"/>
        <v>-9529.4497882543856</v>
      </c>
      <c r="AY441">
        <f t="shared" si="364"/>
        <v>-0.96089878978274401</v>
      </c>
      <c r="BA441">
        <f t="shared" si="345"/>
        <v>3.2878173728945455</v>
      </c>
      <c r="BB441">
        <f t="shared" si="357"/>
        <v>10.338153719045691</v>
      </c>
      <c r="BC441">
        <f t="shared" si="358"/>
        <v>-1.4495233687297913</v>
      </c>
      <c r="BD441">
        <f t="shared" si="346"/>
        <v>-263.05157142870269</v>
      </c>
      <c r="BF441">
        <f t="shared" si="347"/>
        <v>-59.589759905070288</v>
      </c>
      <c r="BG441">
        <f t="shared" si="348"/>
        <v>-219.05139661959984</v>
      </c>
      <c r="BH441">
        <f t="shared" si="359"/>
        <v>-39.051396619599842</v>
      </c>
      <c r="BI441">
        <f t="shared" si="360"/>
        <v>-39.051396619599842</v>
      </c>
      <c r="BJ441">
        <f t="shared" si="349"/>
        <v>0</v>
      </c>
      <c r="BK441">
        <f t="shared" si="361"/>
        <v>0</v>
      </c>
      <c r="BM441">
        <f t="shared" si="362"/>
        <v>-69.927913624115973</v>
      </c>
      <c r="BN441">
        <f t="shared" si="350"/>
        <v>-135.99982519089716</v>
      </c>
      <c r="BQ441" s="56">
        <f t="shared" si="363"/>
        <v>27.240114519330831</v>
      </c>
    </row>
    <row r="442" spans="1:69" x14ac:dyDescent="0.25">
      <c r="A442">
        <f t="shared" si="372"/>
        <v>1140000</v>
      </c>
      <c r="B442">
        <f t="shared" si="351"/>
        <v>1140</v>
      </c>
      <c r="C442">
        <f t="shared" si="320"/>
        <v>1.391062403089808</v>
      </c>
      <c r="D442">
        <f t="shared" si="321"/>
        <v>0.76861373015950019</v>
      </c>
      <c r="F442">
        <f t="shared" si="322"/>
        <v>1.5179895313194352E-5</v>
      </c>
      <c r="G442">
        <f t="shared" si="323"/>
        <v>1.5238759750285426E-3</v>
      </c>
      <c r="H442">
        <f t="shared" si="324"/>
        <v>-3.1400687740249715</v>
      </c>
      <c r="J442">
        <f t="shared" si="325"/>
        <v>15</v>
      </c>
      <c r="M442">
        <f t="shared" si="326"/>
        <v>2.341814267360175E-3</v>
      </c>
      <c r="N442">
        <f t="shared" si="327"/>
        <v>-1.5707963250000001</v>
      </c>
      <c r="O442">
        <f t="shared" si="328"/>
        <v>307.28708742899966</v>
      </c>
      <c r="P442">
        <f t="shared" si="329"/>
        <v>1.5675420352675895</v>
      </c>
      <c r="Q442">
        <f t="shared" si="330"/>
        <v>291.05620257377143</v>
      </c>
      <c r="R442">
        <f t="shared" si="331"/>
        <v>1.5673605574878753</v>
      </c>
      <c r="S442">
        <f t="shared" si="332"/>
        <v>0.13380482445873815</v>
      </c>
      <c r="T442">
        <f t="shared" si="333"/>
        <v>-1.4365889832625929</v>
      </c>
      <c r="U442">
        <f t="shared" si="334"/>
        <v>0.66821945823280471</v>
      </c>
      <c r="V442">
        <f t="shared" si="335"/>
        <v>-0.83898343598378189</v>
      </c>
      <c r="X442">
        <f t="shared" si="352"/>
        <v>-44.536576871592843</v>
      </c>
      <c r="Y442">
        <f t="shared" si="336"/>
        <v>-176.63837326718615</v>
      </c>
      <c r="Z442">
        <f t="shared" si="353"/>
        <v>3.3616267328138463</v>
      </c>
      <c r="AC442">
        <v>1</v>
      </c>
      <c r="AD442">
        <f t="shared" si="337"/>
        <v>307.2854602818</v>
      </c>
      <c r="AE442">
        <f t="shared" si="338"/>
        <v>-2.641240674142593E-2</v>
      </c>
      <c r="AF442">
        <f t="shared" si="339"/>
        <v>2.3723297073503999E-2</v>
      </c>
      <c r="AG442">
        <f t="shared" si="367"/>
        <v>5762.7371595036766</v>
      </c>
      <c r="AH442">
        <f t="shared" si="368"/>
        <v>-6458.1140355846592</v>
      </c>
      <c r="AJ442">
        <f t="shared" si="340"/>
        <v>18000</v>
      </c>
      <c r="AK442">
        <f t="shared" si="341"/>
        <v>133314.615076104</v>
      </c>
      <c r="AL442">
        <v>1</v>
      </c>
      <c r="AM442">
        <f t="shared" si="342"/>
        <v>291.05448468742799</v>
      </c>
      <c r="AN442">
        <f t="shared" si="369"/>
        <v>458.24713840971697</v>
      </c>
      <c r="AO442">
        <f t="shared" si="370"/>
        <v>-60.269653224649289</v>
      </c>
      <c r="AQ442">
        <f t="shared" si="343"/>
        <v>1.9236684511256441E-3</v>
      </c>
      <c r="AR442">
        <f t="shared" si="344"/>
        <v>-4.3859640685664685</v>
      </c>
      <c r="AT442">
        <f t="shared" si="365"/>
        <v>-28313.97051511324</v>
      </c>
      <c r="AU442">
        <f t="shared" si="366"/>
        <v>-25287.581388399944</v>
      </c>
      <c r="AV442">
        <f t="shared" si="354"/>
        <v>-2.4125954578428814</v>
      </c>
      <c r="AW442">
        <f t="shared" si="355"/>
        <v>6629.857011477673</v>
      </c>
      <c r="AX442">
        <f t="shared" si="356"/>
        <v>-9515.7815640199406</v>
      </c>
      <c r="AY442">
        <f t="shared" si="364"/>
        <v>-0.96227356468379543</v>
      </c>
      <c r="BA442">
        <f t="shared" si="345"/>
        <v>3.2732872029236013</v>
      </c>
      <c r="BB442">
        <f t="shared" si="357"/>
        <v>10.299682252036796</v>
      </c>
      <c r="BC442">
        <f t="shared" si="358"/>
        <v>-1.450321893159086</v>
      </c>
      <c r="BD442">
        <f t="shared" si="346"/>
        <v>-263.0973235083917</v>
      </c>
      <c r="BF442">
        <f t="shared" si="347"/>
        <v>-59.686184779143538</v>
      </c>
      <c r="BG442">
        <f t="shared" si="348"/>
        <v>-218.97168898215375</v>
      </c>
      <c r="BH442">
        <f t="shared" si="359"/>
        <v>-38.971688982153751</v>
      </c>
      <c r="BI442">
        <f t="shared" si="360"/>
        <v>-38.971688982153751</v>
      </c>
      <c r="BJ442">
        <f t="shared" si="349"/>
        <v>0</v>
      </c>
      <c r="BK442">
        <f t="shared" si="361"/>
        <v>0</v>
      </c>
      <c r="BM442">
        <f t="shared" si="362"/>
        <v>-69.985867031180334</v>
      </c>
      <c r="BN442">
        <f t="shared" si="350"/>
        <v>-135.87436547376211</v>
      </c>
      <c r="BQ442" s="56">
        <f t="shared" si="363"/>
        <v>27.201643052321934</v>
      </c>
    </row>
    <row r="443" spans="1:69" x14ac:dyDescent="0.25">
      <c r="A443">
        <f t="shared" si="372"/>
        <v>1145000</v>
      </c>
      <c r="B443">
        <f t="shared" si="351"/>
        <v>1145</v>
      </c>
      <c r="C443">
        <f t="shared" si="320"/>
        <v>1.3940139274981425</v>
      </c>
      <c r="D443">
        <f t="shared" si="321"/>
        <v>0.77080083832116397</v>
      </c>
      <c r="F443">
        <f t="shared" si="322"/>
        <v>1.5047607389276819E-5</v>
      </c>
      <c r="G443">
        <f t="shared" si="323"/>
        <v>1.5172212995930409E-3</v>
      </c>
      <c r="H443">
        <f t="shared" si="324"/>
        <v>-3.1400754287004071</v>
      </c>
      <c r="J443">
        <f t="shared" si="325"/>
        <v>15</v>
      </c>
      <c r="M443">
        <f t="shared" si="326"/>
        <v>2.33158800418393E-3</v>
      </c>
      <c r="N443">
        <f t="shared" si="327"/>
        <v>-1.5707963250000001</v>
      </c>
      <c r="O443">
        <f t="shared" si="328"/>
        <v>308.6348235704408</v>
      </c>
      <c r="P443">
        <f t="shared" si="329"/>
        <v>1.5675562460479451</v>
      </c>
      <c r="Q443">
        <f t="shared" si="330"/>
        <v>292.33274982952929</v>
      </c>
      <c r="R443">
        <f t="shared" si="331"/>
        <v>1.5673755607299955</v>
      </c>
      <c r="S443">
        <f t="shared" si="332"/>
        <v>0.13323091786818184</v>
      </c>
      <c r="T443">
        <f t="shared" si="333"/>
        <v>-1.4371680748124549</v>
      </c>
      <c r="U443">
        <f t="shared" si="334"/>
        <v>0.66659966952422689</v>
      </c>
      <c r="V443">
        <f t="shared" si="335"/>
        <v>-0.84115855305395082</v>
      </c>
      <c r="X443">
        <f t="shared" si="352"/>
        <v>-44.614597048854996</v>
      </c>
      <c r="Y443">
        <f t="shared" si="336"/>
        <v>-176.66957317467222</v>
      </c>
      <c r="Z443">
        <f t="shared" si="353"/>
        <v>3.3304268253277769</v>
      </c>
      <c r="AC443">
        <v>1</v>
      </c>
      <c r="AD443">
        <f t="shared" si="337"/>
        <v>308.63320352865003</v>
      </c>
      <c r="AE443">
        <f t="shared" si="338"/>
        <v>-2.6644602607092897E-2</v>
      </c>
      <c r="AF443">
        <f t="shared" si="339"/>
        <v>2.3827346622072001E-2</v>
      </c>
      <c r="AG443">
        <f t="shared" si="367"/>
        <v>5734.8328445936768</v>
      </c>
      <c r="AH443">
        <f t="shared" si="368"/>
        <v>-6454.8665280183086</v>
      </c>
      <c r="AJ443">
        <f t="shared" si="340"/>
        <v>18000</v>
      </c>
      <c r="AK443">
        <f t="shared" si="341"/>
        <v>133899.32830012203</v>
      </c>
      <c r="AL443">
        <v>1</v>
      </c>
      <c r="AM443">
        <f t="shared" si="342"/>
        <v>292.331039444829</v>
      </c>
      <c r="AN443">
        <f t="shared" si="369"/>
        <v>458.24533387787181</v>
      </c>
      <c r="AO443">
        <f t="shared" si="370"/>
        <v>-60.006473138931753</v>
      </c>
      <c r="AQ443">
        <f t="shared" si="343"/>
        <v>1.9069045390239434E-3</v>
      </c>
      <c r="AR443">
        <f t="shared" si="344"/>
        <v>-4.3668113943648299</v>
      </c>
      <c r="AT443">
        <f t="shared" si="365"/>
        <v>-28176.248924872598</v>
      </c>
      <c r="AU443">
        <f t="shared" si="366"/>
        <v>-25055.242224830406</v>
      </c>
      <c r="AV443">
        <f t="shared" si="354"/>
        <v>-2.4147582794008486</v>
      </c>
      <c r="AW443">
        <f t="shared" si="355"/>
        <v>6600.9910615306308</v>
      </c>
      <c r="AX443">
        <f t="shared" si="356"/>
        <v>-9502.0840752039221</v>
      </c>
      <c r="AY443">
        <f t="shared" si="364"/>
        <v>-0.9636438503511795</v>
      </c>
      <c r="BA443">
        <f t="shared" si="345"/>
        <v>3.258885098935119</v>
      </c>
      <c r="BB443">
        <f t="shared" si="357"/>
        <v>10.261380969486193</v>
      </c>
      <c r="BC443">
        <f t="shared" si="358"/>
        <v>-1.4511144290496691</v>
      </c>
      <c r="BD443">
        <f t="shared" si="346"/>
        <v>-263.14273247008663</v>
      </c>
      <c r="BF443">
        <f t="shared" si="347"/>
        <v>-59.782102565416452</v>
      </c>
      <c r="BG443">
        <f t="shared" si="348"/>
        <v>-218.89216716152049</v>
      </c>
      <c r="BH443">
        <f t="shared" si="359"/>
        <v>-38.89216716152049</v>
      </c>
      <c r="BI443">
        <f t="shared" si="360"/>
        <v>-38.89216716152049</v>
      </c>
      <c r="BJ443">
        <f t="shared" si="349"/>
        <v>0</v>
      </c>
      <c r="BK443">
        <f t="shared" si="361"/>
        <v>0</v>
      </c>
      <c r="BM443">
        <f t="shared" si="362"/>
        <v>-70.043483534902649</v>
      </c>
      <c r="BN443">
        <f t="shared" si="350"/>
        <v>-135.74943469143389</v>
      </c>
      <c r="BQ443" s="56">
        <f t="shared" si="363"/>
        <v>27.163341769771332</v>
      </c>
    </row>
    <row r="444" spans="1:69" x14ac:dyDescent="0.25">
      <c r="A444">
        <f t="shared" si="372"/>
        <v>1150000</v>
      </c>
      <c r="B444">
        <f t="shared" si="351"/>
        <v>1150</v>
      </c>
      <c r="C444">
        <f t="shared" si="320"/>
        <v>1.39697209189574</v>
      </c>
      <c r="D444">
        <f t="shared" si="321"/>
        <v>0.772978694222762</v>
      </c>
      <c r="F444">
        <f t="shared" si="322"/>
        <v>1.4917041238709487E-5</v>
      </c>
      <c r="G444">
        <f t="shared" si="323"/>
        <v>1.5106244934299431E-3</v>
      </c>
      <c r="H444">
        <f t="shared" si="324"/>
        <v>-3.1400820255065702</v>
      </c>
      <c r="J444">
        <f t="shared" si="325"/>
        <v>15</v>
      </c>
      <c r="M444">
        <f t="shared" si="326"/>
        <v>2.3214506650353042E-3</v>
      </c>
      <c r="N444">
        <f t="shared" si="327"/>
        <v>-1.5707963250000001</v>
      </c>
      <c r="O444">
        <f t="shared" si="328"/>
        <v>309.98255977366756</v>
      </c>
      <c r="P444">
        <f t="shared" si="329"/>
        <v>1.5675703332575894</v>
      </c>
      <c r="Q444">
        <f t="shared" si="330"/>
        <v>293.60929715051833</v>
      </c>
      <c r="R444">
        <f t="shared" si="331"/>
        <v>1.567390433510661</v>
      </c>
      <c r="S444">
        <f t="shared" si="332"/>
        <v>0.13266186945505917</v>
      </c>
      <c r="T444">
        <f t="shared" si="333"/>
        <v>-1.4377422197868834</v>
      </c>
      <c r="U444">
        <f t="shared" si="334"/>
        <v>0.66498459134575194</v>
      </c>
      <c r="V444">
        <f t="shared" si="335"/>
        <v>-0.84332314031222178</v>
      </c>
      <c r="X444">
        <f t="shared" si="352"/>
        <v>-44.692282061443571</v>
      </c>
      <c r="Y444">
        <f t="shared" si="336"/>
        <v>-176.70042770524029</v>
      </c>
      <c r="Z444">
        <f t="shared" si="353"/>
        <v>3.299572294759713</v>
      </c>
      <c r="AC444">
        <v>1</v>
      </c>
      <c r="AD444">
        <f t="shared" si="337"/>
        <v>309.9809467755</v>
      </c>
      <c r="AE444">
        <f t="shared" si="338"/>
        <v>-2.6877814647226682E-2</v>
      </c>
      <c r="AF444">
        <f t="shared" si="339"/>
        <v>2.3931396170639999E-2</v>
      </c>
      <c r="AG444">
        <f t="shared" si="367"/>
        <v>5707.0771066510952</v>
      </c>
      <c r="AH444">
        <f t="shared" si="368"/>
        <v>-6451.5149700883467</v>
      </c>
      <c r="AJ444">
        <f t="shared" si="340"/>
        <v>18000</v>
      </c>
      <c r="AK444">
        <f t="shared" si="341"/>
        <v>134484.04152414002</v>
      </c>
      <c r="AL444">
        <v>1</v>
      </c>
      <c r="AM444">
        <f t="shared" si="342"/>
        <v>293.60759420223002</v>
      </c>
      <c r="AN444">
        <f t="shared" si="369"/>
        <v>458.24355283182877</v>
      </c>
      <c r="AO444">
        <f t="shared" si="370"/>
        <v>-59.745581495708251</v>
      </c>
      <c r="AQ444">
        <f t="shared" si="343"/>
        <v>1.8903588108962551E-3</v>
      </c>
      <c r="AR444">
        <f t="shared" si="344"/>
        <v>-4.3478252650613864</v>
      </c>
      <c r="AT444">
        <f t="shared" si="365"/>
        <v>-28039.271361378847</v>
      </c>
      <c r="AU444">
        <f t="shared" si="366"/>
        <v>-24825.569712118406</v>
      </c>
      <c r="AV444">
        <f t="shared" si="354"/>
        <v>-2.4169106780631266</v>
      </c>
      <c r="AW444">
        <f t="shared" si="355"/>
        <v>6572.2611692503315</v>
      </c>
      <c r="AX444">
        <f t="shared" si="356"/>
        <v>-9488.3580873422579</v>
      </c>
      <c r="AY444">
        <f t="shared" si="364"/>
        <v>-0.96500962125029</v>
      </c>
      <c r="BA444">
        <f t="shared" si="345"/>
        <v>3.2446093706043295</v>
      </c>
      <c r="BB444">
        <f t="shared" si="357"/>
        <v>10.22324836230954</v>
      </c>
      <c r="BC444">
        <f t="shared" si="358"/>
        <v>-1.4519010568128365</v>
      </c>
      <c r="BD444">
        <f t="shared" si="346"/>
        <v>-263.18780292101542</v>
      </c>
      <c r="BF444">
        <f t="shared" si="347"/>
        <v>-59.877518048442539</v>
      </c>
      <c r="BG444">
        <f t="shared" si="348"/>
        <v>-218.81283362990933</v>
      </c>
      <c r="BH444">
        <f t="shared" si="359"/>
        <v>-38.812833629909335</v>
      </c>
      <c r="BI444">
        <f t="shared" si="360"/>
        <v>-38.812833629909335</v>
      </c>
      <c r="BJ444">
        <f t="shared" si="349"/>
        <v>0</v>
      </c>
      <c r="BK444">
        <f t="shared" si="361"/>
        <v>0</v>
      </c>
      <c r="BM444">
        <f t="shared" si="362"/>
        <v>-70.100766410752072</v>
      </c>
      <c r="BN444">
        <f t="shared" si="350"/>
        <v>-135.62503070889392</v>
      </c>
      <c r="BQ444" s="56">
        <f t="shared" si="363"/>
        <v>27.125209162594679</v>
      </c>
    </row>
    <row r="445" spans="1:69" x14ac:dyDescent="0.25">
      <c r="A445">
        <f t="shared" si="372"/>
        <v>1155000</v>
      </c>
      <c r="B445">
        <f t="shared" si="351"/>
        <v>1155</v>
      </c>
      <c r="C445">
        <f t="shared" si="320"/>
        <v>1.3999368541903181</v>
      </c>
      <c r="D445">
        <f t="shared" si="321"/>
        <v>0.77514733592224994</v>
      </c>
      <c r="F445">
        <f t="shared" si="322"/>
        <v>1.4788167111164729E-5</v>
      </c>
      <c r="G445">
        <f t="shared" si="323"/>
        <v>1.5040848049467396E-3</v>
      </c>
      <c r="H445">
        <f t="shared" si="324"/>
        <v>-3.1400885651950534</v>
      </c>
      <c r="J445">
        <f t="shared" si="325"/>
        <v>15</v>
      </c>
      <c r="M445">
        <f t="shared" si="326"/>
        <v>2.3114010950567965E-3</v>
      </c>
      <c r="N445">
        <f t="shared" si="327"/>
        <v>-1.5707963250000001</v>
      </c>
      <c r="O445">
        <f t="shared" si="328"/>
        <v>311.33029603787759</v>
      </c>
      <c r="P445">
        <f t="shared" si="329"/>
        <v>1.5675842985013142</v>
      </c>
      <c r="Q445">
        <f t="shared" si="330"/>
        <v>294.88584453589124</v>
      </c>
      <c r="R445">
        <f t="shared" si="331"/>
        <v>1.5674051775241498</v>
      </c>
      <c r="S445">
        <f t="shared" si="332"/>
        <v>0.1320976183525899</v>
      </c>
      <c r="T445">
        <f t="shared" si="333"/>
        <v>-1.4383114809227677</v>
      </c>
      <c r="U445">
        <f t="shared" si="334"/>
        <v>0.66337423478115032</v>
      </c>
      <c r="V445">
        <f t="shared" si="335"/>
        <v>-0.84547725389927508</v>
      </c>
      <c r="X445">
        <f t="shared" si="352"/>
        <v>-44.76963464987562</v>
      </c>
      <c r="Y445">
        <f t="shared" si="336"/>
        <v>-176.73094134355347</v>
      </c>
      <c r="Z445">
        <f t="shared" si="353"/>
        <v>3.269058656446532</v>
      </c>
      <c r="AC445">
        <v>1</v>
      </c>
      <c r="AD445">
        <f t="shared" si="337"/>
        <v>311.32869002235003</v>
      </c>
      <c r="AE445">
        <f t="shared" si="338"/>
        <v>-2.7112042861827276E-2</v>
      </c>
      <c r="AF445">
        <f t="shared" si="339"/>
        <v>2.4035445719208001E-2</v>
      </c>
      <c r="AG445">
        <f t="shared" si="367"/>
        <v>5679.4695463411463</v>
      </c>
      <c r="AH445">
        <f t="shared" si="368"/>
        <v>-6448.0610671176164</v>
      </c>
      <c r="AJ445">
        <f t="shared" si="340"/>
        <v>18000</v>
      </c>
      <c r="AK445">
        <f t="shared" si="341"/>
        <v>135068.75474815801</v>
      </c>
      <c r="AL445">
        <v>1</v>
      </c>
      <c r="AM445">
        <f t="shared" si="342"/>
        <v>294.88414895963098</v>
      </c>
      <c r="AN445">
        <f t="shared" si="369"/>
        <v>458.24179486579698</v>
      </c>
      <c r="AO445">
        <f t="shared" si="370"/>
        <v>-59.48694857632254</v>
      </c>
      <c r="AQ445">
        <f t="shared" si="343"/>
        <v>1.8740274968558504E-3</v>
      </c>
      <c r="AR445">
        <f t="shared" si="344"/>
        <v>-4.3290035177370143</v>
      </c>
      <c r="AT445">
        <f t="shared" si="365"/>
        <v>-27903.03556003785</v>
      </c>
      <c r="AU445">
        <f t="shared" si="366"/>
        <v>-24598.527488732252</v>
      </c>
      <c r="AV445">
        <f t="shared" si="354"/>
        <v>-2.419052708581896</v>
      </c>
      <c r="AW445">
        <f t="shared" si="355"/>
        <v>6543.667404509587</v>
      </c>
      <c r="AX445">
        <f t="shared" si="356"/>
        <v>-9474.6043638937517</v>
      </c>
      <c r="AY445">
        <f t="shared" si="364"/>
        <v>-0.96637085316403337</v>
      </c>
      <c r="BA445">
        <f t="shared" si="345"/>
        <v>3.230458357274208</v>
      </c>
      <c r="BB445">
        <f t="shared" si="357"/>
        <v>10.185282941434373</v>
      </c>
      <c r="BC445">
        <f t="shared" si="358"/>
        <v>-1.4526818554178627</v>
      </c>
      <c r="BD445">
        <f t="shared" si="346"/>
        <v>-263.23253938578421</v>
      </c>
      <c r="BF445">
        <f t="shared" si="347"/>
        <v>-59.972435950396836</v>
      </c>
      <c r="BG445">
        <f t="shared" si="348"/>
        <v>-218.73369077442928</v>
      </c>
      <c r="BH445">
        <f t="shared" si="359"/>
        <v>-38.733690774429277</v>
      </c>
      <c r="BI445">
        <f t="shared" si="360"/>
        <v>-38.733690774429277</v>
      </c>
      <c r="BJ445">
        <f t="shared" si="349"/>
        <v>0</v>
      </c>
      <c r="BK445">
        <f t="shared" si="361"/>
        <v>0</v>
      </c>
      <c r="BM445">
        <f t="shared" si="362"/>
        <v>-70.157718891831209</v>
      </c>
      <c r="BN445">
        <f t="shared" si="350"/>
        <v>-135.50115138864504</v>
      </c>
      <c r="BQ445" s="56">
        <f t="shared" si="363"/>
        <v>27.087243741719508</v>
      </c>
    </row>
    <row r="446" spans="1:69" x14ac:dyDescent="0.25">
      <c r="A446">
        <f t="shared" si="372"/>
        <v>1160000</v>
      </c>
      <c r="B446">
        <f t="shared" si="351"/>
        <v>1160</v>
      </c>
      <c r="C446">
        <f t="shared" si="320"/>
        <v>1.4029081725519199</v>
      </c>
      <c r="D446">
        <f t="shared" si="321"/>
        <v>0.77730680150291009</v>
      </c>
      <c r="F446">
        <f t="shared" si="322"/>
        <v>1.4660955896118811E-5</v>
      </c>
      <c r="G446">
        <f t="shared" si="323"/>
        <v>1.4976014955103434E-3</v>
      </c>
      <c r="H446">
        <f t="shared" si="324"/>
        <v>-3.1400950485044898</v>
      </c>
      <c r="J446">
        <f t="shared" si="325"/>
        <v>15</v>
      </c>
      <c r="M446">
        <f t="shared" si="326"/>
        <v>2.3014381593022409E-3</v>
      </c>
      <c r="N446">
        <f t="shared" si="327"/>
        <v>-1.5707963250000001</v>
      </c>
      <c r="O446">
        <f t="shared" si="328"/>
        <v>312.67803236228235</v>
      </c>
      <c r="P446">
        <f t="shared" si="329"/>
        <v>1.5675981433562438</v>
      </c>
      <c r="Q446">
        <f t="shared" si="330"/>
        <v>296.16239198481566</v>
      </c>
      <c r="R446">
        <f t="shared" si="331"/>
        <v>1.5674197944355295</v>
      </c>
      <c r="S446">
        <f t="shared" si="332"/>
        <v>0.1315381046969947</v>
      </c>
      <c r="T446">
        <f t="shared" si="333"/>
        <v>-1.4388759199068648</v>
      </c>
      <c r="U446">
        <f t="shared" si="334"/>
        <v>0.66176861028332878</v>
      </c>
      <c r="V446">
        <f t="shared" si="335"/>
        <v>-0.84762094980262559</v>
      </c>
      <c r="X446">
        <f t="shared" si="352"/>
        <v>-44.846657521763845</v>
      </c>
      <c r="Y446">
        <f t="shared" si="336"/>
        <v>-176.76111850639626</v>
      </c>
      <c r="Z446">
        <f t="shared" si="353"/>
        <v>3.238881493603742</v>
      </c>
      <c r="AC446">
        <v>1</v>
      </c>
      <c r="AD446">
        <f t="shared" si="337"/>
        <v>312.6764332692</v>
      </c>
      <c r="AE446">
        <f t="shared" si="338"/>
        <v>-2.7347287250894685E-2</v>
      </c>
      <c r="AF446">
        <f t="shared" si="339"/>
        <v>2.4139495267776E-2</v>
      </c>
      <c r="AG446">
        <f t="shared" si="367"/>
        <v>5652.0097534336965</v>
      </c>
      <c r="AH446">
        <f t="shared" si="368"/>
        <v>-6444.5065046441759</v>
      </c>
      <c r="AJ446">
        <f t="shared" si="340"/>
        <v>18000</v>
      </c>
      <c r="AK446">
        <f t="shared" si="341"/>
        <v>135653.46797217603</v>
      </c>
      <c r="AL446">
        <v>1</v>
      </c>
      <c r="AM446">
        <f t="shared" si="342"/>
        <v>296.16070371703199</v>
      </c>
      <c r="AN446">
        <f t="shared" si="369"/>
        <v>458.24005958271158</v>
      </c>
      <c r="AO446">
        <f t="shared" si="370"/>
        <v>-59.230545174479452</v>
      </c>
      <c r="AQ446">
        <f t="shared" si="343"/>
        <v>1.8579069080880447E-3</v>
      </c>
      <c r="AR446">
        <f t="shared" si="344"/>
        <v>-4.3103440267642634</v>
      </c>
      <c r="AT446">
        <f t="shared" si="365"/>
        <v>-27767.539209770981</v>
      </c>
      <c r="AU446">
        <f t="shared" si="366"/>
        <v>-24374.079773080488</v>
      </c>
      <c r="AV446">
        <f t="shared" si="354"/>
        <v>-2.42118442558011</v>
      </c>
      <c r="AW446">
        <f t="shared" si="355"/>
        <v>6515.2098139228447</v>
      </c>
      <c r="AX446">
        <f t="shared" si="356"/>
        <v>-9460.8236659357899</v>
      </c>
      <c r="AY446">
        <f t="shared" si="364"/>
        <v>-0.96772752315576882</v>
      </c>
      <c r="BA446">
        <f t="shared" si="345"/>
        <v>3.2164304273067632</v>
      </c>
      <c r="BB446">
        <f t="shared" si="357"/>
        <v>10.147483237447815</v>
      </c>
      <c r="BC446">
        <f t="shared" si="358"/>
        <v>-1.4534569024243411</v>
      </c>
      <c r="BD446">
        <f t="shared" si="346"/>
        <v>-263.27694630823044</v>
      </c>
      <c r="BF446">
        <f t="shared" si="347"/>
        <v>-60.066860932118892</v>
      </c>
      <c r="BG446">
        <f t="shared" si="348"/>
        <v>-218.65474089922691</v>
      </c>
      <c r="BH446">
        <f t="shared" si="359"/>
        <v>-38.654740899226908</v>
      </c>
      <c r="BI446">
        <f t="shared" si="360"/>
        <v>-38.654740899226908</v>
      </c>
      <c r="BJ446">
        <f t="shared" si="349"/>
        <v>0</v>
      </c>
      <c r="BK446">
        <f t="shared" si="361"/>
        <v>0</v>
      </c>
      <c r="BM446">
        <f t="shared" si="362"/>
        <v>-70.214344169566701</v>
      </c>
      <c r="BN446">
        <f t="shared" si="350"/>
        <v>-135.37779459099647</v>
      </c>
      <c r="BQ446" s="56">
        <f t="shared" si="363"/>
        <v>27.049444037732954</v>
      </c>
    </row>
    <row r="447" spans="1:69" x14ac:dyDescent="0.25">
      <c r="A447">
        <f t="shared" si="372"/>
        <v>1165000</v>
      </c>
      <c r="B447">
        <f t="shared" si="351"/>
        <v>1165</v>
      </c>
      <c r="C447">
        <f t="shared" si="320"/>
        <v>1.405886005412107</v>
      </c>
      <c r="D447">
        <f t="shared" si="321"/>
        <v>0.77945712906875875</v>
      </c>
      <c r="F447">
        <f t="shared" si="322"/>
        <v>1.4535379106411179E-5</v>
      </c>
      <c r="G447">
        <f t="shared" si="323"/>
        <v>1.4911738391689691E-3</v>
      </c>
      <c r="H447">
        <f t="shared" si="324"/>
        <v>-3.1401014761608312</v>
      </c>
      <c r="J447">
        <f t="shared" si="325"/>
        <v>15</v>
      </c>
      <c r="M447">
        <f t="shared" si="326"/>
        <v>2.2915607423095274E-3</v>
      </c>
      <c r="N447">
        <f t="shared" si="327"/>
        <v>-1.5707963250000001</v>
      </c>
      <c r="O447">
        <f t="shared" si="328"/>
        <v>314.02576874610679</v>
      </c>
      <c r="P447">
        <f t="shared" si="329"/>
        <v>1.5676118693724272</v>
      </c>
      <c r="Q447">
        <f t="shared" si="330"/>
        <v>297.43893949647321</v>
      </c>
      <c r="R447">
        <f t="shared" si="331"/>
        <v>1.5674342858812829</v>
      </c>
      <c r="S447">
        <f t="shared" si="332"/>
        <v>0.13098326960712342</v>
      </c>
      <c r="T447">
        <f t="shared" si="333"/>
        <v>-1.4394355973975479</v>
      </c>
      <c r="U447">
        <f t="shared" si="334"/>
        <v>0.66016772768620668</v>
      </c>
      <c r="V447">
        <f t="shared" si="335"/>
        <v>-0.84975428385256624</v>
      </c>
      <c r="X447">
        <f t="shared" si="352"/>
        <v>-44.923353352348428</v>
      </c>
      <c r="Y447">
        <f t="shared" si="336"/>
        <v>-176.79096354389731</v>
      </c>
      <c r="Z447">
        <f t="shared" si="353"/>
        <v>3.2090364561026945</v>
      </c>
      <c r="AC447">
        <v>1</v>
      </c>
      <c r="AD447">
        <f t="shared" si="337"/>
        <v>314.02417651604998</v>
      </c>
      <c r="AE447">
        <f t="shared" si="338"/>
        <v>-2.758354781442891E-2</v>
      </c>
      <c r="AF447">
        <f t="shared" si="339"/>
        <v>2.4243544816343998E-2</v>
      </c>
      <c r="AG447">
        <f t="shared" si="367"/>
        <v>5624.6973071495213</v>
      </c>
      <c r="AH447">
        <f t="shared" si="368"/>
        <v>-6440.8529485415456</v>
      </c>
      <c r="AJ447">
        <f t="shared" si="340"/>
        <v>18000</v>
      </c>
      <c r="AK447">
        <f t="shared" si="341"/>
        <v>136238.181196194</v>
      </c>
      <c r="AL447">
        <v>1</v>
      </c>
      <c r="AM447">
        <f t="shared" si="342"/>
        <v>297.43725847443301</v>
      </c>
      <c r="AN447">
        <f t="shared" si="369"/>
        <v>458.23834659400961</v>
      </c>
      <c r="AO447">
        <f t="shared" si="370"/>
        <v>-58.976342585250933</v>
      </c>
      <c r="AQ447">
        <f t="shared" si="343"/>
        <v>1.8419934347669998E-3</v>
      </c>
      <c r="AR447">
        <f t="shared" si="344"/>
        <v>-4.2918447030071096</v>
      </c>
      <c r="AT447">
        <f t="shared" si="365"/>
        <v>-27632.779954533435</v>
      </c>
      <c r="AU447">
        <f t="shared" si="366"/>
        <v>-24152.191352553542</v>
      </c>
      <c r="AV447">
        <f t="shared" si="354"/>
        <v>-2.4233058835469277</v>
      </c>
      <c r="AW447">
        <f t="shared" si="355"/>
        <v>6486.8884215178241</v>
      </c>
      <c r="AX447">
        <f t="shared" si="356"/>
        <v>-9447.0167518745438</v>
      </c>
      <c r="AY447">
        <f t="shared" si="364"/>
        <v>-0.96907960953326755</v>
      </c>
      <c r="BA447">
        <f t="shared" si="345"/>
        <v>3.2025239774512735</v>
      </c>
      <c r="BB447">
        <f t="shared" si="357"/>
        <v>10.109847800252016</v>
      </c>
      <c r="BC447">
        <f t="shared" si="358"/>
        <v>-1.45422627401366</v>
      </c>
      <c r="BD447">
        <f t="shared" si="346"/>
        <v>-263.32102805322609</v>
      </c>
      <c r="BF447">
        <f t="shared" si="347"/>
        <v>-60.160797594133875</v>
      </c>
      <c r="BG447">
        <f t="shared" si="348"/>
        <v>-218.57598622756893</v>
      </c>
      <c r="BH447">
        <f t="shared" si="359"/>
        <v>-38.575986227568933</v>
      </c>
      <c r="BI447">
        <f t="shared" si="360"/>
        <v>-38.575986227568933</v>
      </c>
      <c r="BJ447">
        <f t="shared" si="349"/>
        <v>0</v>
      </c>
      <c r="BK447">
        <f t="shared" si="361"/>
        <v>0</v>
      </c>
      <c r="BM447">
        <f t="shared" si="362"/>
        <v>-70.270645394385895</v>
      </c>
      <c r="BN447">
        <f t="shared" si="350"/>
        <v>-135.25495817434287</v>
      </c>
      <c r="BQ447" s="56">
        <f t="shared" si="363"/>
        <v>27.011808600537151</v>
      </c>
    </row>
    <row r="448" spans="1:69" x14ac:dyDescent="0.25">
      <c r="A448">
        <f t="shared" si="372"/>
        <v>1170000</v>
      </c>
      <c r="B448">
        <f t="shared" si="351"/>
        <v>1170</v>
      </c>
      <c r="C448">
        <f t="shared" si="320"/>
        <v>1.4088703114631289</v>
      </c>
      <c r="D448">
        <f t="shared" si="321"/>
        <v>0.7815983567400443</v>
      </c>
      <c r="F448">
        <f t="shared" si="322"/>
        <v>1.4411408862294529E-5</v>
      </c>
      <c r="G448">
        <f t="shared" si="323"/>
        <v>1.4848011223811395E-3</v>
      </c>
      <c r="H448">
        <f t="shared" si="324"/>
        <v>-3.1401078488776193</v>
      </c>
      <c r="J448">
        <f t="shared" si="325"/>
        <v>15</v>
      </c>
      <c r="M448">
        <f t="shared" si="326"/>
        <v>2.2817677476842735E-3</v>
      </c>
      <c r="N448">
        <f t="shared" si="327"/>
        <v>-1.5707963250000001</v>
      </c>
      <c r="O448">
        <f t="shared" si="328"/>
        <v>315.37350518858909</v>
      </c>
      <c r="P448">
        <f t="shared" si="329"/>
        <v>1.5676254780734178</v>
      </c>
      <c r="Q448">
        <f t="shared" si="330"/>
        <v>298.71548707005968</v>
      </c>
      <c r="R448">
        <f t="shared" si="331"/>
        <v>1.5674486534699199</v>
      </c>
      <c r="S448">
        <f t="shared" si="332"/>
        <v>0.1304330551645724</v>
      </c>
      <c r="T448">
        <f t="shared" si="333"/>
        <v>-1.4399905730460192</v>
      </c>
      <c r="U448">
        <f t="shared" si="334"/>
        <v>0.65857159621644124</v>
      </c>
      <c r="V448">
        <f t="shared" si="335"/>
        <v>-0.85187731171824133</v>
      </c>
      <c r="X448">
        <f t="shared" si="352"/>
        <v>-44.999724785017719</v>
      </c>
      <c r="Y448">
        <f t="shared" si="336"/>
        <v>-176.8204807407254</v>
      </c>
      <c r="Z448">
        <f t="shared" si="353"/>
        <v>3.1795192592745991</v>
      </c>
      <c r="AC448">
        <v>1</v>
      </c>
      <c r="AD448">
        <f t="shared" si="337"/>
        <v>315.37191976290001</v>
      </c>
      <c r="AE448">
        <f t="shared" si="338"/>
        <v>-2.7820824552429946E-2</v>
      </c>
      <c r="AF448">
        <f t="shared" si="339"/>
        <v>2.4347594364912E-2</v>
      </c>
      <c r="AG448">
        <f t="shared" si="367"/>
        <v>5597.5317764999054</v>
      </c>
      <c r="AH448">
        <f t="shared" si="368"/>
        <v>-6437.1020451416925</v>
      </c>
      <c r="AJ448">
        <f t="shared" si="340"/>
        <v>18000</v>
      </c>
      <c r="AK448">
        <f t="shared" si="341"/>
        <v>136822.89442021202</v>
      </c>
      <c r="AL448">
        <v>1</v>
      </c>
      <c r="AM448">
        <f t="shared" si="342"/>
        <v>298.71381323183397</v>
      </c>
      <c r="AN448">
        <f t="shared" si="369"/>
        <v>458.23665551941372</v>
      </c>
      <c r="AO448">
        <f t="shared" si="370"/>
        <v>-58.724312594363674</v>
      </c>
      <c r="AQ448">
        <f t="shared" si="343"/>
        <v>1.8262835440347096E-3</v>
      </c>
      <c r="AR448">
        <f t="shared" si="344"/>
        <v>-4.2735034930412201</v>
      </c>
      <c r="AT448">
        <f t="shared" si="365"/>
        <v>-27498.755394805172</v>
      </c>
      <c r="AU448">
        <f t="shared" si="366"/>
        <v>-23932.827572817885</v>
      </c>
      <c r="AV448">
        <f t="shared" si="354"/>
        <v>-2.425417136833282</v>
      </c>
      <c r="AW448">
        <f t="shared" si="355"/>
        <v>6458.7032293912507</v>
      </c>
      <c r="AX448">
        <f t="shared" si="356"/>
        <v>-9433.1843771691329</v>
      </c>
      <c r="AY448">
        <f t="shared" si="364"/>
        <v>-0.97042709181365461</v>
      </c>
      <c r="BA448">
        <f t="shared" si="345"/>
        <v>3.1887374322289603</v>
      </c>
      <c r="BB448">
        <f t="shared" si="357"/>
        <v>10.072375198727022</v>
      </c>
      <c r="BC448">
        <f t="shared" si="358"/>
        <v>-1.4549900450196274</v>
      </c>
      <c r="BD448">
        <f t="shared" si="346"/>
        <v>-263.36478890843244</v>
      </c>
      <c r="BF448">
        <f t="shared" si="347"/>
        <v>-60.25425047765264</v>
      </c>
      <c r="BG448">
        <f t="shared" si="348"/>
        <v>-218.49742890387026</v>
      </c>
      <c r="BH448">
        <f t="shared" si="359"/>
        <v>-38.497428903870258</v>
      </c>
      <c r="BI448">
        <f t="shared" si="360"/>
        <v>-38.497428903870258</v>
      </c>
      <c r="BJ448">
        <f t="shared" si="349"/>
        <v>0</v>
      </c>
      <c r="BK448">
        <f t="shared" si="361"/>
        <v>0</v>
      </c>
      <c r="BM448">
        <f t="shared" si="362"/>
        <v>-70.326625676379663</v>
      </c>
      <c r="BN448">
        <f t="shared" si="350"/>
        <v>-135.13263999543781</v>
      </c>
      <c r="BQ448" s="56">
        <f t="shared" si="363"/>
        <v>26.974335999012155</v>
      </c>
    </row>
    <row r="449" spans="1:69" x14ac:dyDescent="0.25">
      <c r="A449">
        <f t="shared" si="372"/>
        <v>1175000</v>
      </c>
      <c r="B449">
        <f t="shared" si="351"/>
        <v>1175</v>
      </c>
      <c r="C449">
        <f t="shared" si="320"/>
        <v>1.4118610496570749</v>
      </c>
      <c r="D449">
        <f t="shared" si="321"/>
        <v>0.78373052264883825</v>
      </c>
      <c r="F449">
        <f t="shared" si="322"/>
        <v>1.4289017875958978E-5</v>
      </c>
      <c r="G449">
        <f t="shared" si="323"/>
        <v>1.4784826437516164E-3</v>
      </c>
      <c r="H449">
        <f t="shared" si="324"/>
        <v>-3.1401141673562485</v>
      </c>
      <c r="J449">
        <f t="shared" si="325"/>
        <v>15</v>
      </c>
      <c r="M449">
        <f t="shared" si="326"/>
        <v>2.2720580976941275E-3</v>
      </c>
      <c r="N449">
        <f t="shared" si="327"/>
        <v>-1.5707963250000001</v>
      </c>
      <c r="O449">
        <f t="shared" si="328"/>
        <v>316.72124168898051</v>
      </c>
      <c r="P449">
        <f t="shared" si="329"/>
        <v>1.5676389709568357</v>
      </c>
      <c r="Q449">
        <f t="shared" si="330"/>
        <v>299.99203470478449</v>
      </c>
      <c r="R449">
        <f t="shared" si="331"/>
        <v>1.5674628987825712</v>
      </c>
      <c r="S449">
        <f t="shared" si="332"/>
        <v>0.12988740439427757</v>
      </c>
      <c r="T449">
        <f t="shared" si="333"/>
        <v>-1.440540905517002</v>
      </c>
      <c r="U449">
        <f t="shared" si="334"/>
        <v>0.65698022450499949</v>
      </c>
      <c r="V449">
        <f t="shared" si="335"/>
        <v>-0.85399008890384609</v>
      </c>
      <c r="X449">
        <f t="shared" si="352"/>
        <v>-45.075774431818402</v>
      </c>
      <c r="Y449">
        <f t="shared" si="336"/>
        <v>-176.84967431725855</v>
      </c>
      <c r="Z449">
        <f t="shared" si="353"/>
        <v>3.1503256827414532</v>
      </c>
      <c r="AC449">
        <v>1</v>
      </c>
      <c r="AD449">
        <f t="shared" si="337"/>
        <v>316.71966300975004</v>
      </c>
      <c r="AE449">
        <f t="shared" si="338"/>
        <v>-2.8059117464897792E-2</v>
      </c>
      <c r="AF449">
        <f t="shared" si="339"/>
        <v>2.4451643913480002E-2</v>
      </c>
      <c r="AG449">
        <f t="shared" si="367"/>
        <v>5570.5127206196503</v>
      </c>
      <c r="AH449">
        <f t="shared" si="368"/>
        <v>-6433.2554213605999</v>
      </c>
      <c r="AJ449">
        <f t="shared" si="340"/>
        <v>18000</v>
      </c>
      <c r="AK449">
        <f t="shared" si="341"/>
        <v>137407.60764423001</v>
      </c>
      <c r="AL449">
        <v>1</v>
      </c>
      <c r="AM449">
        <f t="shared" si="342"/>
        <v>299.99036798923498</v>
      </c>
      <c r="AN449">
        <f t="shared" si="369"/>
        <v>458.23498598671904</v>
      </c>
      <c r="AO449">
        <f t="shared" si="370"/>
        <v>-58.474427467760435</v>
      </c>
      <c r="AQ449">
        <f t="shared" si="343"/>
        <v>1.8107737780400583E-3</v>
      </c>
      <c r="AR449">
        <f t="shared" si="344"/>
        <v>-4.2553183783941373</v>
      </c>
      <c r="AT449">
        <f t="shared" si="365"/>
        <v>-27365.463089054745</v>
      </c>
      <c r="AU449">
        <f t="shared" si="366"/>
        <v>-23715.954327355557</v>
      </c>
      <c r="AV449">
        <f t="shared" si="354"/>
        <v>-2.4275182396475947</v>
      </c>
      <c r="AW449">
        <f t="shared" si="355"/>
        <v>6430.6542183489873</v>
      </c>
      <c r="AX449">
        <f t="shared" si="356"/>
        <v>-9419.3272940692405</v>
      </c>
      <c r="AY449">
        <f t="shared" si="364"/>
        <v>-0.97176995068930905</v>
      </c>
      <c r="BA449">
        <f t="shared" si="345"/>
        <v>3.1750692433336134</v>
      </c>
      <c r="BB449">
        <f t="shared" si="357"/>
        <v>10.035064020401041</v>
      </c>
      <c r="BC449">
        <f t="shared" si="358"/>
        <v>-1.4557482889582856</v>
      </c>
      <c r="BD449">
        <f t="shared" si="346"/>
        <v>-263.40823308600858</v>
      </c>
      <c r="BF449">
        <f t="shared" si="347"/>
        <v>-60.347224065551003</v>
      </c>
      <c r="BG449">
        <f t="shared" si="348"/>
        <v>-218.41907099567004</v>
      </c>
      <c r="BH449">
        <f t="shared" si="359"/>
        <v>-38.41907099567004</v>
      </c>
      <c r="BI449">
        <f t="shared" si="360"/>
        <v>-38.41907099567004</v>
      </c>
      <c r="BJ449">
        <f t="shared" si="349"/>
        <v>0</v>
      </c>
      <c r="BK449">
        <f t="shared" si="361"/>
        <v>0</v>
      </c>
      <c r="BM449">
        <f t="shared" si="362"/>
        <v>-70.382288085952041</v>
      </c>
      <c r="BN449">
        <f t="shared" si="350"/>
        <v>-135.01083790966146</v>
      </c>
      <c r="BQ449" s="56">
        <f t="shared" si="363"/>
        <v>26.937024820686176</v>
      </c>
    </row>
    <row r="450" spans="1:69" x14ac:dyDescent="0.25">
      <c r="A450">
        <f t="shared" si="372"/>
        <v>1180000</v>
      </c>
      <c r="B450">
        <f t="shared" si="351"/>
        <v>1180</v>
      </c>
      <c r="C450">
        <f t="shared" si="320"/>
        <v>1.4148581792050041</v>
      </c>
      <c r="D450">
        <f t="shared" si="321"/>
        <v>0.7858536649347152</v>
      </c>
      <c r="F450">
        <f t="shared" si="322"/>
        <v>1.4168179436514318E-5</v>
      </c>
      <c r="G450">
        <f t="shared" si="323"/>
        <v>1.4722177137740417E-3</v>
      </c>
      <c r="H450">
        <f t="shared" si="324"/>
        <v>-3.1401204322862259</v>
      </c>
      <c r="J450">
        <f t="shared" si="325"/>
        <v>15</v>
      </c>
      <c r="M450">
        <f t="shared" si="326"/>
        <v>2.2624307328733897E-3</v>
      </c>
      <c r="N450">
        <f t="shared" si="327"/>
        <v>-1.5707963250000001</v>
      </c>
      <c r="O450">
        <f t="shared" si="328"/>
        <v>318.06897824654487</v>
      </c>
      <c r="P450">
        <f t="shared" si="329"/>
        <v>1.5676523494949193</v>
      </c>
      <c r="Q450">
        <f t="shared" si="330"/>
        <v>301.26858239987047</v>
      </c>
      <c r="R450">
        <f t="shared" si="331"/>
        <v>1.5674770233735695</v>
      </c>
      <c r="S450">
        <f t="shared" si="332"/>
        <v>0.12934626124557047</v>
      </c>
      <c r="T450">
        <f t="shared" si="333"/>
        <v>-1.4410866525089301</v>
      </c>
      <c r="U450">
        <f t="shared" si="334"/>
        <v>0.65539362059858008</v>
      </c>
      <c r="V450">
        <f t="shared" si="335"/>
        <v>-0.85609267074495266</v>
      </c>
      <c r="X450">
        <f t="shared" si="352"/>
        <v>-45.151504873955155</v>
      </c>
      <c r="Y450">
        <f t="shared" si="336"/>
        <v>-176.87854843072762</v>
      </c>
      <c r="Z450">
        <f t="shared" si="353"/>
        <v>3.1214515692723808</v>
      </c>
      <c r="AC450">
        <v>1</v>
      </c>
      <c r="AD450">
        <f t="shared" si="337"/>
        <v>318.06740625660001</v>
      </c>
      <c r="AE450">
        <f t="shared" si="338"/>
        <v>-2.8298426551832456E-2</v>
      </c>
      <c r="AF450">
        <f t="shared" si="339"/>
        <v>2.4555693462048001E-2</v>
      </c>
      <c r="AG450">
        <f t="shared" si="367"/>
        <v>5543.6396890935894</v>
      </c>
      <c r="AH450">
        <f t="shared" si="368"/>
        <v>-6429.314684826295</v>
      </c>
      <c r="AJ450">
        <f t="shared" si="340"/>
        <v>18000</v>
      </c>
      <c r="AK450">
        <f t="shared" si="341"/>
        <v>137992.320868248</v>
      </c>
      <c r="AL450">
        <v>1</v>
      </c>
      <c r="AM450">
        <f t="shared" si="342"/>
        <v>301.266922746636</v>
      </c>
      <c r="AN450">
        <f t="shared" si="369"/>
        <v>458.23333763159008</v>
      </c>
      <c r="AO450">
        <f t="shared" si="370"/>
        <v>-58.226659941426583</v>
      </c>
      <c r="AQ450">
        <f t="shared" si="343"/>
        <v>1.7954607520359179E-3</v>
      </c>
      <c r="AR450">
        <f t="shared" si="344"/>
        <v>-4.2372873748047661</v>
      </c>
      <c r="AT450">
        <f t="shared" si="365"/>
        <v>-27232.900555176147</v>
      </c>
      <c r="AU450">
        <f t="shared" si="366"/>
        <v>-23501.538047241978</v>
      </c>
      <c r="AV450">
        <f t="shared" si="354"/>
        <v>-2.4296092460516268</v>
      </c>
      <c r="AW450">
        <f t="shared" si="355"/>
        <v>6402.7413485309789</v>
      </c>
      <c r="AX450">
        <f t="shared" si="356"/>
        <v>-9405.4462513657654</v>
      </c>
      <c r="AY450">
        <f t="shared" si="364"/>
        <v>-0.97310816799469402</v>
      </c>
      <c r="BA450">
        <f t="shared" si="345"/>
        <v>3.1615178890476621</v>
      </c>
      <c r="BB450">
        <f t="shared" si="357"/>
        <v>9.997912871127749</v>
      </c>
      <c r="BC450">
        <f t="shared" si="358"/>
        <v>-1.4565010780569327</v>
      </c>
      <c r="BD450">
        <f t="shared" si="346"/>
        <v>-263.45136472427384</v>
      </c>
      <c r="BF450">
        <f t="shared" si="347"/>
        <v>-60.439722783329053</v>
      </c>
      <c r="BG450">
        <f t="shared" si="348"/>
        <v>-218.3409144955568</v>
      </c>
      <c r="BH450">
        <f t="shared" si="359"/>
        <v>-38.340914495556802</v>
      </c>
      <c r="BI450">
        <f t="shared" si="360"/>
        <v>-38.340914495556802</v>
      </c>
      <c r="BJ450">
        <f t="shared" si="349"/>
        <v>0</v>
      </c>
      <c r="BK450">
        <f t="shared" si="361"/>
        <v>0</v>
      </c>
      <c r="BM450">
        <f t="shared" si="362"/>
        <v>-70.437635654456798</v>
      </c>
      <c r="BN450">
        <f t="shared" si="350"/>
        <v>-134.88954977128301</v>
      </c>
      <c r="BQ450" s="56">
        <f t="shared" si="363"/>
        <v>26.899873671412884</v>
      </c>
    </row>
    <row r="451" spans="1:69" x14ac:dyDescent="0.25">
      <c r="A451">
        <f t="shared" si="372"/>
        <v>1185000</v>
      </c>
      <c r="B451">
        <f t="shared" si="351"/>
        <v>1185</v>
      </c>
      <c r="C451">
        <f t="shared" si="320"/>
        <v>1.4178616595760611</v>
      </c>
      <c r="D451">
        <f t="shared" si="321"/>
        <v>0.78796782174052382</v>
      </c>
      <c r="F451">
        <f t="shared" si="322"/>
        <v>1.404886739541489E-5</v>
      </c>
      <c r="G451">
        <f t="shared" si="323"/>
        <v>1.4660056545800979E-3</v>
      </c>
      <c r="H451">
        <f t="shared" si="324"/>
        <v>-3.1401266443454201</v>
      </c>
      <c r="J451">
        <f t="shared" si="325"/>
        <v>15</v>
      </c>
      <c r="M451">
        <f t="shared" si="326"/>
        <v>2.2528846116376369E-3</v>
      </c>
      <c r="N451">
        <f t="shared" si="327"/>
        <v>-1.5707963250000001</v>
      </c>
      <c r="O451">
        <f t="shared" si="328"/>
        <v>319.4167148605585</v>
      </c>
      <c r="P451">
        <f t="shared" si="329"/>
        <v>1.5676656151350585</v>
      </c>
      <c r="Q451">
        <f t="shared" si="330"/>
        <v>302.54513015455353</v>
      </c>
      <c r="R451">
        <f t="shared" si="331"/>
        <v>1.5674910287710151</v>
      </c>
      <c r="S451">
        <f t="shared" si="332"/>
        <v>0.12880957057368433</v>
      </c>
      <c r="T451">
        <f t="shared" si="333"/>
        <v>-1.4416278707736438</v>
      </c>
      <c r="U451">
        <f t="shared" si="334"/>
        <v>0.65381179197088291</v>
      </c>
      <c r="V451">
        <f t="shared" si="335"/>
        <v>-0.85818511240495665</v>
      </c>
      <c r="X451">
        <f t="shared" si="352"/>
        <v>-45.22691866228022</v>
      </c>
      <c r="Y451">
        <f t="shared" si="336"/>
        <v>-176.90710717633493</v>
      </c>
      <c r="Z451">
        <f t="shared" si="353"/>
        <v>3.0928928236650677</v>
      </c>
      <c r="AC451">
        <v>1</v>
      </c>
      <c r="AD451">
        <f t="shared" si="337"/>
        <v>319.41514950345004</v>
      </c>
      <c r="AE451">
        <f t="shared" si="338"/>
        <v>-2.8538751813233933E-2</v>
      </c>
      <c r="AF451">
        <f t="shared" si="339"/>
        <v>2.4659743010615999E-2</v>
      </c>
      <c r="AG451">
        <f t="shared" si="367"/>
        <v>5516.91222227669</v>
      </c>
      <c r="AH451">
        <f t="shared" si="368"/>
        <v>-6425.2814240091857</v>
      </c>
      <c r="AJ451">
        <f t="shared" si="340"/>
        <v>18000</v>
      </c>
      <c r="AK451">
        <f t="shared" si="341"/>
        <v>138577.03409226603</v>
      </c>
      <c r="AL451">
        <v>1</v>
      </c>
      <c r="AM451">
        <f t="shared" si="342"/>
        <v>302.54347750403701</v>
      </c>
      <c r="AN451">
        <f t="shared" si="369"/>
        <v>458.23171009736149</v>
      </c>
      <c r="AO451">
        <f t="shared" si="370"/>
        <v>-57.980983211474353</v>
      </c>
      <c r="AQ451">
        <f t="shared" si="343"/>
        <v>1.7803411525323305E-3</v>
      </c>
      <c r="AR451">
        <f t="shared" si="344"/>
        <v>-4.2194085315016236</v>
      </c>
      <c r="AT451">
        <f t="shared" si="365"/>
        <v>-27101.065271899035</v>
      </c>
      <c r="AU451">
        <f t="shared" si="366"/>
        <v>-23289.545691155614</v>
      </c>
      <c r="AV451">
        <f t="shared" si="354"/>
        <v>-2.4316902099564612</v>
      </c>
      <c r="AW451">
        <f t="shared" si="355"/>
        <v>6374.9645600213744</v>
      </c>
      <c r="AX451">
        <f t="shared" si="356"/>
        <v>-9391.5419941539949</v>
      </c>
      <c r="AY451">
        <f t="shared" si="364"/>
        <v>-0.97444172667408446</v>
      </c>
      <c r="BA451">
        <f t="shared" si="345"/>
        <v>3.1480818736732599</v>
      </c>
      <c r="BB451">
        <f t="shared" si="357"/>
        <v>9.9609203747705788</v>
      </c>
      <c r="BC451">
        <f t="shared" si="358"/>
        <v>-1.4572484832823767</v>
      </c>
      <c r="BD451">
        <f t="shared" si="346"/>
        <v>-263.49418788932672</v>
      </c>
      <c r="BF451">
        <f t="shared" si="347"/>
        <v>-60.531751000050704</v>
      </c>
      <c r="BG451">
        <f t="shared" si="348"/>
        <v>-218.26296132304392</v>
      </c>
      <c r="BH451">
        <f t="shared" si="359"/>
        <v>-38.262961323043925</v>
      </c>
      <c r="BI451">
        <f t="shared" si="360"/>
        <v>-38.262961323043925</v>
      </c>
      <c r="BJ451">
        <f t="shared" si="349"/>
        <v>0</v>
      </c>
      <c r="BK451">
        <f t="shared" si="361"/>
        <v>0</v>
      </c>
      <c r="BM451">
        <f t="shared" si="362"/>
        <v>-70.492671374821285</v>
      </c>
      <c r="BN451">
        <f t="shared" si="350"/>
        <v>-134.76877343371723</v>
      </c>
      <c r="BQ451" s="56">
        <f t="shared" si="363"/>
        <v>26.862881175055719</v>
      </c>
    </row>
    <row r="452" spans="1:69" x14ac:dyDescent="0.25">
      <c r="A452">
        <f t="shared" si="372"/>
        <v>1190000</v>
      </c>
      <c r="B452">
        <f t="shared" si="351"/>
        <v>1190</v>
      </c>
      <c r="C452">
        <f t="shared" si="320"/>
        <v>1.4208714504965692</v>
      </c>
      <c r="D452">
        <f t="shared" si="321"/>
        <v>0.79007303120824446</v>
      </c>
      <c r="F452">
        <f t="shared" si="322"/>
        <v>1.3931056152312261E-5</v>
      </c>
      <c r="G452">
        <f t="shared" si="323"/>
        <v>1.4598457996949895E-3</v>
      </c>
      <c r="H452">
        <f t="shared" si="324"/>
        <v>-3.1401328042003054</v>
      </c>
      <c r="J452">
        <f t="shared" si="325"/>
        <v>15</v>
      </c>
      <c r="M452">
        <f t="shared" si="326"/>
        <v>2.2434187099080673E-3</v>
      </c>
      <c r="N452">
        <f t="shared" si="327"/>
        <v>-1.5707963250000001</v>
      </c>
      <c r="O452">
        <f t="shared" si="328"/>
        <v>320.76445153030983</v>
      </c>
      <c r="P452">
        <f t="shared" si="329"/>
        <v>1.5676787693003182</v>
      </c>
      <c r="Q452">
        <f t="shared" si="330"/>
        <v>303.8216779680825</v>
      </c>
      <c r="R452">
        <f t="shared" si="331"/>
        <v>1.5675049164773254</v>
      </c>
      <c r="S452">
        <f t="shared" si="332"/>
        <v>0.12827727812169751</v>
      </c>
      <c r="T452">
        <f t="shared" si="333"/>
        <v>-1.4421646161356116</v>
      </c>
      <c r="U452">
        <f t="shared" si="334"/>
        <v>0.65223474553372951</v>
      </c>
      <c r="V452">
        <f t="shared" si="335"/>
        <v>-0.8602674688716454</v>
      </c>
      <c r="X452">
        <f t="shared" si="352"/>
        <v>-45.302018317773005</v>
      </c>
      <c r="Y452">
        <f t="shared" si="336"/>
        <v>-176.9353545883491</v>
      </c>
      <c r="Z452">
        <f t="shared" si="353"/>
        <v>3.0646454116509005</v>
      </c>
      <c r="AC452">
        <v>1</v>
      </c>
      <c r="AD452">
        <f t="shared" si="337"/>
        <v>320.76289275030001</v>
      </c>
      <c r="AE452">
        <f t="shared" si="338"/>
        <v>-2.8780093249102228E-2</v>
      </c>
      <c r="AF452">
        <f t="shared" si="339"/>
        <v>2.4763792559183997E-2</v>
      </c>
      <c r="AG452">
        <f t="shared" si="367"/>
        <v>5490.3298516077821</v>
      </c>
      <c r="AH452">
        <f t="shared" si="368"/>
        <v>-6421.1572083545689</v>
      </c>
      <c r="AJ452">
        <f t="shared" si="340"/>
        <v>18000</v>
      </c>
      <c r="AK452">
        <f t="shared" si="341"/>
        <v>139161.74731628399</v>
      </c>
      <c r="AL452">
        <v>1</v>
      </c>
      <c r="AM452">
        <f t="shared" si="342"/>
        <v>303.82003226143797</v>
      </c>
      <c r="AN452">
        <f t="shared" si="369"/>
        <v>458.23010303484438</v>
      </c>
      <c r="AO452">
        <f t="shared" si="370"/>
        <v>-57.737370924476814</v>
      </c>
      <c r="AQ452">
        <f t="shared" si="343"/>
        <v>1.7654117355038954E-3</v>
      </c>
      <c r="AR452">
        <f t="shared" si="344"/>
        <v>-4.2016799304992709</v>
      </c>
      <c r="AT452">
        <f t="shared" si="365"/>
        <v>-26969.954680172305</v>
      </c>
      <c r="AU452">
        <f t="shared" si="366"/>
        <v>-23079.944735612604</v>
      </c>
      <c r="AV452">
        <f t="shared" si="354"/>
        <v>-2.4337611851186192</v>
      </c>
      <c r="AW452">
        <f t="shared" si="355"/>
        <v>6347.3237734441</v>
      </c>
      <c r="AX452">
        <f t="shared" si="356"/>
        <v>-9377.6152636088718</v>
      </c>
      <c r="AY452">
        <f t="shared" si="364"/>
        <v>-0.97577061075017291</v>
      </c>
      <c r="BA452">
        <f t="shared" si="345"/>
        <v>3.1347597269779048</v>
      </c>
      <c r="BB452">
        <f t="shared" si="357"/>
        <v>9.9240851728937223</v>
      </c>
      <c r="BC452">
        <f t="shared" si="358"/>
        <v>-1.4579905743684463</v>
      </c>
      <c r="BD452">
        <f t="shared" si="346"/>
        <v>-263.53670657662133</v>
      </c>
      <c r="BF452">
        <f t="shared" si="347"/>
        <v>-60.623313029264246</v>
      </c>
      <c r="BG452">
        <f t="shared" si="348"/>
        <v>-218.1852133263971</v>
      </c>
      <c r="BH452">
        <f t="shared" si="359"/>
        <v>-38.185213326397104</v>
      </c>
      <c r="BI452">
        <f t="shared" si="360"/>
        <v>-38.185213326397104</v>
      </c>
      <c r="BJ452">
        <f t="shared" si="349"/>
        <v>0</v>
      </c>
      <c r="BK452">
        <f t="shared" si="361"/>
        <v>0</v>
      </c>
      <c r="BM452">
        <f t="shared" si="362"/>
        <v>-70.547398202157964</v>
      </c>
      <c r="BN452">
        <f t="shared" si="350"/>
        <v>-134.64850674977578</v>
      </c>
      <c r="BQ452" s="56">
        <f t="shared" si="363"/>
        <v>26.826045973178857</v>
      </c>
    </row>
    <row r="453" spans="1:69" x14ac:dyDescent="0.25">
      <c r="A453">
        <f t="shared" si="372"/>
        <v>1195000</v>
      </c>
      <c r="B453">
        <f t="shared" si="351"/>
        <v>1195</v>
      </c>
      <c r="C453">
        <f t="shared" si="320"/>
        <v>1.4238875119491097</v>
      </c>
      <c r="D453">
        <f t="shared" si="321"/>
        <v>0.79216933147493473</v>
      </c>
      <c r="F453">
        <f t="shared" si="322"/>
        <v>1.3814720641321399E-5</v>
      </c>
      <c r="G453">
        <f t="shared" si="323"/>
        <v>1.4537374937990677E-3</v>
      </c>
      <c r="H453">
        <f t="shared" si="324"/>
        <v>-3.1401389125062011</v>
      </c>
      <c r="J453">
        <f t="shared" si="325"/>
        <v>15</v>
      </c>
      <c r="M453">
        <f t="shared" si="326"/>
        <v>2.2340320207452718E-3</v>
      </c>
      <c r="N453">
        <f t="shared" si="327"/>
        <v>-1.5707963250000001</v>
      </c>
      <c r="O453">
        <f t="shared" si="328"/>
        <v>322.11218825509923</v>
      </c>
      <c r="P453">
        <f t="shared" si="329"/>
        <v>1.5676918133899467</v>
      </c>
      <c r="Q453">
        <f t="shared" si="330"/>
        <v>305.09822583971868</v>
      </c>
      <c r="R453">
        <f t="shared" si="331"/>
        <v>1.567518687969774</v>
      </c>
      <c r="S453">
        <f t="shared" si="332"/>
        <v>0.12774933050290335</v>
      </c>
      <c r="T453">
        <f t="shared" si="333"/>
        <v>-1.4426969435106862</v>
      </c>
      <c r="U453">
        <f t="shared" si="334"/>
        <v>0.65066248764803258</v>
      </c>
      <c r="V453">
        <f t="shared" si="335"/>
        <v>-0.86233979495388202</v>
      </c>
      <c r="X453">
        <f t="shared" si="352"/>
        <v>-45.376806332010048</v>
      </c>
      <c r="Y453">
        <f t="shared" si="336"/>
        <v>-176.9632946411752</v>
      </c>
      <c r="Z453">
        <f t="shared" si="353"/>
        <v>3.0367053588248041</v>
      </c>
      <c r="AC453">
        <v>1</v>
      </c>
      <c r="AD453">
        <f t="shared" si="337"/>
        <v>322.11063599714998</v>
      </c>
      <c r="AE453">
        <f t="shared" si="338"/>
        <v>-2.9022450859437336E-2</v>
      </c>
      <c r="AF453">
        <f t="shared" si="339"/>
        <v>2.4867842107751999E-2</v>
      </c>
      <c r="AG453">
        <f t="shared" si="367"/>
        <v>5463.8920999170432</v>
      </c>
      <c r="AH453">
        <f t="shared" si="368"/>
        <v>-6416.9435884171917</v>
      </c>
      <c r="AJ453">
        <f t="shared" si="340"/>
        <v>18000</v>
      </c>
      <c r="AK453">
        <f t="shared" si="341"/>
        <v>139746.46054030201</v>
      </c>
      <c r="AL453">
        <v>1</v>
      </c>
      <c r="AM453">
        <f t="shared" si="342"/>
        <v>305.09658701883899</v>
      </c>
      <c r="AN453">
        <f t="shared" si="369"/>
        <v>458.22851610214008</v>
      </c>
      <c r="AO453">
        <f t="shared" si="370"/>
        <v>-57.495797168044675</v>
      </c>
      <c r="AQ453">
        <f t="shared" si="343"/>
        <v>1.7506693246495467E-3</v>
      </c>
      <c r="AR453">
        <f t="shared" si="344"/>
        <v>-4.1840996859124164</v>
      </c>
      <c r="AT453">
        <f t="shared" si="365"/>
        <v>-26839.566184521547</v>
      </c>
      <c r="AU453">
        <f t="shared" si="366"/>
        <v>-22872.703165420484</v>
      </c>
      <c r="AV453">
        <f t="shared" si="354"/>
        <v>-2.4358222251363042</v>
      </c>
      <c r="AW453">
        <f t="shared" si="355"/>
        <v>6319.8188905443003</v>
      </c>
      <c r="AX453">
        <f t="shared" si="356"/>
        <v>-9363.666796771935</v>
      </c>
      <c r="AY453">
        <f t="shared" si="364"/>
        <v>-0.97709480529352288</v>
      </c>
      <c r="BA453">
        <f t="shared" si="345"/>
        <v>3.1215500036542014</v>
      </c>
      <c r="BB453">
        <f t="shared" si="357"/>
        <v>9.8874059244597863</v>
      </c>
      <c r="BC453">
        <f t="shared" si="358"/>
        <v>-1.4587274198427813</v>
      </c>
      <c r="BD453">
        <f t="shared" si="346"/>
        <v>-263.57892471250233</v>
      </c>
      <c r="BF453">
        <f t="shared" si="347"/>
        <v>-60.714413129904081</v>
      </c>
      <c r="BG453">
        <f t="shared" si="348"/>
        <v>-218.10767228441554</v>
      </c>
      <c r="BH453">
        <f t="shared" si="359"/>
        <v>-38.107672284415543</v>
      </c>
      <c r="BI453">
        <f t="shared" si="360"/>
        <v>-38.107672284415543</v>
      </c>
      <c r="BJ453">
        <f t="shared" si="349"/>
        <v>0</v>
      </c>
      <c r="BK453">
        <f t="shared" si="361"/>
        <v>0</v>
      </c>
      <c r="BM453">
        <f t="shared" si="362"/>
        <v>-70.601819054363858</v>
      </c>
      <c r="BN453">
        <f t="shared" si="350"/>
        <v>-134.52874757191324</v>
      </c>
      <c r="BQ453" s="56">
        <f t="shared" si="363"/>
        <v>26.789366724744923</v>
      </c>
    </row>
    <row r="454" spans="1:69" x14ac:dyDescent="0.25">
      <c r="A454">
        <f t="shared" si="372"/>
        <v>1200000</v>
      </c>
      <c r="B454">
        <f t="shared" si="351"/>
        <v>1200</v>
      </c>
      <c r="C454">
        <f t="shared" si="320"/>
        <v>1.426909804171584</v>
      </c>
      <c r="D454">
        <f t="shared" si="321"/>
        <v>0.79425676066876061</v>
      </c>
      <c r="F454">
        <f t="shared" si="322"/>
        <v>1.3699836317686604E-5</v>
      </c>
      <c r="G454">
        <f t="shared" si="323"/>
        <v>1.4476800924954104E-3</v>
      </c>
      <c r="H454">
        <f t="shared" si="324"/>
        <v>-3.1401449699075048</v>
      </c>
      <c r="J454">
        <f t="shared" si="325"/>
        <v>15</v>
      </c>
      <c r="M454">
        <f t="shared" si="326"/>
        <v>2.2247235539921664E-3</v>
      </c>
      <c r="N454">
        <f t="shared" si="327"/>
        <v>-1.5707963250000001</v>
      </c>
      <c r="O454">
        <f t="shared" si="328"/>
        <v>323.45992503423872</v>
      </c>
      <c r="P454">
        <f t="shared" si="329"/>
        <v>1.5677047487798714</v>
      </c>
      <c r="Q454">
        <f t="shared" si="330"/>
        <v>306.37477376873585</v>
      </c>
      <c r="R454">
        <f t="shared" si="331"/>
        <v>1.5675323447010132</v>
      </c>
      <c r="S454">
        <f t="shared" si="332"/>
        <v>0.12722567518359409</v>
      </c>
      <c r="T454">
        <f t="shared" si="333"/>
        <v>-1.4432249069244099</v>
      </c>
      <c r="U454">
        <f t="shared" si="334"/>
        <v>0.64909502413461762</v>
      </c>
      <c r="V454">
        <f t="shared" si="335"/>
        <v>-0.86440214527840575</v>
      </c>
      <c r="X454">
        <f t="shared" si="352"/>
        <v>-45.451285167625535</v>
      </c>
      <c r="Y454">
        <f t="shared" si="336"/>
        <v>-176.99093125040301</v>
      </c>
      <c r="Z454">
        <f t="shared" si="353"/>
        <v>3.0090687495969917</v>
      </c>
      <c r="AC454">
        <v>1</v>
      </c>
      <c r="AD454">
        <f t="shared" si="337"/>
        <v>323.45837924400001</v>
      </c>
      <c r="AE454">
        <f t="shared" si="338"/>
        <v>-2.9265824644239258E-2</v>
      </c>
      <c r="AF454">
        <f t="shared" si="339"/>
        <v>2.4971891656319998E-2</v>
      </c>
      <c r="AG454">
        <f t="shared" si="367"/>
        <v>5437.5984817272738</v>
      </c>
      <c r="AH454">
        <f t="shared" si="368"/>
        <v>-6412.6420959977286</v>
      </c>
      <c r="AJ454">
        <f t="shared" si="340"/>
        <v>18000</v>
      </c>
      <c r="AK454">
        <f t="shared" si="341"/>
        <v>140331.17376432003</v>
      </c>
      <c r="AL454">
        <v>1</v>
      </c>
      <c r="AM454">
        <f t="shared" si="342"/>
        <v>306.37314177624</v>
      </c>
      <c r="AN454">
        <f t="shared" si="369"/>
        <v>458.22694896445762</v>
      </c>
      <c r="AO454">
        <f t="shared" si="370"/>
        <v>-57.256236461638657</v>
      </c>
      <c r="AQ454">
        <f t="shared" si="343"/>
        <v>1.7361108097029845E-3</v>
      </c>
      <c r="AR454">
        <f t="shared" si="344"/>
        <v>-4.1666659432871622</v>
      </c>
      <c r="AT454">
        <f t="shared" si="365"/>
        <v>-26709.897154380389</v>
      </c>
      <c r="AU454">
        <f t="shared" si="366"/>
        <v>-22667.789464344631</v>
      </c>
      <c r="AV454">
        <f t="shared" si="354"/>
        <v>-2.4378733834457735</v>
      </c>
      <c r="AW454">
        <f t="shared" si="355"/>
        <v>6292.4497947559257</v>
      </c>
      <c r="AX454">
        <f t="shared" si="356"/>
        <v>-9349.6973263495183</v>
      </c>
      <c r="AY454">
        <f t="shared" si="364"/>
        <v>-0.97841429639284649</v>
      </c>
      <c r="BA454">
        <f t="shared" si="345"/>
        <v>3.108451282793296</v>
      </c>
      <c r="BB454">
        <f t="shared" si="357"/>
        <v>9.8508813055337683</v>
      </c>
      <c r="BC454">
        <f t="shared" si="358"/>
        <v>-1.4594590870529269</v>
      </c>
      <c r="BD454">
        <f t="shared" si="346"/>
        <v>-263.62084615569967</v>
      </c>
      <c r="BF454">
        <f t="shared" si="347"/>
        <v>-60.80505550717443</v>
      </c>
      <c r="BG454">
        <f t="shared" si="348"/>
        <v>-218.03033990816749</v>
      </c>
      <c r="BH454">
        <f t="shared" si="359"/>
        <v>-38.030339908167491</v>
      </c>
      <c r="BI454">
        <f t="shared" si="360"/>
        <v>-38.030339908167491</v>
      </c>
      <c r="BJ454">
        <f t="shared" si="349"/>
        <v>0</v>
      </c>
      <c r="BK454">
        <f t="shared" si="361"/>
        <v>0</v>
      </c>
      <c r="BM454">
        <f t="shared" si="362"/>
        <v>-70.655936812708205</v>
      </c>
      <c r="BN454">
        <f t="shared" si="350"/>
        <v>-134.40949375246785</v>
      </c>
      <c r="BQ454" s="56">
        <f t="shared" si="363"/>
        <v>26.752842105818907</v>
      </c>
    </row>
    <row r="455" spans="1:69" x14ac:dyDescent="0.25">
      <c r="A455">
        <f t="shared" si="372"/>
        <v>1205000</v>
      </c>
      <c r="B455">
        <f t="shared" si="351"/>
        <v>1205</v>
      </c>
      <c r="C455">
        <f t="shared" si="320"/>
        <v>1.4299382876562572</v>
      </c>
      <c r="D455">
        <f t="shared" si="321"/>
        <v>0.79633535690511226</v>
      </c>
      <c r="F455">
        <f t="shared" si="322"/>
        <v>1.3586379144833927E-5</v>
      </c>
      <c r="G455">
        <f t="shared" si="323"/>
        <v>1.4416729620831943E-3</v>
      </c>
      <c r="H455">
        <f t="shared" si="324"/>
        <v>-3.140150977037917</v>
      </c>
      <c r="J455">
        <f t="shared" si="325"/>
        <v>15</v>
      </c>
      <c r="M455">
        <f t="shared" si="326"/>
        <v>2.2154923359258088E-3</v>
      </c>
      <c r="N455">
        <f t="shared" si="327"/>
        <v>-1.5707963250000001</v>
      </c>
      <c r="O455">
        <f t="shared" si="328"/>
        <v>324.80766186705182</v>
      </c>
      <c r="P455">
        <f t="shared" si="329"/>
        <v>1.5677175768231837</v>
      </c>
      <c r="Q455">
        <f t="shared" si="330"/>
        <v>307.6513217544196</v>
      </c>
      <c r="R455">
        <f t="shared" si="331"/>
        <v>1.5675458880995856</v>
      </c>
      <c r="S455">
        <f t="shared" si="332"/>
        <v>0.12670626046624761</v>
      </c>
      <c r="T455">
        <f t="shared" si="333"/>
        <v>-1.4437485595298838</v>
      </c>
      <c r="U455">
        <f t="shared" si="334"/>
        <v>0.64753236028489447</v>
      </c>
      <c r="V455">
        <f t="shared" si="335"/>
        <v>-0.86645457428674477</v>
      </c>
      <c r="X455">
        <f t="shared" si="352"/>
        <v>-45.525457258762678</v>
      </c>
      <c r="Y455">
        <f t="shared" si="336"/>
        <v>-177.01826827383221</v>
      </c>
      <c r="Z455">
        <f t="shared" si="353"/>
        <v>2.9817317261677942</v>
      </c>
      <c r="AC455">
        <v>1</v>
      </c>
      <c r="AD455">
        <f t="shared" si="337"/>
        <v>324.80612249084999</v>
      </c>
      <c r="AE455">
        <f t="shared" si="338"/>
        <v>-2.951021460350799E-2</v>
      </c>
      <c r="AF455">
        <f t="shared" si="339"/>
        <v>2.5075941204888003E-2</v>
      </c>
      <c r="AG455">
        <f t="shared" si="367"/>
        <v>5411.4485035490707</v>
      </c>
      <c r="AH455">
        <f t="shared" si="368"/>
        <v>-6408.2542442810354</v>
      </c>
      <c r="AJ455">
        <f t="shared" si="340"/>
        <v>18000</v>
      </c>
      <c r="AK455">
        <f t="shared" si="341"/>
        <v>140915.886988338</v>
      </c>
      <c r="AL455">
        <v>1</v>
      </c>
      <c r="AM455">
        <f t="shared" si="342"/>
        <v>307.64969653364102</v>
      </c>
      <c r="AN455">
        <f t="shared" si="369"/>
        <v>458.22540129393701</v>
      </c>
      <c r="AO455">
        <f t="shared" si="370"/>
        <v>-57.018663747610411</v>
      </c>
      <c r="AQ455">
        <f t="shared" si="343"/>
        <v>1.7217331447920757E-3</v>
      </c>
      <c r="AR455">
        <f t="shared" si="344"/>
        <v>-4.1493768789489023</v>
      </c>
      <c r="AT455">
        <f t="shared" si="365"/>
        <v>-26580.944925396001</v>
      </c>
      <c r="AU455">
        <f t="shared" si="366"/>
        <v>-22465.172605981785</v>
      </c>
      <c r="AV455">
        <f t="shared" si="354"/>
        <v>-2.4399147133178318</v>
      </c>
      <c r="AW455">
        <f t="shared" si="355"/>
        <v>6265.2163517557829</v>
      </c>
      <c r="AX455">
        <f t="shared" si="356"/>
        <v>-9335.7075805217646</v>
      </c>
      <c r="AY455">
        <f t="shared" si="364"/>
        <v>-0.97972907112608443</v>
      </c>
      <c r="BA455">
        <f t="shared" si="345"/>
        <v>3.0954621673716338</v>
      </c>
      <c r="BB455">
        <f t="shared" si="357"/>
        <v>9.8145100089933894</v>
      </c>
      <c r="BC455">
        <f t="shared" si="358"/>
        <v>-1.4601856421917474</v>
      </c>
      <c r="BD455">
        <f t="shared" si="346"/>
        <v>-263.66247469878522</v>
      </c>
      <c r="BF455">
        <f t="shared" si="347"/>
        <v>-60.895244313415155</v>
      </c>
      <c r="BG455">
        <f t="shared" si="348"/>
        <v>-217.95321784268222</v>
      </c>
      <c r="BH455">
        <f t="shared" si="359"/>
        <v>-37.953217842682221</v>
      </c>
      <c r="BI455">
        <f t="shared" si="360"/>
        <v>-37.953217842682221</v>
      </c>
      <c r="BJ455">
        <f t="shared" si="349"/>
        <v>0</v>
      </c>
      <c r="BK455">
        <f t="shared" si="361"/>
        <v>0</v>
      </c>
      <c r="BM455">
        <f t="shared" si="362"/>
        <v>-70.709754322408543</v>
      </c>
      <c r="BN455">
        <f t="shared" si="350"/>
        <v>-134.29074314389703</v>
      </c>
      <c r="BQ455" s="56">
        <f t="shared" si="363"/>
        <v>26.71647080927853</v>
      </c>
    </row>
    <row r="456" spans="1:69" x14ac:dyDescent="0.25">
      <c r="A456">
        <f t="shared" si="372"/>
        <v>1210000</v>
      </c>
      <c r="B456">
        <f t="shared" si="351"/>
        <v>1210</v>
      </c>
      <c r="C456">
        <f t="shared" si="320"/>
        <v>1.4329729231487907</v>
      </c>
      <c r="D456">
        <f t="shared" si="321"/>
        <v>0.79840515828280434</v>
      </c>
      <c r="F456">
        <f t="shared" si="322"/>
        <v>1.3474325581797349E-5</v>
      </c>
      <c r="G456">
        <f t="shared" si="323"/>
        <v>1.4357154793366799E-3</v>
      </c>
      <c r="H456">
        <f t="shared" si="324"/>
        <v>-3.1401569345206637</v>
      </c>
      <c r="J456">
        <f t="shared" si="325"/>
        <v>15</v>
      </c>
      <c r="M456">
        <f t="shared" si="326"/>
        <v>2.206337408917851E-3</v>
      </c>
      <c r="N456">
        <f t="shared" si="327"/>
        <v>-1.5707963250000001</v>
      </c>
      <c r="O456">
        <f t="shared" si="328"/>
        <v>326.15539875287311</v>
      </c>
      <c r="P456">
        <f t="shared" si="329"/>
        <v>1.5677302988506099</v>
      </c>
      <c r="Q456">
        <f t="shared" si="330"/>
        <v>308.92786979606745</v>
      </c>
      <c r="R456">
        <f t="shared" si="331"/>
        <v>1.567559319570422</v>
      </c>
      <c r="S456">
        <f t="shared" si="332"/>
        <v>0.12619103547310703</v>
      </c>
      <c r="T456">
        <f t="shared" si="333"/>
        <v>-1.4442679536252083</v>
      </c>
      <c r="U456">
        <f t="shared" si="334"/>
        <v>0.64597450087138275</v>
      </c>
      <c r="V456">
        <f t="shared" si="335"/>
        <v>-0.86849713623223945</v>
      </c>
      <c r="X456">
        <f t="shared" si="352"/>
        <v>-45.599325011515973</v>
      </c>
      <c r="Y456">
        <f t="shared" si="336"/>
        <v>-177.04530951247591</v>
      </c>
      <c r="Z456">
        <f t="shared" si="353"/>
        <v>2.9546904875240898</v>
      </c>
      <c r="AC456">
        <v>1</v>
      </c>
      <c r="AD456">
        <f t="shared" si="337"/>
        <v>326.15386573770002</v>
      </c>
      <c r="AE456">
        <f t="shared" si="338"/>
        <v>-2.9755620737243541E-2</v>
      </c>
      <c r="AF456">
        <f t="shared" si="339"/>
        <v>2.5179990753455998E-2</v>
      </c>
      <c r="AG456">
        <f t="shared" si="367"/>
        <v>5385.4416641699663</v>
      </c>
      <c r="AH456">
        <f t="shared" si="368"/>
        <v>-6403.7815279761271</v>
      </c>
      <c r="AJ456">
        <f t="shared" si="340"/>
        <v>18000</v>
      </c>
      <c r="AK456">
        <f t="shared" si="341"/>
        <v>141500.60021235602</v>
      </c>
      <c r="AL456">
        <v>1</v>
      </c>
      <c r="AM456">
        <f t="shared" si="342"/>
        <v>308.92625129104198</v>
      </c>
      <c r="AN456">
        <f t="shared" si="369"/>
        <v>458.22387276947887</v>
      </c>
      <c r="AO456">
        <f t="shared" si="370"/>
        <v>-56.783054382465764</v>
      </c>
      <c r="AQ456">
        <f t="shared" si="343"/>
        <v>1.7075333468456139E-3</v>
      </c>
      <c r="AR456">
        <f t="shared" si="344"/>
        <v>-4.132230699366386</v>
      </c>
      <c r="AT456">
        <f t="shared" si="365"/>
        <v>-26452.706800709271</v>
      </c>
      <c r="AU456">
        <f t="shared" si="366"/>
        <v>-22264.822044834866</v>
      </c>
      <c r="AV456">
        <f t="shared" si="354"/>
        <v>-2.4419462678544468</v>
      </c>
      <c r="AW456">
        <f t="shared" si="355"/>
        <v>6238.1184100043893</v>
      </c>
      <c r="AX456">
        <f t="shared" si="356"/>
        <v>-9321.6982827621705</v>
      </c>
      <c r="AY456">
        <f t="shared" si="364"/>
        <v>-0.98103911753226347</v>
      </c>
      <c r="BA456">
        <f t="shared" si="345"/>
        <v>3.0825812837506099</v>
      </c>
      <c r="BB456">
        <f t="shared" si="357"/>
        <v>9.778290744245453</v>
      </c>
      <c r="BC456">
        <f t="shared" si="358"/>
        <v>-1.4609071503221833</v>
      </c>
      <c r="BD456">
        <f t="shared" si="346"/>
        <v>-263.70381406959075</v>
      </c>
      <c r="BF456">
        <f t="shared" si="347"/>
        <v>-60.984983648950319</v>
      </c>
      <c r="BG456">
        <f t="shared" si="348"/>
        <v>-217.87630766859846</v>
      </c>
      <c r="BH456">
        <f t="shared" si="359"/>
        <v>-37.876307668598457</v>
      </c>
      <c r="BI456">
        <f t="shared" si="360"/>
        <v>-37.876307668598457</v>
      </c>
      <c r="BJ456">
        <f t="shared" si="349"/>
        <v>0</v>
      </c>
      <c r="BK456">
        <f t="shared" si="361"/>
        <v>0</v>
      </c>
      <c r="BM456">
        <f t="shared" si="362"/>
        <v>-70.763274393195772</v>
      </c>
      <c r="BN456">
        <f t="shared" si="350"/>
        <v>-134.17249359900768</v>
      </c>
      <c r="BQ456" s="56">
        <f t="shared" si="363"/>
        <v>26.680251544530588</v>
      </c>
    </row>
    <row r="457" spans="1:69" x14ac:dyDescent="0.25">
      <c r="A457">
        <f t="shared" si="372"/>
        <v>1215000</v>
      </c>
      <c r="B457">
        <f t="shared" si="351"/>
        <v>1215</v>
      </c>
      <c r="C457">
        <f t="shared" ref="C457:C520" si="373">SQRT((A457/Fesr)^2+1)</f>
        <v>1.4360136716472554</v>
      </c>
      <c r="D457">
        <f t="shared" ref="D457:D520" si="374">ATAN(A457/Fesr)</f>
        <v>0.80046620288035852</v>
      </c>
      <c r="F457">
        <f t="shared" ref="F457:F520" si="375">(Ro/(Ro+Rdcr))/SQRT((A457/(Q*Fo))^2+(1-(A457^2/Fo^2))^2)</f>
        <v>1.336365257100644E-5</v>
      </c>
      <c r="G457">
        <f t="shared" ref="G457:G520" si="376">-ATAN(A457*Fo/(Q*(Fo^2-A457^2)))</f>
        <v>1.4298070312896609E-3</v>
      </c>
      <c r="H457">
        <f t="shared" ref="H457:H520" si="377">IF(G457&gt;0,G457-Pi,G457)</f>
        <v>-3.1401628429687105</v>
      </c>
      <c r="J457">
        <f t="shared" ref="J457:J520" si="378">Vin/Vramp</f>
        <v>15</v>
      </c>
      <c r="M457">
        <f t="shared" ref="M457:M520" si="379">1/(2*Pi*_Rfb1*(Cc1ea_u+Cc2ea_u)*A457)</f>
        <v>2.1972578311033743E-3</v>
      </c>
      <c r="N457">
        <f t="shared" ref="N457:N520" si="380">-Pi/2</f>
        <v>-1.5707963250000001</v>
      </c>
      <c r="O457">
        <f t="shared" ref="O457:O520" si="381">SQRT(1+(A457/Fz1_u)^2)</f>
        <v>327.50313569104816</v>
      </c>
      <c r="P457">
        <f t="shared" ref="P457:P520" si="382">ATAN2(Fz1_u,A457)</f>
        <v>1.5677429161709717</v>
      </c>
      <c r="Q457">
        <f t="shared" ref="Q457:Q520" si="383">SQRT(1+(A457/Fz2_u)^2)</f>
        <v>310.20441789298866</v>
      </c>
      <c r="R457">
        <f t="shared" ref="R457:R520" si="384">ATAN2(Fz2_u,A457)</f>
        <v>1.5675726404953267</v>
      </c>
      <c r="S457">
        <f t="shared" ref="S457:S520" si="385">1/SQRT(1+(A457/Fp1_u)^2)</f>
        <v>0.12567995013014155</v>
      </c>
      <c r="T457">
        <f t="shared" ref="T457:T520" si="386">-ATAN2(Fp1_u,A457)</f>
        <v>-1.4447831406705105</v>
      </c>
      <c r="U457">
        <f t="shared" ref="U457:U520" si="387">1/SQRT(1+(A457/Fp2_u)^2)</f>
        <v>0.64442145015808983</v>
      </c>
      <c r="V457">
        <f t="shared" ref="V457:V520" si="388">-ATAN2(Fp2_u,A457)</f>
        <v>-0.87052988517717422</v>
      </c>
      <c r="X457">
        <f t="shared" si="352"/>
        <v>-45.672890804364897</v>
      </c>
      <c r="Y457">
        <f t="shared" ref="Y457:Y520" si="389">(180/Pi)*(D457+H457+N457+P457+R457+T457+V457)</f>
        <v>-177.07205871154326</v>
      </c>
      <c r="Z457">
        <f t="shared" si="353"/>
        <v>2.9279412884567364</v>
      </c>
      <c r="AC457">
        <v>1</v>
      </c>
      <c r="AD457">
        <f t="shared" ref="AD457:AD520" si="390">Rcea1_u*Cc1ea_u*A457*2*Pi</f>
        <v>327.50160898455005</v>
      </c>
      <c r="AE457">
        <f t="shared" ref="AE457:AE520" si="391">-Rcea1_u*Cc1ea_u*Cc2ea_u*(A457*2*Pi)^2</f>
        <v>-3.00020430454459E-2</v>
      </c>
      <c r="AF457">
        <f t="shared" ref="AF457:AF520" si="392">(Cc2ea_u+Cc1ea_u)*A457*2*Pi</f>
        <v>2.5284040302023997E-2</v>
      </c>
      <c r="AG457">
        <f t="shared" si="367"/>
        <v>5359.5774549376165</v>
      </c>
      <c r="AH457">
        <f t="shared" si="368"/>
        <v>-6399.2254234576485</v>
      </c>
      <c r="AJ457">
        <f t="shared" ref="AJ457:AJ520" si="393">_Rfb1</f>
        <v>18000</v>
      </c>
      <c r="AK457">
        <f t="shared" ref="AK457:AK520" si="394">_Rfb1*Rcea2_u*Cc3ea_u*A457*2*Pi</f>
        <v>142085.31343637401</v>
      </c>
      <c r="AL457">
        <v>1</v>
      </c>
      <c r="AM457">
        <f t="shared" ref="AM457:AM520" si="395">(_Rfb1+Rcea2_u)*Cc3ea_u*A457*2*Pi</f>
        <v>310.20280604844299</v>
      </c>
      <c r="AN457">
        <f t="shared" si="369"/>
        <v>458.22236307657602</v>
      </c>
      <c r="AO457">
        <f t="shared" si="370"/>
        <v>-56.549384128343441</v>
      </c>
      <c r="AQ457">
        <f t="shared" ref="AQ457:AQ520" si="396">Eadcg/(1+(Eadcg*A457/GBP)^2)</f>
        <v>1.6935084940458782E-3</v>
      </c>
      <c r="AR457">
        <f t="shared" ref="AR457:AR520" si="397">-(A457*Eadcg*Eadcg/GBP)/(1+(Eadcg*A457/GBP)^2)</f>
        <v>-4.1152256405314835</v>
      </c>
      <c r="AT457">
        <f t="shared" si="365"/>
        <v>-26325.180052209424</v>
      </c>
      <c r="AU457">
        <f t="shared" si="366"/>
        <v>-22066.70770758369</v>
      </c>
      <c r="AV457">
        <f t="shared" si="354"/>
        <v>-2.4439680999854816</v>
      </c>
      <c r="AW457">
        <f t="shared" si="355"/>
        <v>6211.1558012739115</v>
      </c>
      <c r="AX457">
        <f t="shared" si="356"/>
        <v>-9307.6701516670928</v>
      </c>
      <c r="AY457">
        <f t="shared" si="364"/>
        <v>-0.98234442458410554</v>
      </c>
      <c r="BA457">
        <f t="shared" ref="BA457:BA520" si="398">SQRT(AT457^2+AU457^2)/SQRT(AW457^2+AX457^2)</f>
        <v>3.0698072811887567</v>
      </c>
      <c r="BB457">
        <f t="shared" si="357"/>
        <v>9.7422222369481819</v>
      </c>
      <c r="BC457">
        <f t="shared" si="358"/>
        <v>-1.4616236754013761</v>
      </c>
      <c r="BD457">
        <f t="shared" ref="BD457:BD520" si="399">BC457*180/Pi-180</f>
        <v>-263.74486793259075</v>
      </c>
      <c r="BF457">
        <f t="shared" ref="BF457:BF520" si="400">20*LOG(BA457*J457*F457*C457)</f>
        <v>-61.074277562919889</v>
      </c>
      <c r="BG457">
        <f t="shared" ref="BG457:BG520" si="401">(180/Pi)*(D457+H457+BC457)</f>
        <v>-217.79961090377233</v>
      </c>
      <c r="BH457">
        <f t="shared" si="359"/>
        <v>-37.799610903772333</v>
      </c>
      <c r="BI457">
        <f t="shared" si="360"/>
        <v>-37.799610903772333</v>
      </c>
      <c r="BJ457">
        <f t="shared" ref="BJ457:BJ520" si="402">SUM((BF458&lt;0)*(BF457&gt;0))*A457</f>
        <v>0</v>
      </c>
      <c r="BK457">
        <f t="shared" si="361"/>
        <v>0</v>
      </c>
      <c r="BM457">
        <f t="shared" si="362"/>
        <v>-70.816499799868055</v>
      </c>
      <c r="BN457">
        <f t="shared" ref="BN457:BN520" si="403">(H457+D457)*180/Pi</f>
        <v>-134.05474297118161</v>
      </c>
      <c r="BQ457" s="56">
        <f t="shared" si="363"/>
        <v>26.644183037233319</v>
      </c>
    </row>
    <row r="458" spans="1:69" x14ac:dyDescent="0.25">
      <c r="A458">
        <f t="shared" si="372"/>
        <v>1220000</v>
      </c>
      <c r="B458">
        <f t="shared" ref="B458:B521" si="404">A458/1000</f>
        <v>1220</v>
      </c>
      <c r="C458">
        <f t="shared" si="373"/>
        <v>1.4390604944011325</v>
      </c>
      <c r="D458">
        <f t="shared" si="374"/>
        <v>0.80251852875236629</v>
      </c>
      <c r="F458">
        <f t="shared" si="375"/>
        <v>1.3254337526423656E-5</v>
      </c>
      <c r="G458">
        <f t="shared" si="376"/>
        <v>1.4239470150252105E-3</v>
      </c>
      <c r="H458">
        <f t="shared" si="377"/>
        <v>-3.1401687029849752</v>
      </c>
      <c r="J458">
        <f t="shared" si="378"/>
        <v>15</v>
      </c>
      <c r="M458">
        <f t="shared" si="379"/>
        <v>2.1882526760578684E-3</v>
      </c>
      <c r="N458">
        <f t="shared" si="380"/>
        <v>-1.5707963250000001</v>
      </c>
      <c r="O458">
        <f t="shared" si="381"/>
        <v>328.85087268093326</v>
      </c>
      <c r="P458">
        <f t="shared" si="382"/>
        <v>1.5677554300716352</v>
      </c>
      <c r="Q458">
        <f t="shared" si="383"/>
        <v>311.48096604450353</v>
      </c>
      <c r="R458">
        <f t="shared" si="384"/>
        <v>1.5675858522334527</v>
      </c>
      <c r="S458">
        <f t="shared" si="385"/>
        <v>0.12517295515137902</v>
      </c>
      <c r="T458">
        <f t="shared" si="386"/>
        <v>-1.4452941713045693</v>
      </c>
      <c r="U458">
        <f t="shared" si="387"/>
        <v>0.64287321191074287</v>
      </c>
      <c r="V458">
        <f t="shared" si="388"/>
        <v>-0.8725528749900151</v>
      </c>
      <c r="X458">
        <f t="shared" ref="X458:X521" si="405">20*LOG(C458*J458*O458*Q458*F458*M458*S458*U458)</f>
        <v>-45.746156988598855</v>
      </c>
      <c r="Y458">
        <f t="shared" si="389"/>
        <v>-177.09851956140108</v>
      </c>
      <c r="Z458">
        <f t="shared" ref="Z458:Z521" si="406">Y458+180</f>
        <v>2.9014804385989237</v>
      </c>
      <c r="AC458">
        <v>1</v>
      </c>
      <c r="AD458">
        <f t="shared" si="390"/>
        <v>328.84935223140002</v>
      </c>
      <c r="AE458">
        <f t="shared" si="391"/>
        <v>-3.0249481528115078E-2</v>
      </c>
      <c r="AF458">
        <f t="shared" si="392"/>
        <v>2.5388089850592002E-2</v>
      </c>
      <c r="AG458">
        <f t="shared" si="367"/>
        <v>5333.8553600371188</v>
      </c>
      <c r="AH458">
        <f t="shared" si="368"/>
        <v>-6394.5873889088507</v>
      </c>
      <c r="AJ458">
        <f t="shared" si="393"/>
        <v>18000</v>
      </c>
      <c r="AK458">
        <f t="shared" si="394"/>
        <v>142670.026660392</v>
      </c>
      <c r="AL458">
        <v>1</v>
      </c>
      <c r="AM458">
        <f t="shared" si="395"/>
        <v>311.47936080584401</v>
      </c>
      <c r="AN458">
        <f t="shared" si="369"/>
        <v>458.22087190715354</v>
      </c>
      <c r="AO458">
        <f t="shared" si="370"/>
        <v>-56.317629144703595</v>
      </c>
      <c r="AQ458">
        <f t="shared" si="396"/>
        <v>1.6796557243254965E-3</v>
      </c>
      <c r="AR458">
        <f t="shared" si="397"/>
        <v>-4.0983599673542113</v>
      </c>
      <c r="AT458">
        <f t="shared" si="365"/>
        <v>-26198.361921763921</v>
      </c>
      <c r="AU458">
        <f t="shared" si="366"/>
        <v>-21870.799984546291</v>
      </c>
      <c r="AV458">
        <f t="shared" ref="AV458:AV521" si="407">ATAN2(AT458,AU458)</f>
        <v>-2.4459802624655453</v>
      </c>
      <c r="AW458">
        <f t="shared" ref="AW458:AW521" si="408">AG458-AH458*AO458/_Rfb2+AG458*AN458/_Rfb2+AN458-AO458*AR458+AQ458*AN458</f>
        <v>6184.3283411634757</v>
      </c>
      <c r="AX458">
        <f t="shared" ref="AX458:AX521" si="409">AH458+AH458*AN458/_Rfb2+AG458*AO458/_Rfb2+AO458+AO458*AQ458+AN458*AR458</f>
        <v>-9293.6239007951026</v>
      </c>
      <c r="AY458">
        <f t="shared" si="364"/>
        <v>-0.98364498216137664</v>
      </c>
      <c r="BA458">
        <f t="shared" si="398"/>
        <v>3.057138831366097</v>
      </c>
      <c r="BB458">
        <f t="shared" ref="BB458:BB521" si="410">20*LOG(BA458)</f>
        <v>9.7063032287393494</v>
      </c>
      <c r="BC458">
        <f t="shared" ref="BC458:BC521" si="411">AV458-AY458</f>
        <v>-1.4623352803041687</v>
      </c>
      <c r="BD458">
        <f t="shared" si="399"/>
        <v>-263.78563989024815</v>
      </c>
      <c r="BF458">
        <f t="shared" si="400"/>
        <v>-61.163130054094815</v>
      </c>
      <c r="BG458">
        <f t="shared" si="401"/>
        <v>-217.72312900484405</v>
      </c>
      <c r="BH458">
        <f t="shared" ref="BH458:BH521" si="412">IF(BG458&gt;180,BG458-180,BG458+180)</f>
        <v>-37.723129004844054</v>
      </c>
      <c r="BI458">
        <f t="shared" ref="BI458:BI521" si="413">IF(BH458&gt;180,BH458-360,BH458)</f>
        <v>-37.723129004844054</v>
      </c>
      <c r="BJ458">
        <f t="shared" si="402"/>
        <v>0</v>
      </c>
      <c r="BK458">
        <f t="shared" ref="BK458:BK521" si="414">IF(BJ458&gt;0,BI458,0)</f>
        <v>0</v>
      </c>
      <c r="BM458">
        <f t="shared" ref="BM458:BM521" si="415">20*LOG(J458*F458*C458)</f>
        <v>-70.869433282834166</v>
      </c>
      <c r="BN458">
        <f t="shared" si="403"/>
        <v>-133.93748911459593</v>
      </c>
      <c r="BQ458" s="56">
        <f t="shared" ref="BQ458:BQ521" si="416">20*LOG(BA458*7)</f>
        <v>26.608264029024483</v>
      </c>
    </row>
    <row r="459" spans="1:69" x14ac:dyDescent="0.25">
      <c r="A459">
        <f t="shared" si="372"/>
        <v>1225000</v>
      </c>
      <c r="B459">
        <f t="shared" si="404"/>
        <v>1225</v>
      </c>
      <c r="C459">
        <f t="shared" si="373"/>
        <v>1.4421133529103016</v>
      </c>
      <c r="D459">
        <f t="shared" si="374"/>
        <v>0.80456217392593465</v>
      </c>
      <c r="F459">
        <f t="shared" si="375"/>
        <v>1.3146358322019873E-5</v>
      </c>
      <c r="G459">
        <f t="shared" si="376"/>
        <v>1.4181348374705772E-3</v>
      </c>
      <c r="H459">
        <f t="shared" si="377"/>
        <v>-3.1401745151625295</v>
      </c>
      <c r="J459">
        <f t="shared" si="378"/>
        <v>15</v>
      </c>
      <c r="M459">
        <f t="shared" si="379"/>
        <v>2.1793210324821221E-3</v>
      </c>
      <c r="N459">
        <f t="shared" si="380"/>
        <v>-1.5707963250000001</v>
      </c>
      <c r="O459">
        <f t="shared" si="381"/>
        <v>330.19860972189537</v>
      </c>
      <c r="P459">
        <f t="shared" si="382"/>
        <v>1.567767841818948</v>
      </c>
      <c r="Q459">
        <f t="shared" si="383"/>
        <v>312.75751424994354</v>
      </c>
      <c r="R459">
        <f t="shared" si="384"/>
        <v>1.567598956121762</v>
      </c>
      <c r="S459">
        <f t="shared" si="385"/>
        <v>0.12467000202360015</v>
      </c>
      <c r="T459">
        <f t="shared" si="386"/>
        <v>-1.4458010953610465</v>
      </c>
      <c r="U459">
        <f t="shared" si="387"/>
        <v>0.64132978940687513</v>
      </c>
      <c r="V459">
        <f t="shared" si="388"/>
        <v>-0.87456615934275117</v>
      </c>
      <c r="X459">
        <f t="shared" si="405"/>
        <v>-45.819125888733922</v>
      </c>
      <c r="Y459">
        <f t="shared" si="389"/>
        <v>-177.12469569851547</v>
      </c>
      <c r="Z459">
        <f t="shared" si="406"/>
        <v>2.8753043014845332</v>
      </c>
      <c r="AC459">
        <v>1</v>
      </c>
      <c r="AD459">
        <f t="shared" si="390"/>
        <v>330.19709547825005</v>
      </c>
      <c r="AE459">
        <f t="shared" si="391"/>
        <v>-3.0497936185251064E-2</v>
      </c>
      <c r="AF459">
        <f t="shared" si="392"/>
        <v>2.5492139399159997E-2</v>
      </c>
      <c r="AG459">
        <f t="shared" si="367"/>
        <v>5308.2748567625376</v>
      </c>
      <c r="AH459">
        <f t="shared" si="368"/>
        <v>-6389.8688644658878</v>
      </c>
      <c r="AJ459">
        <f t="shared" si="393"/>
        <v>18000</v>
      </c>
      <c r="AK459">
        <f t="shared" si="394"/>
        <v>143254.73988441002</v>
      </c>
      <c r="AL459">
        <v>1</v>
      </c>
      <c r="AM459">
        <f t="shared" si="395"/>
        <v>312.75591556324503</v>
      </c>
      <c r="AN459">
        <f t="shared" si="369"/>
        <v>458.2193989594104</v>
      </c>
      <c r="AO459">
        <f t="shared" si="370"/>
        <v>-56.087765980219544</v>
      </c>
      <c r="AQ459">
        <f t="shared" si="396"/>
        <v>1.6659722339071664E-3</v>
      </c>
      <c r="AR459">
        <f t="shared" si="397"/>
        <v>-4.0816319730725574</v>
      </c>
      <c r="AT459">
        <f t="shared" si="365"/>
        <v>-26072.249622423489</v>
      </c>
      <c r="AU459">
        <f t="shared" si="366"/>
        <v>-21677.069721325632</v>
      </c>
      <c r="AV459">
        <f t="shared" si="407"/>
        <v>-2.4479828078709565</v>
      </c>
      <c r="AW459">
        <f t="shared" si="408"/>
        <v>6157.6358296021663</v>
      </c>
      <c r="AX459">
        <f t="shared" si="409"/>
        <v>-9279.5602385156071</v>
      </c>
      <c r="AY459">
        <f t="shared" ref="AY459:AY522" si="417">ATAN2(AW459,AX459)</f>
        <v>-0.9849407810249432</v>
      </c>
      <c r="BA459">
        <f t="shared" si="398"/>
        <v>3.0445746279203072</v>
      </c>
      <c r="BB459">
        <f t="shared" si="410"/>
        <v>9.6705324769700507</v>
      </c>
      <c r="BC459">
        <f t="shared" si="411"/>
        <v>-1.4630420268460131</v>
      </c>
      <c r="BD459">
        <f t="shared" si="399"/>
        <v>-263.82613348432756</v>
      </c>
      <c r="BF459">
        <f t="shared" si="400"/>
        <v>-61.251545071676226</v>
      </c>
      <c r="BG459">
        <f t="shared" si="401"/>
        <v>-217.64686336876593</v>
      </c>
      <c r="BH459">
        <f t="shared" si="412"/>
        <v>-37.646863368765935</v>
      </c>
      <c r="BI459">
        <f t="shared" si="413"/>
        <v>-37.646863368765935</v>
      </c>
      <c r="BJ459">
        <f t="shared" si="402"/>
        <v>0</v>
      </c>
      <c r="BK459">
        <f t="shared" si="414"/>
        <v>0</v>
      </c>
      <c r="BM459">
        <f t="shared" si="415"/>
        <v>-70.922077548646286</v>
      </c>
      <c r="BN459">
        <f t="shared" si="403"/>
        <v>-133.82072988443841</v>
      </c>
      <c r="BQ459" s="56">
        <f t="shared" si="416"/>
        <v>26.572493277255191</v>
      </c>
    </row>
    <row r="460" spans="1:69" x14ac:dyDescent="0.25">
      <c r="A460">
        <f t="shared" si="372"/>
        <v>1230000</v>
      </c>
      <c r="B460">
        <f t="shared" si="404"/>
        <v>1230</v>
      </c>
      <c r="C460">
        <f t="shared" si="373"/>
        <v>1.4451722089240135</v>
      </c>
      <c r="D460">
        <f t="shared" si="374"/>
        <v>0.80659717639720929</v>
      </c>
      <c r="F460">
        <f t="shared" si="375"/>
        <v>1.3039693280577245E-5</v>
      </c>
      <c r="G460">
        <f t="shared" si="376"/>
        <v>1.4123699151970856E-3</v>
      </c>
      <c r="H460">
        <f t="shared" si="377"/>
        <v>-3.1401802800848033</v>
      </c>
      <c r="J460">
        <f t="shared" si="378"/>
        <v>15</v>
      </c>
      <c r="M460">
        <f t="shared" si="379"/>
        <v>2.1704620038947966E-3</v>
      </c>
      <c r="N460">
        <f t="shared" si="380"/>
        <v>-1.5707963250000001</v>
      </c>
      <c r="O460">
        <f t="shared" si="381"/>
        <v>331.5463468133114</v>
      </c>
      <c r="P460">
        <f t="shared" si="382"/>
        <v>1.5677801526586681</v>
      </c>
      <c r="Q460">
        <f t="shared" si="383"/>
        <v>314.03406250865112</v>
      </c>
      <c r="R460">
        <f t="shared" si="384"/>
        <v>1.5676119534754789</v>
      </c>
      <c r="S460">
        <f t="shared" si="385"/>
        <v>0.12417104299138466</v>
      </c>
      <c r="T460">
        <f t="shared" si="386"/>
        <v>-1.4463039618843392</v>
      </c>
      <c r="U460">
        <f t="shared" si="387"/>
        <v>0.63979118544576918</v>
      </c>
      <c r="V460">
        <f t="shared" si="388"/>
        <v>-0.87656979170833771</v>
      </c>
      <c r="X460">
        <f t="shared" si="405"/>
        <v>-45.891799802921369</v>
      </c>
      <c r="Y460">
        <f t="shared" si="389"/>
        <v>-177.15059070637383</v>
      </c>
      <c r="Z460">
        <f t="shared" si="406"/>
        <v>2.8494092936261666</v>
      </c>
      <c r="AC460">
        <v>1</v>
      </c>
      <c r="AD460">
        <f t="shared" si="390"/>
        <v>331.54483872510002</v>
      </c>
      <c r="AE460">
        <f t="shared" si="391"/>
        <v>-3.074740701685387E-2</v>
      </c>
      <c r="AF460">
        <f t="shared" si="392"/>
        <v>2.5596188947728003E-2</v>
      </c>
      <c r="AG460">
        <f t="shared" si="367"/>
        <v>5282.8354157827216</v>
      </c>
      <c r="AH460">
        <f t="shared" si="368"/>
        <v>-6385.0712723633278</v>
      </c>
      <c r="AJ460">
        <f t="shared" si="393"/>
        <v>18000</v>
      </c>
      <c r="AK460">
        <f t="shared" si="394"/>
        <v>143839.45310842799</v>
      </c>
      <c r="AL460">
        <v>1</v>
      </c>
      <c r="AM460">
        <f t="shared" si="395"/>
        <v>314.03247032064598</v>
      </c>
      <c r="AN460">
        <f t="shared" si="369"/>
        <v>458.21794393766709</v>
      </c>
      <c r="AO460">
        <f t="shared" si="370"/>
        <v>-55.85977156486755</v>
      </c>
      <c r="AQ460">
        <f t="shared" si="396"/>
        <v>1.6524552758848444E-3</v>
      </c>
      <c r="AR460">
        <f t="shared" si="397"/>
        <v>-4.0650399786767171</v>
      </c>
      <c r="AT460">
        <f t="shared" si="365"/>
        <v>-25946.840339602699</v>
      </c>
      <c r="AU460">
        <f t="shared" si="366"/>
        <v>-21485.488210636919</v>
      </c>
      <c r="AV460">
        <f t="shared" si="407"/>
        <v>-2.449975788596813</v>
      </c>
      <c r="AW460">
        <f t="shared" si="408"/>
        <v>6131.0780513399577</v>
      </c>
      <c r="AX460">
        <f t="shared" si="409"/>
        <v>-9265.4798678665265</v>
      </c>
      <c r="AY460">
        <f t="shared" si="417"/>
        <v>-0.98623181279152317</v>
      </c>
      <c r="BA460">
        <f t="shared" si="398"/>
        <v>3.0321133859943625</v>
      </c>
      <c r="BB460">
        <f t="shared" si="410"/>
        <v>9.6349087544440195</v>
      </c>
      <c r="BC460">
        <f t="shared" si="411"/>
        <v>-1.4637439758052899</v>
      </c>
      <c r="BD460">
        <f t="shared" si="399"/>
        <v>-263.86635219717368</v>
      </c>
      <c r="BF460">
        <f t="shared" si="400"/>
        <v>-61.339526516078706</v>
      </c>
      <c r="BG460">
        <f t="shared" si="401"/>
        <v>-217.57081533429201</v>
      </c>
      <c r="BH460">
        <f t="shared" si="412"/>
        <v>-37.570815334292007</v>
      </c>
      <c r="BI460">
        <f t="shared" si="413"/>
        <v>-37.570815334292007</v>
      </c>
      <c r="BJ460">
        <f t="shared" si="402"/>
        <v>0</v>
      </c>
      <c r="BK460">
        <f t="shared" si="414"/>
        <v>0</v>
      </c>
      <c r="BM460">
        <f t="shared" si="415"/>
        <v>-70.974435270522719</v>
      </c>
      <c r="BN460">
        <f t="shared" si="403"/>
        <v>-133.70446313711832</v>
      </c>
      <c r="BQ460" s="56">
        <f t="shared" si="416"/>
        <v>26.536869554729154</v>
      </c>
    </row>
    <row r="461" spans="1:69" x14ac:dyDescent="0.25">
      <c r="A461">
        <f t="shared" si="372"/>
        <v>1235000</v>
      </c>
      <c r="B461">
        <f t="shared" si="404"/>
        <v>1235</v>
      </c>
      <c r="C461">
        <f t="shared" si="373"/>
        <v>1.4482370244398508</v>
      </c>
      <c r="D461">
        <f t="shared" si="374"/>
        <v>0.80862357412797592</v>
      </c>
      <c r="F461">
        <f t="shared" si="375"/>
        <v>1.2934321162808696E-5</v>
      </c>
      <c r="G461">
        <f t="shared" si="376"/>
        <v>1.4066516742248976E-3</v>
      </c>
      <c r="H461">
        <f t="shared" si="377"/>
        <v>-3.1401859983257752</v>
      </c>
      <c r="J461">
        <f t="shared" si="378"/>
        <v>15</v>
      </c>
      <c r="M461">
        <f t="shared" si="379"/>
        <v>2.1616747083324692E-3</v>
      </c>
      <c r="N461">
        <f t="shared" si="380"/>
        <v>-1.5707963250000001</v>
      </c>
      <c r="O461">
        <f t="shared" si="381"/>
        <v>332.89408395456877</v>
      </c>
      <c r="P461">
        <f t="shared" si="382"/>
        <v>1.5677923638163787</v>
      </c>
      <c r="Q461">
        <f t="shared" si="383"/>
        <v>315.31061081997933</v>
      </c>
      <c r="R461">
        <f t="shared" si="384"/>
        <v>1.5676248455885282</v>
      </c>
      <c r="S461">
        <f t="shared" si="385"/>
        <v>0.12367603104250029</v>
      </c>
      <c r="T461">
        <f t="shared" si="386"/>
        <v>-1.4468028191450581</v>
      </c>
      <c r="U461">
        <f t="shared" si="387"/>
        <v>0.63825740235825568</v>
      </c>
      <c r="V461">
        <f t="shared" si="388"/>
        <v>-0.87856382535823929</v>
      </c>
      <c r="X461">
        <f t="shared" si="405"/>
        <v>-45.964181003348266</v>
      </c>
      <c r="Y461">
        <f t="shared" si="389"/>
        <v>-177.17620811638776</v>
      </c>
      <c r="Z461">
        <f t="shared" si="406"/>
        <v>2.8237918836122446</v>
      </c>
      <c r="AC461">
        <v>1</v>
      </c>
      <c r="AD461">
        <f t="shared" si="390"/>
        <v>332.89258197194999</v>
      </c>
      <c r="AE461">
        <f t="shared" si="391"/>
        <v>-3.0997894022923488E-2</v>
      </c>
      <c r="AF461">
        <f t="shared" si="392"/>
        <v>2.5700238496296001E-2</v>
      </c>
      <c r="AG461">
        <f t="shared" si="367"/>
        <v>5257.536501401486</v>
      </c>
      <c r="AH461">
        <f t="shared" si="368"/>
        <v>-6380.1960170808306</v>
      </c>
      <c r="AJ461">
        <f t="shared" si="393"/>
        <v>18000</v>
      </c>
      <c r="AK461">
        <f t="shared" si="394"/>
        <v>144424.16633244601</v>
      </c>
      <c r="AL461">
        <v>1</v>
      </c>
      <c r="AM461">
        <f t="shared" si="395"/>
        <v>315.309025078047</v>
      </c>
      <c r="AN461">
        <f t="shared" si="369"/>
        <v>458.21650655221742</v>
      </c>
      <c r="AO461">
        <f t="shared" si="370"/>
        <v>-55.633623202208518</v>
      </c>
      <c r="AQ461">
        <f t="shared" si="396"/>
        <v>1.6391021588450625E-3</v>
      </c>
      <c r="AR461">
        <f t="shared" si="397"/>
        <v>-4.048582332347304</v>
      </c>
      <c r="AT461">
        <f t="shared" si="365"/>
        <v>-25822.131232236436</v>
      </c>
      <c r="AU461">
        <f t="shared" si="366"/>
        <v>-21296.027184310566</v>
      </c>
      <c r="AV461">
        <f t="shared" si="407"/>
        <v>-2.4519592568541788</v>
      </c>
      <c r="AW461">
        <f t="shared" si="408"/>
        <v>6104.6547764268789</v>
      </c>
      <c r="AX461">
        <f t="shared" si="409"/>
        <v>-9251.3834864206656</v>
      </c>
      <c r="AY461">
        <f t="shared" si="417"/>
        <v>-0.98751806990911017</v>
      </c>
      <c r="BA461">
        <f t="shared" si="398"/>
        <v>3.0197538417953123</v>
      </c>
      <c r="BB461">
        <f t="shared" si="410"/>
        <v>9.5994308491622711</v>
      </c>
      <c r="BC461">
        <f t="shared" si="411"/>
        <v>-1.4644411869450686</v>
      </c>
      <c r="BD461">
        <f t="shared" si="399"/>
        <v>-263.90629945295814</v>
      </c>
      <c r="BF461">
        <f t="shared" si="400"/>
        <v>-61.427078239698361</v>
      </c>
      <c r="BG461">
        <f t="shared" si="401"/>
        <v>-217.49498618343029</v>
      </c>
      <c r="BH461">
        <f t="shared" si="412"/>
        <v>-37.494986183430285</v>
      </c>
      <c r="BI461">
        <f t="shared" si="413"/>
        <v>-37.494986183430285</v>
      </c>
      <c r="BJ461">
        <f t="shared" si="402"/>
        <v>0</v>
      </c>
      <c r="BK461">
        <f t="shared" si="414"/>
        <v>0</v>
      </c>
      <c r="BM461">
        <f t="shared" si="415"/>
        <v>-71.026509088860635</v>
      </c>
      <c r="BN461">
        <f t="shared" si="403"/>
        <v>-133.58868673047218</v>
      </c>
      <c r="BQ461" s="56">
        <f t="shared" si="416"/>
        <v>26.501391649447406</v>
      </c>
    </row>
    <row r="462" spans="1:69" x14ac:dyDescent="0.25">
      <c r="A462">
        <f t="shared" si="372"/>
        <v>1240000</v>
      </c>
      <c r="B462">
        <f t="shared" si="404"/>
        <v>1240</v>
      </c>
      <c r="C462">
        <f t="shared" si="373"/>
        <v>1.4513077617026766</v>
      </c>
      <c r="D462">
        <f t="shared" si="374"/>
        <v>0.81064140504234017</v>
      </c>
      <c r="F462">
        <f t="shared" si="375"/>
        <v>1.283022115678393E-5</v>
      </c>
      <c r="G462">
        <f t="shared" si="376"/>
        <v>1.4009795498324963E-3</v>
      </c>
      <c r="H462">
        <f t="shared" si="377"/>
        <v>-3.1401916704501676</v>
      </c>
      <c r="J462">
        <f t="shared" si="378"/>
        <v>15</v>
      </c>
      <c r="M462">
        <f t="shared" si="379"/>
        <v>2.1529582780569355E-3</v>
      </c>
      <c r="N462">
        <f t="shared" si="380"/>
        <v>-1.5707963250000001</v>
      </c>
      <c r="O462">
        <f t="shared" si="381"/>
        <v>334.24182114506436</v>
      </c>
      <c r="P462">
        <f t="shared" si="382"/>
        <v>1.5678044764978958</v>
      </c>
      <c r="Q462">
        <f t="shared" si="383"/>
        <v>316.58715918329165</v>
      </c>
      <c r="R462">
        <f t="shared" si="384"/>
        <v>1.5676376337339653</v>
      </c>
      <c r="S462">
        <f t="shared" si="385"/>
        <v>0.12318491989362527</v>
      </c>
      <c r="T462">
        <f t="shared" si="386"/>
        <v>-1.4472977146551489</v>
      </c>
      <c r="U462">
        <f t="shared" si="387"/>
        <v>0.63672844201637124</v>
      </c>
      <c r="V462">
        <f t="shared" si="388"/>
        <v>-0.88054831336006911</v>
      </c>
      <c r="X462">
        <f t="shared" si="405"/>
        <v>-46.036271736630283</v>
      </c>
      <c r="Y462">
        <f t="shared" si="389"/>
        <v>-177.20155140877768</v>
      </c>
      <c r="Z462">
        <f t="shared" si="406"/>
        <v>2.7984485912223249</v>
      </c>
      <c r="AC462">
        <v>1</v>
      </c>
      <c r="AD462">
        <f t="shared" si="390"/>
        <v>334.24032521880002</v>
      </c>
      <c r="AE462">
        <f t="shared" si="391"/>
        <v>-3.1249397203459921E-2</v>
      </c>
      <c r="AF462">
        <f t="shared" si="392"/>
        <v>2.5804288044864E-2</v>
      </c>
      <c r="AG462">
        <f t="shared" si="367"/>
        <v>5232.3775718122542</v>
      </c>
      <c r="AH462">
        <f t="shared" si="368"/>
        <v>-6375.2444854908344</v>
      </c>
      <c r="AJ462">
        <f t="shared" si="393"/>
        <v>18000</v>
      </c>
      <c r="AK462">
        <f t="shared" si="394"/>
        <v>145008.879556464</v>
      </c>
      <c r="AL462">
        <v>1</v>
      </c>
      <c r="AM462">
        <f t="shared" si="395"/>
        <v>316.58557983544802</v>
      </c>
      <c r="AN462">
        <f t="shared" si="369"/>
        <v>458.21508651918401</v>
      </c>
      <c r="AO462">
        <f t="shared" si="370"/>
        <v>-55.409298561856559</v>
      </c>
      <c r="AQ462">
        <f t="shared" si="396"/>
        <v>1.6259102455270802E-3</v>
      </c>
      <c r="AR462">
        <f t="shared" si="397"/>
        <v>-4.0322574089071592</v>
      </c>
      <c r="AT462">
        <f t="shared" si="365"/>
        <v>-25698.119433912452</v>
      </c>
      <c r="AU462">
        <f t="shared" si="366"/>
        <v>-21108.658805466315</v>
      </c>
      <c r="AV462">
        <f t="shared" si="407"/>
        <v>-2.4539332646673686</v>
      </c>
      <c r="AW462">
        <f t="shared" si="408"/>
        <v>6078.3657606806664</v>
      </c>
      <c r="AX462">
        <f t="shared" si="409"/>
        <v>-9237.2717861604397</v>
      </c>
      <c r="AY462">
        <f t="shared" si="417"/>
        <v>-0.98879954563305128</v>
      </c>
      <c r="BA462">
        <f t="shared" si="398"/>
        <v>3.0074947521638915</v>
      </c>
      <c r="BB462">
        <f t="shared" si="410"/>
        <v>9.5640975640730428</v>
      </c>
      <c r="BC462">
        <f t="shared" si="411"/>
        <v>-1.4651337190343172</v>
      </c>
      <c r="BD462">
        <f t="shared" si="399"/>
        <v>-263.9459786188948</v>
      </c>
      <c r="BF462">
        <f t="shared" si="400"/>
        <v>-61.514204047665935</v>
      </c>
      <c r="BG462">
        <f t="shared" si="401"/>
        <v>-217.41937714285967</v>
      </c>
      <c r="BH462">
        <f t="shared" si="412"/>
        <v>-37.419377142859673</v>
      </c>
      <c r="BI462">
        <f t="shared" si="413"/>
        <v>-37.419377142859673</v>
      </c>
      <c r="BJ462">
        <f t="shared" si="402"/>
        <v>0</v>
      </c>
      <c r="BK462">
        <f t="shared" si="414"/>
        <v>0</v>
      </c>
      <c r="BM462">
        <f t="shared" si="415"/>
        <v>-71.078301611738979</v>
      </c>
      <c r="BN462">
        <f t="shared" si="403"/>
        <v>-133.47339852396487</v>
      </c>
      <c r="BQ462" s="56">
        <f t="shared" si="416"/>
        <v>26.466058364358179</v>
      </c>
    </row>
    <row r="463" spans="1:69" x14ac:dyDescent="0.25">
      <c r="A463">
        <f t="shared" si="372"/>
        <v>1245000</v>
      </c>
      <c r="B463">
        <f t="shared" si="404"/>
        <v>1245</v>
      </c>
      <c r="C463">
        <f t="shared" si="373"/>
        <v>1.4543843832035712</v>
      </c>
      <c r="D463">
        <f t="shared" si="374"/>
        <v>0.81265070702348208</v>
      </c>
      <c r="F463">
        <f t="shared" si="375"/>
        <v>1.2727372867652155E-5</v>
      </c>
      <c r="G463">
        <f t="shared" si="376"/>
        <v>1.3953529863707621E-3</v>
      </c>
      <c r="H463">
        <f t="shared" si="377"/>
        <v>-3.1401972970136294</v>
      </c>
      <c r="J463">
        <f t="shared" si="378"/>
        <v>15</v>
      </c>
      <c r="M463">
        <f t="shared" si="379"/>
        <v>2.1443118592695582E-3</v>
      </c>
      <c r="N463">
        <f t="shared" si="380"/>
        <v>-1.5707963250000001</v>
      </c>
      <c r="O463">
        <f t="shared" si="381"/>
        <v>335.58955838420513</v>
      </c>
      <c r="P463">
        <f t="shared" si="382"/>
        <v>1.567816491889666</v>
      </c>
      <c r="Q463">
        <f t="shared" si="383"/>
        <v>317.86370759796159</v>
      </c>
      <c r="R463">
        <f t="shared" si="384"/>
        <v>1.5676503191643956</v>
      </c>
      <c r="S463">
        <f t="shared" si="385"/>
        <v>0.12269766397639591</v>
      </c>
      <c r="T463">
        <f t="shared" si="386"/>
        <v>-1.447788695182658</v>
      </c>
      <c r="U463">
        <f t="shared" si="387"/>
        <v>0.63520430584287324</v>
      </c>
      <c r="V463">
        <f t="shared" si="388"/>
        <v>-0.88252330857532491</v>
      </c>
      <c r="X463">
        <f t="shared" si="405"/>
        <v>-46.108074224196955</v>
      </c>
      <c r="Y463">
        <f t="shared" si="389"/>
        <v>-177.22662401343862</v>
      </c>
      <c r="Z463">
        <f t="shared" si="406"/>
        <v>2.7733759865613763</v>
      </c>
      <c r="AC463">
        <v>1</v>
      </c>
      <c r="AD463">
        <f t="shared" si="390"/>
        <v>335.58806846565</v>
      </c>
      <c r="AE463">
        <f t="shared" si="391"/>
        <v>-3.1501916558463162E-2</v>
      </c>
      <c r="AF463">
        <f t="shared" si="392"/>
        <v>2.5908337593432001E-2</v>
      </c>
      <c r="AG463">
        <f t="shared" si="367"/>
        <v>5207.3580793472238</v>
      </c>
      <c r="AH463">
        <f t="shared" si="368"/>
        <v>-6370.2180470071835</v>
      </c>
      <c r="AJ463">
        <f t="shared" si="393"/>
        <v>18000</v>
      </c>
      <c r="AK463">
        <f t="shared" si="394"/>
        <v>145593.59278048199</v>
      </c>
      <c r="AL463">
        <v>1</v>
      </c>
      <c r="AM463">
        <f t="shared" si="395"/>
        <v>317.86213459284897</v>
      </c>
      <c r="AN463">
        <f t="shared" si="369"/>
        <v>458.21368356037846</v>
      </c>
      <c r="AO463">
        <f t="shared" si="370"/>
        <v>-55.186775672128974</v>
      </c>
      <c r="AQ463">
        <f t="shared" si="396"/>
        <v>1.6128769515206284E-3</v>
      </c>
      <c r="AR463">
        <f t="shared" si="397"/>
        <v>-4.0160636092863644</v>
      </c>
      <c r="AT463">
        <f t="shared" si="365"/>
        <v>-25574.802053980311</v>
      </c>
      <c r="AU463">
        <f t="shared" si="366"/>
        <v>-20923.3556608539</v>
      </c>
      <c r="AV463">
        <f t="shared" si="407"/>
        <v>-2.4558978638713409</v>
      </c>
      <c r="AW463">
        <f t="shared" si="408"/>
        <v>6052.2107461431733</v>
      </c>
      <c r="AX463">
        <f t="shared" si="409"/>
        <v>-9223.1454533606593</v>
      </c>
      <c r="AY463">
        <f t="shared" si="417"/>
        <v>-0.99007623400275824</v>
      </c>
      <c r="BA463">
        <f t="shared" si="398"/>
        <v>2.9953348941546394</v>
      </c>
      <c r="BB463">
        <f t="shared" si="410"/>
        <v>9.5289077168268115</v>
      </c>
      <c r="BC463">
        <f t="shared" si="411"/>
        <v>-1.4658216298685827</v>
      </c>
      <c r="BD463">
        <f t="shared" si="399"/>
        <v>-263.9853930064246</v>
      </c>
      <c r="BF463">
        <f t="shared" si="400"/>
        <v>-61.600907698585239</v>
      </c>
      <c r="BG463">
        <f t="shared" si="401"/>
        <v>-217.34398938531109</v>
      </c>
      <c r="BH463">
        <f t="shared" si="412"/>
        <v>-37.34398938531109</v>
      </c>
      <c r="BI463">
        <f t="shared" si="413"/>
        <v>-37.34398938531109</v>
      </c>
      <c r="BJ463">
        <f t="shared" si="402"/>
        <v>0</v>
      </c>
      <c r="BK463">
        <f t="shared" si="414"/>
        <v>0</v>
      </c>
      <c r="BM463">
        <f t="shared" si="415"/>
        <v>-71.129815415412054</v>
      </c>
      <c r="BN463">
        <f t="shared" si="403"/>
        <v>-133.35859637888652</v>
      </c>
      <c r="BQ463" s="56">
        <f t="shared" si="416"/>
        <v>26.430868517111946</v>
      </c>
    </row>
    <row r="464" spans="1:69" x14ac:dyDescent="0.25">
      <c r="A464">
        <f t="shared" si="372"/>
        <v>1250000</v>
      </c>
      <c r="B464">
        <f t="shared" si="404"/>
        <v>1250</v>
      </c>
      <c r="C464">
        <f t="shared" si="373"/>
        <v>1.4574668516787583</v>
      </c>
      <c r="D464">
        <f t="shared" si="374"/>
        <v>0.8146515179104864</v>
      </c>
      <c r="F464">
        <f t="shared" si="375"/>
        <v>1.2625756307651931E-5</v>
      </c>
      <c r="G464">
        <f t="shared" si="376"/>
        <v>1.3897714370815118E-3</v>
      </c>
      <c r="H464">
        <f t="shared" si="377"/>
        <v>-3.1402028785629188</v>
      </c>
      <c r="J464">
        <f t="shared" si="378"/>
        <v>15</v>
      </c>
      <c r="M464">
        <f t="shared" si="379"/>
        <v>2.1357346118324799E-3</v>
      </c>
      <c r="N464">
        <f t="shared" si="380"/>
        <v>-1.5707963250000001</v>
      </c>
      <c r="O464">
        <f t="shared" si="381"/>
        <v>336.93729567140718</v>
      </c>
      <c r="P464">
        <f t="shared" si="382"/>
        <v>1.5678284111591518</v>
      </c>
      <c r="Q464">
        <f t="shared" si="383"/>
        <v>319.14025606337316</v>
      </c>
      <c r="R464">
        <f t="shared" si="384"/>
        <v>1.5676629031123828</v>
      </c>
      <c r="S464">
        <f t="shared" si="385"/>
        <v>0.12221421842377049</v>
      </c>
      <c r="T464">
        <f t="shared" si="386"/>
        <v>-1.4482758067661601</v>
      </c>
      <c r="U464">
        <f t="shared" si="387"/>
        <v>0.63368499482061669</v>
      </c>
      <c r="V464">
        <f t="shared" si="388"/>
        <v>-0.88448886365721746</v>
      </c>
      <c r="X464">
        <f t="shared" si="405"/>
        <v>-46.17959066266949</v>
      </c>
      <c r="Y464">
        <f t="shared" si="389"/>
        <v>-177.25142931078906</v>
      </c>
      <c r="Z464">
        <f t="shared" si="406"/>
        <v>2.7485706892109363</v>
      </c>
      <c r="AC464">
        <v>1</v>
      </c>
      <c r="AD464">
        <f t="shared" si="390"/>
        <v>336.93581171250003</v>
      </c>
      <c r="AE464">
        <f t="shared" si="391"/>
        <v>-3.1755452087933227E-2</v>
      </c>
      <c r="AF464">
        <f t="shared" si="392"/>
        <v>2.6012387142E-2</v>
      </c>
      <c r="AG464">
        <f t="shared" si="367"/>
        <v>5182.4774707211427</v>
      </c>
      <c r="AH464">
        <f t="shared" si="368"/>
        <v>-6365.1180537346245</v>
      </c>
      <c r="AJ464">
        <f t="shared" si="393"/>
        <v>18000</v>
      </c>
      <c r="AK464">
        <f t="shared" si="394"/>
        <v>146178.30600450002</v>
      </c>
      <c r="AL464">
        <v>1</v>
      </c>
      <c r="AM464">
        <f t="shared" si="395"/>
        <v>319.13868935024999</v>
      </c>
      <c r="AN464">
        <f t="shared" si="369"/>
        <v>458.21229740316448</v>
      </c>
      <c r="AO464">
        <f t="shared" si="370"/>
        <v>-54.966032912872507</v>
      </c>
      <c r="AQ464">
        <f t="shared" si="396"/>
        <v>1.599999744000041E-3</v>
      </c>
      <c r="AR464">
        <f t="shared" si="397"/>
        <v>-3.9999993600001025</v>
      </c>
      <c r="AT464">
        <f t="shared" si="365"/>
        <v>-25452.176178637153</v>
      </c>
      <c r="AU464">
        <f t="shared" si="366"/>
        <v>-20740.090753356028</v>
      </c>
      <c r="AV464">
        <f t="shared" si="407"/>
        <v>-2.4578531061091922</v>
      </c>
      <c r="AW464">
        <f t="shared" si="408"/>
        <v>6026.1894615257625</v>
      </c>
      <c r="AX464">
        <f t="shared" si="409"/>
        <v>-9209.005168479096</v>
      </c>
      <c r="AY464">
        <f t="shared" si="417"/>
        <v>-0.99134812981904108</v>
      </c>
      <c r="BA464">
        <f t="shared" si="398"/>
        <v>2.9832730646262462</v>
      </c>
      <c r="BB464">
        <f t="shared" si="410"/>
        <v>9.493860139536336</v>
      </c>
      <c r="BC464">
        <f t="shared" si="411"/>
        <v>-1.466504976290151</v>
      </c>
      <c r="BD464">
        <f t="shared" si="399"/>
        <v>-264.02454587237054</v>
      </c>
      <c r="BF464">
        <f t="shared" si="400"/>
        <v>-61.687192905257355</v>
      </c>
      <c r="BG464">
        <f t="shared" si="401"/>
        <v>-217.26882403091466</v>
      </c>
      <c r="BH464">
        <f t="shared" si="412"/>
        <v>-37.268824030914658</v>
      </c>
      <c r="BI464">
        <f t="shared" si="413"/>
        <v>-37.268824030914658</v>
      </c>
      <c r="BJ464">
        <f t="shared" si="402"/>
        <v>0</v>
      </c>
      <c r="BK464">
        <f t="shared" si="414"/>
        <v>0</v>
      </c>
      <c r="BM464">
        <f t="shared" si="415"/>
        <v>-71.181053044793686</v>
      </c>
      <c r="BN464">
        <f t="shared" si="403"/>
        <v>-133.24427815854415</v>
      </c>
      <c r="BQ464" s="56">
        <f t="shared" si="416"/>
        <v>26.395820939821473</v>
      </c>
    </row>
    <row r="465" spans="1:69" x14ac:dyDescent="0.25">
      <c r="A465">
        <f t="shared" si="372"/>
        <v>1255000</v>
      </c>
      <c r="B465">
        <f t="shared" si="404"/>
        <v>1255</v>
      </c>
      <c r="C465">
        <f t="shared" si="373"/>
        <v>1.4605551301085182</v>
      </c>
      <c r="D465">
        <f t="shared" si="374"/>
        <v>0.81664387549524642</v>
      </c>
      <c r="F465">
        <f t="shared" si="375"/>
        <v>1.2525351886399139E-5</v>
      </c>
      <c r="G465">
        <f t="shared" si="376"/>
        <v>1.384234363920375E-3</v>
      </c>
      <c r="H465">
        <f t="shared" si="377"/>
        <v>-3.1402084156360797</v>
      </c>
      <c r="J465">
        <f t="shared" si="378"/>
        <v>15</v>
      </c>
      <c r="M465">
        <f t="shared" si="379"/>
        <v>2.1272257089964938E-3</v>
      </c>
      <c r="N465">
        <f t="shared" si="380"/>
        <v>-1.5707963250000001</v>
      </c>
      <c r="O465">
        <f t="shared" si="381"/>
        <v>338.28503300609617</v>
      </c>
      <c r="P465">
        <f t="shared" si="382"/>
        <v>1.5678402354552123</v>
      </c>
      <c r="Q465">
        <f t="shared" si="383"/>
        <v>320.41680457891965</v>
      </c>
      <c r="R465">
        <f t="shared" si="384"/>
        <v>1.5676753867908486</v>
      </c>
      <c r="S465">
        <f t="shared" si="385"/>
        <v>0.12173453905670119</v>
      </c>
      <c r="T465">
        <f t="shared" si="386"/>
        <v>-1.4487590947288513</v>
      </c>
      <c r="U465">
        <f t="shared" si="387"/>
        <v>0.63217050950178988</v>
      </c>
      <c r="V465">
        <f t="shared" si="388"/>
        <v>-0.88644503104859051</v>
      </c>
      <c r="X465">
        <f t="shared" si="405"/>
        <v>-46.250823224231411</v>
      </c>
      <c r="Y465">
        <f t="shared" si="389"/>
        <v>-177.27597063260208</v>
      </c>
      <c r="Z465">
        <f t="shared" si="406"/>
        <v>2.7240293673979181</v>
      </c>
      <c r="AC465">
        <v>1</v>
      </c>
      <c r="AD465">
        <f t="shared" si="390"/>
        <v>338.28355495935006</v>
      </c>
      <c r="AE465">
        <f t="shared" si="391"/>
        <v>-3.2010003791870092E-2</v>
      </c>
      <c r="AF465">
        <f t="shared" si="392"/>
        <v>2.6116436690567998E-2</v>
      </c>
      <c r="AG465">
        <f t="shared" si="367"/>
        <v>5157.7351872697982</v>
      </c>
      <c r="AH465">
        <f t="shared" si="368"/>
        <v>-6359.9458406190261</v>
      </c>
      <c r="AJ465">
        <f t="shared" si="393"/>
        <v>18000</v>
      </c>
      <c r="AK465">
        <f t="shared" si="394"/>
        <v>146763.01922851801</v>
      </c>
      <c r="AL465">
        <v>1</v>
      </c>
      <c r="AM465">
        <f t="shared" si="395"/>
        <v>320.41524410765101</v>
      </c>
      <c r="AN465">
        <f t="shared" si="369"/>
        <v>458.2109277803263</v>
      </c>
      <c r="AO465">
        <f t="shared" si="370"/>
        <v>-54.747049008461339</v>
      </c>
      <c r="AQ465">
        <f t="shared" si="396"/>
        <v>1.5872761404936207E-3</v>
      </c>
      <c r="AR465">
        <f t="shared" si="397"/>
        <v>-3.9840631126389878</v>
      </c>
      <c r="AT465">
        <f t="shared" si="365"/>
        <v>-25330.238871990285</v>
      </c>
      <c r="AU465">
        <f t="shared" si="366"/>
        <v>-20558.83749464939</v>
      </c>
      <c r="AV465">
        <f t="shared" si="407"/>
        <v>-2.4597990428297489</v>
      </c>
      <c r="AW465">
        <f t="shared" si="408"/>
        <v>6000.3016226440013</v>
      </c>
      <c r="AX465">
        <f t="shared" si="409"/>
        <v>-9194.8516060544807</v>
      </c>
      <c r="AY465">
        <f t="shared" si="417"/>
        <v>-0.992615228622035</v>
      </c>
      <c r="BA465">
        <f t="shared" si="398"/>
        <v>2.9713080798418132</v>
      </c>
      <c r="BB465">
        <f t="shared" si="410"/>
        <v>9.4589536785415422</v>
      </c>
      <c r="BC465">
        <f t="shared" si="411"/>
        <v>-1.467183814207714</v>
      </c>
      <c r="BD465">
        <f t="shared" si="399"/>
        <v>-264.06344042006481</v>
      </c>
      <c r="BF465">
        <f t="shared" si="400"/>
        <v>-61.773063335390916</v>
      </c>
      <c r="BG465">
        <f t="shared" si="401"/>
        <v>-217.19388214851421</v>
      </c>
      <c r="BH465">
        <f t="shared" si="412"/>
        <v>-37.193882148514206</v>
      </c>
      <c r="BI465">
        <f t="shared" si="413"/>
        <v>-37.193882148514206</v>
      </c>
      <c r="BJ465">
        <f t="shared" si="402"/>
        <v>0</v>
      </c>
      <c r="BK465">
        <f t="shared" si="414"/>
        <v>0</v>
      </c>
      <c r="BM465">
        <f t="shared" si="415"/>
        <v>-71.232017013932449</v>
      </c>
      <c r="BN465">
        <f t="shared" si="403"/>
        <v>-133.1304417284494</v>
      </c>
      <c r="BQ465" s="56">
        <f t="shared" si="416"/>
        <v>26.360914478826679</v>
      </c>
    </row>
    <row r="466" spans="1:69" x14ac:dyDescent="0.25">
      <c r="A466">
        <f t="shared" si="372"/>
        <v>1260000</v>
      </c>
      <c r="B466">
        <f t="shared" si="404"/>
        <v>1260</v>
      </c>
      <c r="C466">
        <f t="shared" si="373"/>
        <v>1.463649181716093</v>
      </c>
      <c r="D466">
        <f t="shared" si="374"/>
        <v>0.81862781751944014</v>
      </c>
      <c r="F466">
        <f t="shared" si="375"/>
        <v>1.2426140401444166E-5</v>
      </c>
      <c r="G466">
        <f t="shared" si="376"/>
        <v>1.3787412373838885E-3</v>
      </c>
      <c r="H466">
        <f t="shared" si="377"/>
        <v>-3.1402139087626164</v>
      </c>
      <c r="J466">
        <f t="shared" si="378"/>
        <v>15</v>
      </c>
      <c r="M466">
        <f t="shared" si="379"/>
        <v>2.1187843371353967E-3</v>
      </c>
      <c r="N466">
        <f t="shared" si="380"/>
        <v>-1.5707963250000001</v>
      </c>
      <c r="O466">
        <f t="shared" si="381"/>
        <v>339.63277038770678</v>
      </c>
      <c r="P466">
        <f t="shared" si="382"/>
        <v>1.56785196590847</v>
      </c>
      <c r="Q466">
        <f t="shared" si="383"/>
        <v>321.69335314400428</v>
      </c>
      <c r="R466">
        <f t="shared" si="384"/>
        <v>1.5676877713934625</v>
      </c>
      <c r="S466">
        <f t="shared" si="385"/>
        <v>0.12125858237110633</v>
      </c>
      <c r="T466">
        <f t="shared" si="386"/>
        <v>-1.4492386036923193</v>
      </c>
      <c r="U466">
        <f t="shared" si="387"/>
        <v>0.63066085001701322</v>
      </c>
      <c r="V466">
        <f t="shared" si="388"/>
        <v>-0.88839186297992923</v>
      </c>
      <c r="X466">
        <f t="shared" si="405"/>
        <v>-46.321774056992062</v>
      </c>
      <c r="Y466">
        <f t="shared" si="389"/>
        <v>-177.30025126282001</v>
      </c>
      <c r="Z466">
        <f t="shared" si="406"/>
        <v>2.6997487371799878</v>
      </c>
      <c r="AC466">
        <v>1</v>
      </c>
      <c r="AD466">
        <f t="shared" si="390"/>
        <v>339.63129820620003</v>
      </c>
      <c r="AE466">
        <f t="shared" si="391"/>
        <v>-3.2265571670273781E-2</v>
      </c>
      <c r="AF466">
        <f t="shared" si="392"/>
        <v>2.6220486239136E-2</v>
      </c>
      <c r="AG466">
        <f t="shared" si="367"/>
        <v>5133.1306651832419</v>
      </c>
      <c r="AH466">
        <f t="shared" si="368"/>
        <v>-6354.7027255982912</v>
      </c>
      <c r="AJ466">
        <f t="shared" si="393"/>
        <v>18000</v>
      </c>
      <c r="AK466">
        <f t="shared" si="394"/>
        <v>147347.732452536</v>
      </c>
      <c r="AL466">
        <v>1</v>
      </c>
      <c r="AM466">
        <f t="shared" si="395"/>
        <v>321.69179886505202</v>
      </c>
      <c r="AN466">
        <f t="shared" si="369"/>
        <v>458.20957442993881</v>
      </c>
      <c r="AO466">
        <f t="shared" si="370"/>
        <v>-54.529803020961531</v>
      </c>
      <c r="AQ466">
        <f t="shared" si="396"/>
        <v>1.5747037076871209E-3</v>
      </c>
      <c r="AR466">
        <f t="shared" si="397"/>
        <v>-3.9682533433715448</v>
      </c>
      <c r="AT466">
        <f t="shared" si="365"/>
        <v>-25208.98717709718</v>
      </c>
      <c r="AU466">
        <f t="shared" si="366"/>
        <v>-20379.569698019652</v>
      </c>
      <c r="AV466">
        <f t="shared" si="407"/>
        <v>-2.4617357252852563</v>
      </c>
      <c r="AW466">
        <f t="shared" si="408"/>
        <v>5974.546932841773</v>
      </c>
      <c r="AX466">
        <f t="shared" si="409"/>
        <v>-9180.6854346117198</v>
      </c>
      <c r="AY466">
        <f t="shared" si="417"/>
        <v>-0.99387752666971896</v>
      </c>
      <c r="BA466">
        <f t="shared" si="398"/>
        <v>2.9594387750787758</v>
      </c>
      <c r="BB466">
        <f t="shared" si="410"/>
        <v>9.4241871941791793</v>
      </c>
      <c r="BC466">
        <f t="shared" si="411"/>
        <v>-1.4678581986155375</v>
      </c>
      <c r="BD466">
        <f t="shared" si="399"/>
        <v>-264.10207980044669</v>
      </c>
      <c r="BF466">
        <f t="shared" si="400"/>
        <v>-61.858522612298721</v>
      </c>
      <c r="BG466">
        <f t="shared" si="401"/>
        <v>-217.11916475694849</v>
      </c>
      <c r="BH466">
        <f t="shared" si="412"/>
        <v>-37.119164756948493</v>
      </c>
      <c r="BI466">
        <f t="shared" si="413"/>
        <v>-37.119164756948493</v>
      </c>
      <c r="BJ466">
        <f t="shared" si="402"/>
        <v>0</v>
      </c>
      <c r="BK466">
        <f t="shared" si="414"/>
        <v>0</v>
      </c>
      <c r="BM466">
        <f t="shared" si="415"/>
        <v>-71.282709806477897</v>
      </c>
      <c r="BN466">
        <f t="shared" si="403"/>
        <v>-133.01708495650183</v>
      </c>
      <c r="BQ466" s="56">
        <f t="shared" si="416"/>
        <v>26.326147994464314</v>
      </c>
    </row>
    <row r="467" spans="1:69" x14ac:dyDescent="0.25">
      <c r="A467">
        <f t="shared" si="372"/>
        <v>1265000</v>
      </c>
      <c r="B467">
        <f t="shared" si="404"/>
        <v>1265</v>
      </c>
      <c r="C467">
        <f t="shared" si="373"/>
        <v>1.4667489699665814</v>
      </c>
      <c r="D467">
        <f t="shared" si="374"/>
        <v>0.82060338167157987</v>
      </c>
      <c r="F467">
        <f t="shared" si="375"/>
        <v>1.2328103029089869E-5</v>
      </c>
      <c r="G467">
        <f t="shared" si="376"/>
        <v>1.3732915363406906E-3</v>
      </c>
      <c r="H467">
        <f t="shared" si="377"/>
        <v>-3.1402193584636597</v>
      </c>
      <c r="J467">
        <f t="shared" si="378"/>
        <v>15</v>
      </c>
      <c r="M467">
        <f t="shared" si="379"/>
        <v>2.1104096954866402E-3</v>
      </c>
      <c r="N467">
        <f t="shared" si="380"/>
        <v>-1.5707963250000001</v>
      </c>
      <c r="O467">
        <f t="shared" si="381"/>
        <v>340.98050781568259</v>
      </c>
      <c r="P467">
        <f t="shared" si="382"/>
        <v>1.5678636036316724</v>
      </c>
      <c r="Q467">
        <f t="shared" si="383"/>
        <v>322.96990175803973</v>
      </c>
      <c r="R467">
        <f t="shared" si="384"/>
        <v>1.5677000580950218</v>
      </c>
      <c r="S467">
        <f t="shared" si="385"/>
        <v>0.1207863055251349</v>
      </c>
      <c r="T467">
        <f t="shared" si="386"/>
        <v>-1.4497143775899972</v>
      </c>
      <c r="U467">
        <f t="shared" si="387"/>
        <v>0.62915601608430172</v>
      </c>
      <c r="V467">
        <f t="shared" si="388"/>
        <v>-0.8903294114674577</v>
      </c>
      <c r="X467">
        <f t="shared" si="405"/>
        <v>-46.392445285343257</v>
      </c>
      <c r="Y467">
        <f t="shared" si="389"/>
        <v>-177.32427443835252</v>
      </c>
      <c r="Z467">
        <f t="shared" si="406"/>
        <v>2.6757255616474822</v>
      </c>
      <c r="AC467">
        <v>1</v>
      </c>
      <c r="AD467">
        <f t="shared" si="390"/>
        <v>340.97904145305</v>
      </c>
      <c r="AE467">
        <f t="shared" si="391"/>
        <v>-3.2522155723144278E-2</v>
      </c>
      <c r="AF467">
        <f t="shared" si="392"/>
        <v>2.6324535787703999E-2</v>
      </c>
      <c r="AG467">
        <f t="shared" si="367"/>
        <v>5108.6633357339033</v>
      </c>
      <c r="AH467">
        <f t="shared" si="368"/>
        <v>-6349.390009753859</v>
      </c>
      <c r="AJ467">
        <f t="shared" si="393"/>
        <v>18000</v>
      </c>
      <c r="AK467">
        <f t="shared" si="394"/>
        <v>147932.44567655402</v>
      </c>
      <c r="AL467">
        <v>1</v>
      </c>
      <c r="AM467">
        <f t="shared" si="395"/>
        <v>322.96835362245298</v>
      </c>
      <c r="AN467">
        <f t="shared" si="369"/>
        <v>458.20823709524382</v>
      </c>
      <c r="AO467">
        <f t="shared" si="370"/>
        <v>-54.314274343457654</v>
      </c>
      <c r="AQ467">
        <f t="shared" si="396"/>
        <v>1.5622800602602665E-3</v>
      </c>
      <c r="AR467">
        <f t="shared" si="397"/>
        <v>-3.9525685524584744</v>
      </c>
      <c r="AT467">
        <f t="shared" si="365"/>
        <v>-25088.41811698311</v>
      </c>
      <c r="AU467">
        <f t="shared" si="366"/>
        <v>-20202.26157132649</v>
      </c>
      <c r="AV467">
        <f t="shared" si="407"/>
        <v>-2.4636632045291655</v>
      </c>
      <c r="AW467">
        <f t="shared" si="408"/>
        <v>5948.9250834052136</v>
      </c>
      <c r="AX467">
        <f t="shared" si="409"/>
        <v>-9166.5073165740268</v>
      </c>
      <c r="AY467">
        <f t="shared" si="417"/>
        <v>-0.99513502091699457</v>
      </c>
      <c r="BA467">
        <f t="shared" si="398"/>
        <v>2.9476640042481934</v>
      </c>
      <c r="BB467">
        <f t="shared" si="410"/>
        <v>9.3895595605571014</v>
      </c>
      <c r="BC467">
        <f t="shared" si="411"/>
        <v>-1.4685281836121709</v>
      </c>
      <c r="BD467">
        <f t="shared" si="399"/>
        <v>-264.14046711313472</v>
      </c>
      <c r="BF467">
        <f t="shared" si="400"/>
        <v>-61.943574315581188</v>
      </c>
      <c r="BG467">
        <f t="shared" si="401"/>
        <v>-217.04467282630199</v>
      </c>
      <c r="BH467">
        <f t="shared" si="412"/>
        <v>-37.044672826301991</v>
      </c>
      <c r="BI467">
        <f t="shared" si="413"/>
        <v>-37.044672826301991</v>
      </c>
      <c r="BJ467">
        <f t="shared" si="402"/>
        <v>0</v>
      </c>
      <c r="BK467">
        <f t="shared" si="414"/>
        <v>0</v>
      </c>
      <c r="BM467">
        <f t="shared" si="415"/>
        <v>-71.333133876138291</v>
      </c>
      <c r="BN467">
        <f t="shared" si="403"/>
        <v>-132.9042057131673</v>
      </c>
      <c r="BQ467" s="56">
        <f t="shared" si="416"/>
        <v>26.291520360842242</v>
      </c>
    </row>
    <row r="468" spans="1:69" x14ac:dyDescent="0.25">
      <c r="A468">
        <f t="shared" si="372"/>
        <v>1270000</v>
      </c>
      <c r="B468">
        <f t="shared" si="404"/>
        <v>1270</v>
      </c>
      <c r="C468">
        <f t="shared" si="373"/>
        <v>1.4698544585658222</v>
      </c>
      <c r="D468">
        <f t="shared" si="374"/>
        <v>0.82257060558413031</v>
      </c>
      <c r="F468">
        <f t="shared" si="375"/>
        <v>1.2231221315462063E-5</v>
      </c>
      <c r="G468">
        <f t="shared" si="376"/>
        <v>1.3678847478667052E-3</v>
      </c>
      <c r="H468">
        <f t="shared" si="377"/>
        <v>-3.1402247652521336</v>
      </c>
      <c r="J468">
        <f t="shared" si="378"/>
        <v>15</v>
      </c>
      <c r="M468">
        <f t="shared" si="379"/>
        <v>2.10210099589811E-3</v>
      </c>
      <c r="N468">
        <f t="shared" si="380"/>
        <v>-1.5707963250000001</v>
      </c>
      <c r="O468">
        <f t="shared" si="381"/>
        <v>342.32824528947611</v>
      </c>
      <c r="P468">
        <f t="shared" si="382"/>
        <v>1.5678751497200445</v>
      </c>
      <c r="Q468">
        <f t="shared" si="383"/>
        <v>324.24645042044779</v>
      </c>
      <c r="R468">
        <f t="shared" si="384"/>
        <v>1.5677122480518233</v>
      </c>
      <c r="S468">
        <f t="shared" si="385"/>
        <v>0.12031766632671567</v>
      </c>
      <c r="T468">
        <f t="shared" si="386"/>
        <v>-1.4501864596803122</v>
      </c>
      <c r="U468">
        <f t="shared" si="387"/>
        <v>0.62765600701788982</v>
      </c>
      <c r="V468">
        <f t="shared" si="388"/>
        <v>-0.89225772831131978</v>
      </c>
      <c r="X468">
        <f t="shared" si="405"/>
        <v>-46.462839010309196</v>
      </c>
      <c r="Y468">
        <f t="shared" si="389"/>
        <v>-177.3480433498589</v>
      </c>
      <c r="Z468">
        <f t="shared" si="406"/>
        <v>2.651956650141102</v>
      </c>
      <c r="AC468">
        <v>1</v>
      </c>
      <c r="AD468">
        <f t="shared" si="390"/>
        <v>342.32678469990003</v>
      </c>
      <c r="AE468">
        <f t="shared" si="391"/>
        <v>-3.277975595048159E-2</v>
      </c>
      <c r="AF468">
        <f t="shared" si="392"/>
        <v>2.6428585336272001E-2</v>
      </c>
      <c r="AG468">
        <f t="shared" si="367"/>
        <v>5084.3326254996146</v>
      </c>
      <c r="AH468">
        <f t="shared" si="368"/>
        <v>-6344.0089774627004</v>
      </c>
      <c r="AJ468">
        <f t="shared" si="393"/>
        <v>18000</v>
      </c>
      <c r="AK468">
        <f t="shared" si="394"/>
        <v>148517.15890057202</v>
      </c>
      <c r="AL468">
        <v>1</v>
      </c>
      <c r="AM468">
        <f t="shared" si="395"/>
        <v>324.244908379854</v>
      </c>
      <c r="AN468">
        <f t="shared" si="369"/>
        <v>458.20691552452638</v>
      </c>
      <c r="AO468">
        <f t="shared" si="370"/>
        <v>-54.10044269353709</v>
      </c>
      <c r="AQ468">
        <f t="shared" si="396"/>
        <v>1.5500028597552763E-3</v>
      </c>
      <c r="AR468">
        <f t="shared" si="397"/>
        <v>-3.9370072637784017</v>
      </c>
      <c r="AT468">
        <f t="shared" si="365"/>
        <v>-24968.528695636571</v>
      </c>
      <c r="AU468">
        <f t="shared" si="366"/>
        <v>-20026.887710114876</v>
      </c>
      <c r="AV468">
        <f t="shared" si="407"/>
        <v>-2.4655815314140082</v>
      </c>
      <c r="AW468">
        <f t="shared" si="408"/>
        <v>5923.435753966527</v>
      </c>
      <c r="AX468">
        <f t="shared" si="409"/>
        <v>-9152.3179081816816</v>
      </c>
      <c r="AY468">
        <f t="shared" si="417"/>
        <v>-0.99638770899532114</v>
      </c>
      <c r="BA468">
        <f t="shared" si="398"/>
        <v>2.9359826395231705</v>
      </c>
      <c r="BB468">
        <f t="shared" si="410"/>
        <v>9.3550696653331045</v>
      </c>
      <c r="BC468">
        <f t="shared" si="411"/>
        <v>-1.4691938224186871</v>
      </c>
      <c r="BD468">
        <f t="shared" si="399"/>
        <v>-264.17860540747182</v>
      </c>
      <c r="BF468">
        <f t="shared" si="400"/>
        <v>-62.028221981796648</v>
      </c>
      <c r="BG468">
        <f t="shared" si="401"/>
        <v>-216.97040727912454</v>
      </c>
      <c r="BH468">
        <f t="shared" si="412"/>
        <v>-36.970407279124544</v>
      </c>
      <c r="BI468">
        <f t="shared" si="413"/>
        <v>-36.970407279124544</v>
      </c>
      <c r="BJ468">
        <f t="shared" si="402"/>
        <v>0</v>
      </c>
      <c r="BK468">
        <f t="shared" si="414"/>
        <v>0</v>
      </c>
      <c r="BM468">
        <f t="shared" si="415"/>
        <v>-71.383291647129752</v>
      </c>
      <c r="BN468">
        <f t="shared" si="403"/>
        <v>-132.79180187165275</v>
      </c>
      <c r="BQ468" s="56">
        <f t="shared" si="416"/>
        <v>26.257030465618239</v>
      </c>
    </row>
    <row r="469" spans="1:69" x14ac:dyDescent="0.25">
      <c r="A469">
        <f t="shared" si="372"/>
        <v>1275000</v>
      </c>
      <c r="B469">
        <f t="shared" si="404"/>
        <v>1275</v>
      </c>
      <c r="C469">
        <f t="shared" si="373"/>
        <v>1.4729656114592709</v>
      </c>
      <c r="D469">
        <f t="shared" si="374"/>
        <v>0.82452952683069769</v>
      </c>
      <c r="F469">
        <f t="shared" si="375"/>
        <v>1.2135477167824696E-5</v>
      </c>
      <c r="G469">
        <f t="shared" si="376"/>
        <v>1.3625203670842025E-3</v>
      </c>
      <c r="H469">
        <f t="shared" si="377"/>
        <v>-3.1402301296329158</v>
      </c>
      <c r="J469">
        <f t="shared" si="378"/>
        <v>15</v>
      </c>
      <c r="M469">
        <f t="shared" si="379"/>
        <v>2.0938574625808627E-3</v>
      </c>
      <c r="N469">
        <f t="shared" si="380"/>
        <v>-1.5707963250000001</v>
      </c>
      <c r="O469">
        <f t="shared" si="381"/>
        <v>343.6759828085481</v>
      </c>
      <c r="P469">
        <f t="shared" si="382"/>
        <v>1.5678866052516303</v>
      </c>
      <c r="Q469">
        <f t="shared" si="383"/>
        <v>325.5229991306594</v>
      </c>
      <c r="R469">
        <f t="shared" si="384"/>
        <v>1.5677243424020262</v>
      </c>
      <c r="S469">
        <f t="shared" si="385"/>
        <v>0.1198526232213841</v>
      </c>
      <c r="T469">
        <f t="shared" si="386"/>
        <v>-1.4506548925595344</v>
      </c>
      <c r="U469">
        <f t="shared" si="387"/>
        <v>0.62616082173692345</v>
      </c>
      <c r="V469">
        <f t="shared" si="388"/>
        <v>-0.89417686509384453</v>
      </c>
      <c r="X469">
        <f t="shared" si="405"/>
        <v>-46.532957309889781</v>
      </c>
      <c r="Y469">
        <f t="shared" si="389"/>
        <v>-177.37156114251454</v>
      </c>
      <c r="Z469">
        <f t="shared" si="406"/>
        <v>2.6284388574854631</v>
      </c>
      <c r="AC469">
        <v>1</v>
      </c>
      <c r="AD469">
        <f t="shared" si="390"/>
        <v>343.67452794675</v>
      </c>
      <c r="AE469">
        <f t="shared" si="391"/>
        <v>-3.3038372352285718E-2</v>
      </c>
      <c r="AF469">
        <f t="shared" si="392"/>
        <v>2.6532634884839999E-2</v>
      </c>
      <c r="AG469">
        <f t="shared" si="367"/>
        <v>5060.1379565816496</v>
      </c>
      <c r="AH469">
        <f t="shared" si="368"/>
        <v>-6338.5608965497549</v>
      </c>
      <c r="AJ469">
        <f t="shared" si="393"/>
        <v>18000</v>
      </c>
      <c r="AK469">
        <f t="shared" si="394"/>
        <v>149101.87212459001</v>
      </c>
      <c r="AL469">
        <v>1</v>
      </c>
      <c r="AM469">
        <f t="shared" si="395"/>
        <v>325.52146313725501</v>
      </c>
      <c r="AN469">
        <f t="shared" si="369"/>
        <v>458.20560947099796</v>
      </c>
      <c r="AO469">
        <f t="shared" si="370"/>
        <v>-53.888288106927568</v>
      </c>
      <c r="AQ469">
        <f t="shared" si="396"/>
        <v>1.537869813476384E-3</v>
      </c>
      <c r="AR469">
        <f t="shared" si="397"/>
        <v>-3.9215680243647792</v>
      </c>
      <c r="AT469">
        <f t="shared" si="365"/>
        <v>-24849.315898983012</v>
      </c>
      <c r="AU469">
        <f t="shared" si="366"/>
        <v>-19853.423090868815</v>
      </c>
      <c r="AV469">
        <f t="shared" si="407"/>
        <v>-2.4674907565893651</v>
      </c>
      <c r="AW469">
        <f t="shared" si="408"/>
        <v>5898.0786128980499</v>
      </c>
      <c r="AX469">
        <f t="shared" si="409"/>
        <v>-9138.1178594172234</v>
      </c>
      <c r="AY469">
        <f t="shared" si="417"/>
        <v>-0.99763558919288553</v>
      </c>
      <c r="BA469">
        <f t="shared" si="398"/>
        <v>2.9243935709761177</v>
      </c>
      <c r="BB469">
        <f t="shared" si="410"/>
        <v>9.3207164094981305</v>
      </c>
      <c r="BC469">
        <f t="shared" si="411"/>
        <v>-1.4698551673964797</v>
      </c>
      <c r="BD469">
        <f t="shared" si="399"/>
        <v>-264.21649768354479</v>
      </c>
      <c r="BF469">
        <f t="shared" si="400"/>
        <v>-62.112469105119075</v>
      </c>
      <c r="BG469">
        <f t="shared" si="401"/>
        <v>-216.89636899162133</v>
      </c>
      <c r="BH469">
        <f t="shared" si="412"/>
        <v>-36.89636899162133</v>
      </c>
      <c r="BI469">
        <f t="shared" si="413"/>
        <v>-36.89636899162133</v>
      </c>
      <c r="BJ469">
        <f t="shared" si="402"/>
        <v>0</v>
      </c>
      <c r="BK469">
        <f t="shared" si="414"/>
        <v>0</v>
      </c>
      <c r="BM469">
        <f t="shared" si="415"/>
        <v>-71.433185514617207</v>
      </c>
      <c r="BN469">
        <f t="shared" si="403"/>
        <v>-132.67987130807657</v>
      </c>
      <c r="BQ469" s="56">
        <f t="shared" si="416"/>
        <v>26.222677209783267</v>
      </c>
    </row>
    <row r="470" spans="1:69" x14ac:dyDescent="0.25">
      <c r="A470">
        <f t="shared" si="372"/>
        <v>1280000</v>
      </c>
      <c r="B470">
        <f t="shared" si="404"/>
        <v>1280</v>
      </c>
      <c r="C470">
        <f t="shared" si="373"/>
        <v>1.4760823928308684</v>
      </c>
      <c r="D470">
        <f t="shared" si="374"/>
        <v>0.82648018292328718</v>
      </c>
      <c r="F470">
        <f t="shared" si="375"/>
        <v>1.2040852846132008E-5</v>
      </c>
      <c r="G470">
        <f t="shared" si="376"/>
        <v>1.3571978970046328E-3</v>
      </c>
      <c r="H470">
        <f t="shared" si="377"/>
        <v>-3.1402354521029956</v>
      </c>
      <c r="J470">
        <f t="shared" si="378"/>
        <v>15</v>
      </c>
      <c r="M470">
        <f t="shared" si="379"/>
        <v>2.0856783318676558E-3</v>
      </c>
      <c r="N470">
        <f t="shared" si="380"/>
        <v>-1.5707963250000001</v>
      </c>
      <c r="O470">
        <f t="shared" si="381"/>
        <v>345.02372037236813</v>
      </c>
      <c r="P470">
        <f t="shared" si="382"/>
        <v>1.5678979712876302</v>
      </c>
      <c r="Q470">
        <f t="shared" si="383"/>
        <v>326.79954788811426</v>
      </c>
      <c r="R470">
        <f t="shared" si="384"/>
        <v>1.5677363422660064</v>
      </c>
      <c r="S470">
        <f t="shared" si="385"/>
        <v>0.11939113528037927</v>
      </c>
      <c r="T470">
        <f t="shared" si="386"/>
        <v>-1.4511197181743343</v>
      </c>
      <c r="U470">
        <f t="shared" si="387"/>
        <v>0.62467045877401894</v>
      </c>
      <c r="V470">
        <f t="shared" si="388"/>
        <v>-0.89608687317789271</v>
      </c>
      <c r="X470">
        <f t="shared" si="405"/>
        <v>-46.602802239397498</v>
      </c>
      <c r="Y470">
        <f t="shared" si="389"/>
        <v>-177.39483091676243</v>
      </c>
      <c r="Z470">
        <f t="shared" si="406"/>
        <v>2.6051690832375698</v>
      </c>
      <c r="AC470">
        <v>1</v>
      </c>
      <c r="AD470">
        <f t="shared" si="390"/>
        <v>345.02227119360003</v>
      </c>
      <c r="AE470">
        <f t="shared" si="391"/>
        <v>-3.3298004928556668E-2</v>
      </c>
      <c r="AF470">
        <f t="shared" si="392"/>
        <v>2.6636684433407998E-2</v>
      </c>
      <c r="AG470">
        <f t="shared" si="367"/>
        <v>5036.0787468178605</v>
      </c>
      <c r="AH470">
        <f t="shared" si="368"/>
        <v>-6333.0470184407104</v>
      </c>
      <c r="AJ470">
        <f t="shared" si="393"/>
        <v>18000</v>
      </c>
      <c r="AK470">
        <f t="shared" si="394"/>
        <v>149686.585348608</v>
      </c>
      <c r="AL470">
        <v>1</v>
      </c>
      <c r="AM470">
        <f t="shared" si="395"/>
        <v>326.79801789465603</v>
      </c>
      <c r="AN470">
        <f t="shared" si="369"/>
        <v>458.20431869268043</v>
      </c>
      <c r="AO470">
        <f t="shared" si="370"/>
        <v>-53.677790931283887</v>
      </c>
      <c r="AQ470">
        <f t="shared" si="396"/>
        <v>1.5258786734193919E-3</v>
      </c>
      <c r="AR470">
        <f t="shared" si="397"/>
        <v>-3.9062494039536433</v>
      </c>
      <c r="AT470">
        <f t="shared" ref="AT470:AT533" si="418">-AR470*AH470+AG470*AQ470</f>
        <v>-24730.776695836994</v>
      </c>
      <c r="AU470">
        <f t="shared" ref="AU470:AU533" si="419">AQ470*AH470+AG470*AR470</f>
        <v>-19681.843064404078</v>
      </c>
      <c r="AV470">
        <f t="shared" si="407"/>
        <v>-2.469390930499924</v>
      </c>
      <c r="AW470">
        <f t="shared" si="408"/>
        <v>5872.853317696683</v>
      </c>
      <c r="AX470">
        <f t="shared" si="409"/>
        <v>-9123.907813936763</v>
      </c>
      <c r="AY470">
        <f t="shared" si="417"/>
        <v>-0.99887866043529328</v>
      </c>
      <c r="BA470">
        <f t="shared" si="398"/>
        <v>2.9128957062246563</v>
      </c>
      <c r="BB470">
        <f t="shared" si="410"/>
        <v>9.2864987071638545</v>
      </c>
      <c r="BC470">
        <f t="shared" si="411"/>
        <v>-1.4705122700646307</v>
      </c>
      <c r="BD470">
        <f t="shared" si="399"/>
        <v>-264.25414689317967</v>
      </c>
      <c r="BF470">
        <f t="shared" si="400"/>
        <v>-62.196319137983416</v>
      </c>
      <c r="BG470">
        <f t="shared" si="401"/>
        <v>-216.82255879481411</v>
      </c>
      <c r="BH470">
        <f t="shared" si="412"/>
        <v>-36.822558794814114</v>
      </c>
      <c r="BI470">
        <f t="shared" si="413"/>
        <v>-36.822558794814114</v>
      </c>
      <c r="BJ470">
        <f t="shared" si="402"/>
        <v>0</v>
      </c>
      <c r="BK470">
        <f t="shared" si="414"/>
        <v>0</v>
      </c>
      <c r="BM470">
        <f t="shared" si="415"/>
        <v>-71.482817845147267</v>
      </c>
      <c r="BN470">
        <f t="shared" si="403"/>
        <v>-132.56841190163451</v>
      </c>
      <c r="BQ470" s="56">
        <f t="shared" si="416"/>
        <v>26.188459507448989</v>
      </c>
    </row>
    <row r="471" spans="1:69" x14ac:dyDescent="0.25">
      <c r="A471">
        <f t="shared" si="372"/>
        <v>1285000</v>
      </c>
      <c r="B471">
        <f t="shared" si="404"/>
        <v>1285</v>
      </c>
      <c r="C471">
        <f t="shared" si="373"/>
        <v>1.4792047671018977</v>
      </c>
      <c r="D471">
        <f t="shared" si="374"/>
        <v>0.8284226113096278</v>
      </c>
      <c r="F471">
        <f t="shared" si="375"/>
        <v>1.1947330954810362E-5</v>
      </c>
      <c r="G471">
        <f t="shared" si="376"/>
        <v>1.3519168483751289E-3</v>
      </c>
      <c r="H471">
        <f t="shared" si="377"/>
        <v>-3.1402407331516251</v>
      </c>
      <c r="J471">
        <f t="shared" si="378"/>
        <v>15</v>
      </c>
      <c r="M471">
        <f t="shared" si="379"/>
        <v>2.0775628519771206E-3</v>
      </c>
      <c r="N471">
        <f t="shared" si="380"/>
        <v>-1.5707963250000001</v>
      </c>
      <c r="O471">
        <f t="shared" si="381"/>
        <v>346.37145798041377</v>
      </c>
      <c r="P471">
        <f t="shared" si="382"/>
        <v>1.5679092488727282</v>
      </c>
      <c r="Q471">
        <f t="shared" si="383"/>
        <v>328.07609669226105</v>
      </c>
      <c r="R471">
        <f t="shared" si="384"/>
        <v>1.5677482487467023</v>
      </c>
      <c r="S471">
        <f t="shared" si="385"/>
        <v>0.11893316218900438</v>
      </c>
      <c r="T471">
        <f t="shared" si="386"/>
        <v>-1.4515809778340585</v>
      </c>
      <c r="U471">
        <f t="shared" si="387"/>
        <v>0.62318491628368788</v>
      </c>
      <c r="V471">
        <f t="shared" si="388"/>
        <v>-0.89798780370528364</v>
      </c>
      <c r="X471">
        <f t="shared" si="405"/>
        <v>-46.672375831787996</v>
      </c>
      <c r="Y471">
        <f t="shared" si="389"/>
        <v>-177.41785572904993</v>
      </c>
      <c r="Z471">
        <f t="shared" si="406"/>
        <v>2.5821442709500673</v>
      </c>
      <c r="AC471">
        <v>1</v>
      </c>
      <c r="AD471">
        <f t="shared" si="390"/>
        <v>346.37001444045001</v>
      </c>
      <c r="AE471">
        <f t="shared" si="391"/>
        <v>-3.355865367929442E-2</v>
      </c>
      <c r="AF471">
        <f t="shared" si="392"/>
        <v>2.6740733981976E-2</v>
      </c>
      <c r="AG471">
        <f t="shared" si="367"/>
        <v>5012.1544099909788</v>
      </c>
      <c r="AH471">
        <f t="shared" si="368"/>
        <v>-6327.4685783150844</v>
      </c>
      <c r="AJ471">
        <f t="shared" si="393"/>
        <v>18000</v>
      </c>
      <c r="AK471">
        <f t="shared" si="394"/>
        <v>150271.29857262602</v>
      </c>
      <c r="AL471">
        <v>1</v>
      </c>
      <c r="AM471">
        <f t="shared" si="395"/>
        <v>328.07457265205699</v>
      </c>
      <c r="AN471">
        <f t="shared" si="369"/>
        <v>458.20304295229454</v>
      </c>
      <c r="AO471">
        <f t="shared" si="370"/>
        <v>-53.468931820119586</v>
      </c>
      <c r="AQ471">
        <f t="shared" si="396"/>
        <v>1.5140272352303238E-3</v>
      </c>
      <c r="AR471">
        <f t="shared" si="397"/>
        <v>-3.8910499945419317</v>
      </c>
      <c r="AT471">
        <f t="shared" si="418"/>
        <v>-24612.908038833244</v>
      </c>
      <c r="AU471">
        <f t="shared" si="419"/>
        <v>-19512.123349396352</v>
      </c>
      <c r="AV471">
        <f t="shared" si="407"/>
        <v>-2.4712821033836199</v>
      </c>
      <c r="AW471">
        <f t="shared" si="408"/>
        <v>5847.7595153589818</v>
      </c>
      <c r="AX471">
        <f t="shared" si="409"/>
        <v>-9109.6884090072508</v>
      </c>
      <c r="AY471">
        <f t="shared" si="417"/>
        <v>-1.0001169222667683</v>
      </c>
      <c r="BA471">
        <f t="shared" si="398"/>
        <v>2.9014879700858764</v>
      </c>
      <c r="BB471">
        <f t="shared" si="410"/>
        <v>9.2524154853544101</v>
      </c>
      <c r="BC471">
        <f t="shared" si="411"/>
        <v>-1.4711651811168516</v>
      </c>
      <c r="BD471">
        <f t="shared" si="399"/>
        <v>-264.29155594091208</v>
      </c>
      <c r="BF471">
        <f t="shared" si="400"/>
        <v>-62.279775491718738</v>
      </c>
      <c r="BG471">
        <f t="shared" si="401"/>
        <v>-216.74897747567391</v>
      </c>
      <c r="BH471">
        <f t="shared" si="412"/>
        <v>-36.748977475673911</v>
      </c>
      <c r="BI471">
        <f t="shared" si="413"/>
        <v>-36.748977475673911</v>
      </c>
      <c r="BJ471">
        <f t="shared" si="402"/>
        <v>0</v>
      </c>
      <c r="BK471">
        <f t="shared" si="414"/>
        <v>0</v>
      </c>
      <c r="BM471">
        <f t="shared" si="415"/>
        <v>-71.532190977073142</v>
      </c>
      <c r="BN471">
        <f t="shared" si="403"/>
        <v>-132.45742153476183</v>
      </c>
      <c r="BQ471" s="56">
        <f t="shared" si="416"/>
        <v>26.154376285639547</v>
      </c>
    </row>
    <row r="472" spans="1:69" x14ac:dyDescent="0.25">
      <c r="A472">
        <f t="shared" si="372"/>
        <v>1290000</v>
      </c>
      <c r="B472">
        <f t="shared" si="404"/>
        <v>1290</v>
      </c>
      <c r="C472">
        <f t="shared" si="373"/>
        <v>1.4823326989298375</v>
      </c>
      <c r="D472">
        <f t="shared" si="374"/>
        <v>0.83035684937056331</v>
      </c>
      <c r="F472">
        <f t="shared" si="375"/>
        <v>1.1854894434762628E-5</v>
      </c>
      <c r="G472">
        <f t="shared" si="376"/>
        <v>1.3466767395285816E-3</v>
      </c>
      <c r="H472">
        <f t="shared" si="377"/>
        <v>-3.1402459732604715</v>
      </c>
      <c r="J472">
        <f t="shared" si="378"/>
        <v>15</v>
      </c>
      <c r="M472">
        <f t="shared" si="379"/>
        <v>2.0695102827834105E-3</v>
      </c>
      <c r="N472">
        <f t="shared" si="380"/>
        <v>-1.5707963250000001</v>
      </c>
      <c r="O472">
        <f t="shared" si="381"/>
        <v>347.71919563217085</v>
      </c>
      <c r="P472">
        <f t="shared" si="382"/>
        <v>1.567920439035412</v>
      </c>
      <c r="Q472">
        <f t="shared" si="383"/>
        <v>329.35264554255673</v>
      </c>
      <c r="R472">
        <f t="shared" si="384"/>
        <v>1.5677600629299522</v>
      </c>
      <c r="S472">
        <f t="shared" si="385"/>
        <v>0.11847866423524395</v>
      </c>
      <c r="T472">
        <f t="shared" si="386"/>
        <v>-1.452038712222729</v>
      </c>
      <c r="U472">
        <f t="shared" si="387"/>
        <v>0.62170419205063332</v>
      </c>
      <c r="V472">
        <f t="shared" si="388"/>
        <v>-0.89987970759529934</v>
      </c>
      <c r="X472">
        <f t="shared" si="405"/>
        <v>-46.741680097984599</v>
      </c>
      <c r="Y472">
        <f t="shared" si="389"/>
        <v>-177.44063859255044</v>
      </c>
      <c r="Z472">
        <f t="shared" si="406"/>
        <v>2.5593614074495576</v>
      </c>
      <c r="AC472">
        <v>1</v>
      </c>
      <c r="AD472">
        <f t="shared" si="390"/>
        <v>347.71775768730004</v>
      </c>
      <c r="AE472">
        <f t="shared" si="391"/>
        <v>-3.3820318604498995E-2</v>
      </c>
      <c r="AF472">
        <f t="shared" si="392"/>
        <v>2.6844783530543998E-2</v>
      </c>
      <c r="AG472">
        <f t="shared" si="367"/>
        <v>4988.3643560321589</v>
      </c>
      <c r="AH472">
        <f t="shared" si="368"/>
        <v>-6321.8267952595043</v>
      </c>
      <c r="AJ472">
        <f t="shared" si="393"/>
        <v>18000</v>
      </c>
      <c r="AK472">
        <f t="shared" si="394"/>
        <v>150856.01179664402</v>
      </c>
      <c r="AL472">
        <v>1</v>
      </c>
      <c r="AM472">
        <f t="shared" si="395"/>
        <v>329.351127409458</v>
      </c>
      <c r="AN472">
        <f t="shared" si="369"/>
        <v>458.20178201714953</v>
      </c>
      <c r="AO472">
        <f t="shared" si="370"/>
        <v>-53.261691726879768</v>
      </c>
      <c r="AQ472">
        <f t="shared" si="396"/>
        <v>1.5023133371922755E-3</v>
      </c>
      <c r="AR472">
        <f t="shared" si="397"/>
        <v>-3.8759684099560707</v>
      </c>
      <c r="AT472">
        <f t="shared" si="418"/>
        <v>-24495.706865336822</v>
      </c>
      <c r="AU472">
        <f t="shared" si="419"/>
        <v>-19344.240026041443</v>
      </c>
      <c r="AV472">
        <f t="shared" si="407"/>
        <v>-2.4731643252698654</v>
      </c>
      <c r="AW472">
        <f t="shared" si="408"/>
        <v>5822.7968427470469</v>
      </c>
      <c r="AX472">
        <f t="shared" si="409"/>
        <v>-9095.4602754493899</v>
      </c>
      <c r="AY472">
        <f t="shared" si="417"/>
        <v>-1.0013503748318446</v>
      </c>
      <c r="BA472">
        <f t="shared" si="398"/>
        <v>2.8901693042387655</v>
      </c>
      <c r="BB472">
        <f t="shared" si="410"/>
        <v>9.2184656838022967</v>
      </c>
      <c r="BC472">
        <f t="shared" si="411"/>
        <v>-1.4718139504380208</v>
      </c>
      <c r="BD472">
        <f t="shared" si="399"/>
        <v>-264.32872768493513</v>
      </c>
      <c r="BF472">
        <f t="shared" si="400"/>
        <v>-62.362841537169629</v>
      </c>
      <c r="BG472">
        <f t="shared" si="401"/>
        <v>-216.67562577822656</v>
      </c>
      <c r="BH472">
        <f t="shared" si="412"/>
        <v>-36.675625778226561</v>
      </c>
      <c r="BI472">
        <f t="shared" si="413"/>
        <v>-36.675625778226561</v>
      </c>
      <c r="BJ472">
        <f t="shared" si="402"/>
        <v>0</v>
      </c>
      <c r="BK472">
        <f t="shared" si="414"/>
        <v>0</v>
      </c>
      <c r="BM472">
        <f t="shared" si="415"/>
        <v>-71.581307220971922</v>
      </c>
      <c r="BN472">
        <f t="shared" si="403"/>
        <v>-132.34689809329146</v>
      </c>
      <c r="BQ472" s="56">
        <f t="shared" si="416"/>
        <v>26.120426484087432</v>
      </c>
    </row>
    <row r="473" spans="1:69" x14ac:dyDescent="0.25">
      <c r="A473">
        <f>A472+5000</f>
        <v>1295000</v>
      </c>
      <c r="B473">
        <f t="shared" si="404"/>
        <v>1295</v>
      </c>
      <c r="C473">
        <f t="shared" si="373"/>
        <v>1.4854661532072055</v>
      </c>
      <c r="D473">
        <f t="shared" si="374"/>
        <v>0.83228293441750978</v>
      </c>
      <c r="F473">
        <f t="shared" si="375"/>
        <v>1.1763526555588239E-5</v>
      </c>
      <c r="G473">
        <f t="shared" si="376"/>
        <v>1.3414770962371831E-3</v>
      </c>
      <c r="H473">
        <f t="shared" si="377"/>
        <v>-3.140251172903763</v>
      </c>
      <c r="J473">
        <f t="shared" si="378"/>
        <v>15</v>
      </c>
      <c r="M473">
        <f t="shared" si="379"/>
        <v>2.0615198955911966E-3</v>
      </c>
      <c r="N473">
        <f t="shared" si="380"/>
        <v>-1.5707963250000001</v>
      </c>
      <c r="O473">
        <f t="shared" si="381"/>
        <v>349.06693332713297</v>
      </c>
      <c r="P473">
        <f t="shared" si="382"/>
        <v>1.5679315427882849</v>
      </c>
      <c r="Q473">
        <f t="shared" si="383"/>
        <v>330.62919443846687</v>
      </c>
      <c r="R473">
        <f t="shared" si="384"/>
        <v>1.5677717858848257</v>
      </c>
      <c r="S473">
        <f t="shared" si="385"/>
        <v>0.1180276022986313</v>
      </c>
      <c r="T473">
        <f t="shared" si="386"/>
        <v>-1.4524929614107724</v>
      </c>
      <c r="U473">
        <f t="shared" si="387"/>
        <v>0.62022828349791481</v>
      </c>
      <c r="V473">
        <f t="shared" si="388"/>
        <v>-0.90176263554326475</v>
      </c>
      <c r="X473">
        <f t="shared" si="405"/>
        <v>-46.810717027196645</v>
      </c>
      <c r="Y473">
        <f t="shared" si="389"/>
        <v>-177.46318247787227</v>
      </c>
      <c r="Z473">
        <f t="shared" si="406"/>
        <v>2.536817522127734</v>
      </c>
      <c r="AC473">
        <v>1</v>
      </c>
      <c r="AD473">
        <f t="shared" si="390"/>
        <v>349.06550093415001</v>
      </c>
      <c r="AE473">
        <f t="shared" si="391"/>
        <v>-3.4082999704170377E-2</v>
      </c>
      <c r="AF473">
        <f t="shared" si="392"/>
        <v>2.6948833079112004E-2</v>
      </c>
      <c r="AG473">
        <f t="shared" si="367"/>
        <v>4964.7079912198451</v>
      </c>
      <c r="AH473">
        <f t="shared" si="368"/>
        <v>-6316.1228724211242</v>
      </c>
      <c r="AJ473">
        <f t="shared" si="393"/>
        <v>18000</v>
      </c>
      <c r="AK473">
        <f t="shared" si="394"/>
        <v>151440.72502066201</v>
      </c>
      <c r="AL473">
        <v>1</v>
      </c>
      <c r="AM473">
        <f t="shared" si="395"/>
        <v>330.62768216685902</v>
      </c>
      <c r="AN473">
        <f t="shared" si="369"/>
        <v>458.20053565903868</v>
      </c>
      <c r="AO473">
        <f t="shared" si="370"/>
        <v>-53.056051899151271</v>
      </c>
      <c r="AQ473">
        <f t="shared" si="396"/>
        <v>1.4907348592395971E-3</v>
      </c>
      <c r="AR473">
        <f t="shared" si="397"/>
        <v>-3.8610032854305563</v>
      </c>
      <c r="AT473">
        <f t="shared" si="418"/>
        <v>-24379.170098332583</v>
      </c>
      <c r="AU473">
        <f t="shared" si="419"/>
        <v>-19178.169529844319</v>
      </c>
      <c r="AV473">
        <f t="shared" si="407"/>
        <v>-2.4750376459778582</v>
      </c>
      <c r="AW473">
        <f t="shared" si="408"/>
        <v>5797.9649269454767</v>
      </c>
      <c r="AX473">
        <f t="shared" si="409"/>
        <v>-9081.2240375860365</v>
      </c>
      <c r="AY473">
        <f t="shared" si="417"/>
        <v>-1.0025790188575403</v>
      </c>
      <c r="BA473">
        <f t="shared" si="398"/>
        <v>2.8789386668945451</v>
      </c>
      <c r="BB473">
        <f t="shared" si="410"/>
        <v>9.1846482547482378</v>
      </c>
      <c r="BC473">
        <f t="shared" si="411"/>
        <v>-1.4724586271203179</v>
      </c>
      <c r="BD473">
        <f t="shared" si="399"/>
        <v>-264.36566493802343</v>
      </c>
      <c r="BF473">
        <f t="shared" si="400"/>
        <v>-62.445520605305958</v>
      </c>
      <c r="BG473">
        <f t="shared" si="401"/>
        <v>-216.60250440463142</v>
      </c>
      <c r="BH473">
        <f t="shared" si="412"/>
        <v>-36.602504404631418</v>
      </c>
      <c r="BI473">
        <f t="shared" si="413"/>
        <v>-36.602504404631418</v>
      </c>
      <c r="BJ473">
        <f t="shared" si="402"/>
        <v>0</v>
      </c>
      <c r="BK473">
        <f t="shared" si="414"/>
        <v>0</v>
      </c>
      <c r="BM473">
        <f t="shared" si="415"/>
        <v>-71.630168860054198</v>
      </c>
      <c r="BN473">
        <f t="shared" si="403"/>
        <v>-132.23683946660799</v>
      </c>
      <c r="BQ473" s="56">
        <f t="shared" si="416"/>
        <v>26.086609055033378</v>
      </c>
    </row>
    <row r="474" spans="1:69" x14ac:dyDescent="0.25">
      <c r="A474">
        <f t="shared" ref="A474:A537" si="420">A473+5000</f>
        <v>1300000</v>
      </c>
      <c r="B474">
        <f t="shared" si="404"/>
        <v>1300</v>
      </c>
      <c r="C474">
        <f t="shared" si="373"/>
        <v>1.488605095060396</v>
      </c>
      <c r="D474">
        <f t="shared" si="374"/>
        <v>0.83420090368997657</v>
      </c>
      <c r="F474">
        <f t="shared" si="375"/>
        <v>1.1673210908012307E-5</v>
      </c>
      <c r="G474">
        <f t="shared" si="376"/>
        <v>1.3363174515693568E-3</v>
      </c>
      <c r="H474">
        <f t="shared" si="377"/>
        <v>-3.140256332548431</v>
      </c>
      <c r="J474">
        <f t="shared" si="378"/>
        <v>15</v>
      </c>
      <c r="M474">
        <f t="shared" si="379"/>
        <v>2.0535909729158461E-3</v>
      </c>
      <c r="N474">
        <f t="shared" si="380"/>
        <v>-1.5707963250000001</v>
      </c>
      <c r="O474">
        <f t="shared" si="381"/>
        <v>350.41467106480167</v>
      </c>
      <c r="P474">
        <f t="shared" si="382"/>
        <v>1.5679425611283726</v>
      </c>
      <c r="Q474">
        <f t="shared" si="383"/>
        <v>331.90574337946504</v>
      </c>
      <c r="R474">
        <f t="shared" si="384"/>
        <v>1.567783418663945</v>
      </c>
      <c r="S474">
        <f t="shared" si="385"/>
        <v>0.11757993783935942</v>
      </c>
      <c r="T474">
        <f t="shared" si="386"/>
        <v>-1.4529437648664891</v>
      </c>
      <c r="U474">
        <f t="shared" si="387"/>
        <v>0.618757187694986</v>
      </c>
      <c r="V474">
        <f t="shared" si="388"/>
        <v>-0.90363663801920313</v>
      </c>
      <c r="X474">
        <f t="shared" si="405"/>
        <v>-46.879488587232238</v>
      </c>
      <c r="Y474">
        <f t="shared" si="389"/>
        <v>-177.48549031375188</v>
      </c>
      <c r="Z474">
        <f t="shared" si="406"/>
        <v>2.5145096862481182</v>
      </c>
      <c r="AC474">
        <v>1</v>
      </c>
      <c r="AD474">
        <f t="shared" si="390"/>
        <v>350.41324418099998</v>
      </c>
      <c r="AE474">
        <f t="shared" si="391"/>
        <v>-3.4346696978308569E-2</v>
      </c>
      <c r="AF474">
        <f t="shared" si="392"/>
        <v>2.7052882627679999E-2</v>
      </c>
      <c r="AG474">
        <f t="shared" si="367"/>
        <v>4941.1847183740574</v>
      </c>
      <c r="AH474">
        <f t="shared" si="368"/>
        <v>-6310.3579971611607</v>
      </c>
      <c r="AJ474">
        <f t="shared" si="393"/>
        <v>18000</v>
      </c>
      <c r="AK474">
        <f t="shared" si="394"/>
        <v>152025.43824468</v>
      </c>
      <c r="AL474">
        <v>1</v>
      </c>
      <c r="AM474">
        <f t="shared" si="395"/>
        <v>331.90423692426003</v>
      </c>
      <c r="AN474">
        <f t="shared" si="369"/>
        <v>458.19930365413506</v>
      </c>
      <c r="AO474">
        <f t="shared" si="370"/>
        <v>-52.851993873006428</v>
      </c>
      <c r="AQ474">
        <f t="shared" si="396"/>
        <v>1.4792897219985618E-3</v>
      </c>
      <c r="AR474">
        <f t="shared" si="397"/>
        <v>-3.8461532771962608</v>
      </c>
      <c r="AT474">
        <f t="shared" si="418"/>
        <v>-24263.294647294642</v>
      </c>
      <c r="AU474">
        <f t="shared" si="419"/>
        <v>-19013.888645533796</v>
      </c>
      <c r="AV474">
        <f t="shared" si="407"/>
        <v>-2.4769021151149735</v>
      </c>
      <c r="AW474">
        <f t="shared" si="408"/>
        <v>5773.2633856095654</v>
      </c>
      <c r="AX474">
        <f t="shared" si="409"/>
        <v>-9066.9803131958524</v>
      </c>
      <c r="AY474">
        <f t="shared" si="417"/>
        <v>-1.003802855635995</v>
      </c>
      <c r="BA474">
        <f t="shared" si="398"/>
        <v>2.867795032474727</v>
      </c>
      <c r="BB474">
        <f t="shared" si="410"/>
        <v>9.1509621627450102</v>
      </c>
      <c r="BC474">
        <f t="shared" si="411"/>
        <v>-1.4730992594789785</v>
      </c>
      <c r="BD474">
        <f t="shared" si="399"/>
        <v>-264.40237046843617</v>
      </c>
      <c r="BF474">
        <f t="shared" si="400"/>
        <v>-62.527815987821391</v>
      </c>
      <c r="BG474">
        <f t="shared" si="401"/>
        <v>-216.52961401623401</v>
      </c>
      <c r="BH474">
        <f t="shared" si="412"/>
        <v>-36.529614016234007</v>
      </c>
      <c r="BI474">
        <f t="shared" si="413"/>
        <v>-36.529614016234007</v>
      </c>
      <c r="BJ474">
        <f t="shared" si="402"/>
        <v>0</v>
      </c>
      <c r="BK474">
        <f t="shared" si="414"/>
        <v>0</v>
      </c>
      <c r="BM474">
        <f t="shared" si="415"/>
        <v>-71.678778150566401</v>
      </c>
      <c r="BN474">
        <f t="shared" si="403"/>
        <v>-132.12724354779789</v>
      </c>
      <c r="BQ474" s="56">
        <f t="shared" si="416"/>
        <v>26.052922963030145</v>
      </c>
    </row>
    <row r="475" spans="1:69" x14ac:dyDescent="0.25">
      <c r="A475">
        <f t="shared" si="420"/>
        <v>1305000</v>
      </c>
      <c r="B475">
        <f t="shared" si="404"/>
        <v>1305</v>
      </c>
      <c r="C475">
        <f t="shared" si="373"/>
        <v>1.4917494898485091</v>
      </c>
      <c r="D475">
        <f t="shared" si="374"/>
        <v>0.83611079435315094</v>
      </c>
      <c r="F475">
        <f t="shared" si="375"/>
        <v>1.1583931396517418E-5</v>
      </c>
      <c r="G475">
        <f t="shared" si="376"/>
        <v>1.3311973457499706E-3</v>
      </c>
      <c r="H475">
        <f t="shared" si="377"/>
        <v>-3.1402614526542503</v>
      </c>
      <c r="J475">
        <f t="shared" si="378"/>
        <v>15</v>
      </c>
      <c r="M475">
        <f t="shared" si="379"/>
        <v>2.0457228082686589E-3</v>
      </c>
      <c r="N475">
        <f t="shared" si="380"/>
        <v>-1.5707963250000001</v>
      </c>
      <c r="O475">
        <f t="shared" si="381"/>
        <v>351.76240884468604</v>
      </c>
      <c r="P475">
        <f t="shared" si="382"/>
        <v>1.5679534950374203</v>
      </c>
      <c r="Q475">
        <f t="shared" si="383"/>
        <v>333.18229236503305</v>
      </c>
      <c r="R475">
        <f t="shared" si="384"/>
        <v>1.5677949623038006</v>
      </c>
      <c r="S475">
        <f t="shared" si="385"/>
        <v>0.11713563288763021</v>
      </c>
      <c r="T475">
        <f t="shared" si="386"/>
        <v>-1.4533911614672672</v>
      </c>
      <c r="U475">
        <f t="shared" si="387"/>
        <v>0.61729090136560505</v>
      </c>
      <c r="V475">
        <f t="shared" si="388"/>
        <v>-0.90550176526656279</v>
      </c>
      <c r="X475">
        <f t="shared" si="405"/>
        <v>-46.947996724804923</v>
      </c>
      <c r="Y475">
        <f t="shared" si="389"/>
        <v>-177.50756498773561</v>
      </c>
      <c r="Z475">
        <f t="shared" si="406"/>
        <v>2.4924350122643943</v>
      </c>
      <c r="AC475">
        <v>1</v>
      </c>
      <c r="AD475">
        <f t="shared" si="390"/>
        <v>351.76098742785001</v>
      </c>
      <c r="AE475">
        <f t="shared" si="391"/>
        <v>-3.4611410426913583E-2</v>
      </c>
      <c r="AF475">
        <f t="shared" si="392"/>
        <v>2.7156932176247997E-2</v>
      </c>
      <c r="AG475">
        <f t="shared" si="367"/>
        <v>4917.7939370461263</v>
      </c>
      <c r="AH475">
        <f t="shared" si="368"/>
        <v>-6304.533341208401</v>
      </c>
      <c r="AJ475">
        <f t="shared" si="393"/>
        <v>18000</v>
      </c>
      <c r="AK475">
        <f t="shared" si="394"/>
        <v>152610.15146869802</v>
      </c>
      <c r="AL475">
        <v>1</v>
      </c>
      <c r="AM475">
        <f t="shared" si="395"/>
        <v>333.18079168166099</v>
      </c>
      <c r="AN475">
        <f t="shared" si="369"/>
        <v>458.19808578289178</v>
      </c>
      <c r="AO475">
        <f t="shared" si="370"/>
        <v>-52.649499467476808</v>
      </c>
      <c r="AQ475">
        <f t="shared" si="396"/>
        <v>1.4679758858537183E-3</v>
      </c>
      <c r="AR475">
        <f t="shared" si="397"/>
        <v>-3.8314170620782049</v>
      </c>
      <c r="AT475">
        <f t="shared" si="418"/>
        <v>-24148.077409035599</v>
      </c>
      <c r="AU475">
        <f t="shared" si="419"/>
        <v>-18851.374501099734</v>
      </c>
      <c r="AV475">
        <f t="shared" si="407"/>
        <v>-2.4787577820752316</v>
      </c>
      <c r="AW475">
        <f t="shared" si="408"/>
        <v>5748.6918273049077</v>
      </c>
      <c r="AX475">
        <f t="shared" si="409"/>
        <v>-9052.7297134719793</v>
      </c>
      <c r="AY475">
        <f t="shared" si="417"/>
        <v>-1.0050218870075653</v>
      </c>
      <c r="BA475">
        <f t="shared" si="398"/>
        <v>2.8567373912966669</v>
      </c>
      <c r="BB475">
        <f t="shared" si="410"/>
        <v>9.1174063844650828</v>
      </c>
      <c r="BC475">
        <f t="shared" si="411"/>
        <v>-1.4737358950676662</v>
      </c>
      <c r="BD475">
        <f t="shared" si="399"/>
        <v>-264.43884700079747</v>
      </c>
      <c r="BF475">
        <f t="shared" si="400"/>
        <v>-62.609730937720791</v>
      </c>
      <c r="BG475">
        <f t="shared" si="401"/>
        <v>-216.45695523459341</v>
      </c>
      <c r="BH475">
        <f t="shared" si="412"/>
        <v>-36.456955234593408</v>
      </c>
      <c r="BI475">
        <f t="shared" si="413"/>
        <v>-36.456955234593408</v>
      </c>
      <c r="BJ475">
        <f t="shared" si="402"/>
        <v>0</v>
      </c>
      <c r="BK475">
        <f t="shared" si="414"/>
        <v>0</v>
      </c>
      <c r="BM475">
        <f t="shared" si="415"/>
        <v>-71.727137322185868</v>
      </c>
      <c r="BN475">
        <f t="shared" si="403"/>
        <v>-132.01810823379594</v>
      </c>
      <c r="BQ475" s="56">
        <f t="shared" si="416"/>
        <v>26.019367184750219</v>
      </c>
    </row>
    <row r="476" spans="1:69" x14ac:dyDescent="0.25">
      <c r="A476">
        <f t="shared" si="420"/>
        <v>1310000</v>
      </c>
      <c r="B476">
        <f t="shared" si="404"/>
        <v>1310</v>
      </c>
      <c r="C476">
        <f t="shared" si="373"/>
        <v>1.4948993031621773</v>
      </c>
      <c r="D476">
        <f t="shared" si="374"/>
        <v>0.8380126434955455</v>
      </c>
      <c r="F476">
        <f t="shared" si="375"/>
        <v>1.149567223217191E-5</v>
      </c>
      <c r="G476">
        <f t="shared" si="376"/>
        <v>1.3261163260237562E-3</v>
      </c>
      <c r="H476">
        <f t="shared" si="377"/>
        <v>-3.1402665336739766</v>
      </c>
      <c r="J476">
        <f t="shared" si="378"/>
        <v>15</v>
      </c>
      <c r="M476">
        <f t="shared" si="379"/>
        <v>2.0379147059470227E-3</v>
      </c>
      <c r="N476">
        <f t="shared" si="380"/>
        <v>-1.5707963250000001</v>
      </c>
      <c r="O476">
        <f t="shared" si="381"/>
        <v>353.11014666630274</v>
      </c>
      <c r="P476">
        <f t="shared" si="382"/>
        <v>1.5679643454821857</v>
      </c>
      <c r="Q476">
        <f t="shared" si="383"/>
        <v>334.45884139466062</v>
      </c>
      <c r="R476">
        <f t="shared" si="384"/>
        <v>1.5678064178250586</v>
      </c>
      <c r="S476">
        <f t="shared" si="385"/>
        <v>0.11669465003323487</v>
      </c>
      <c r="T476">
        <f t="shared" si="386"/>
        <v>-1.4538351895105466</v>
      </c>
      <c r="U476">
        <f t="shared" si="387"/>
        <v>0.61582942089561798</v>
      </c>
      <c r="V476">
        <f t="shared" si="388"/>
        <v>-0.90735806730101642</v>
      </c>
      <c r="X476">
        <f t="shared" si="405"/>
        <v>-47.016243365835059</v>
      </c>
      <c r="Y476">
        <f t="shared" si="389"/>
        <v>-177.52940934684665</v>
      </c>
      <c r="Z476">
        <f t="shared" si="406"/>
        <v>2.4705906531533515</v>
      </c>
      <c r="AC476">
        <v>1</v>
      </c>
      <c r="AD476">
        <f t="shared" si="390"/>
        <v>353.10873067469998</v>
      </c>
      <c r="AE476">
        <f t="shared" si="391"/>
        <v>-3.4877140049985413E-2</v>
      </c>
      <c r="AF476">
        <f t="shared" si="392"/>
        <v>2.7260981724816002E-2</v>
      </c>
      <c r="AG476">
        <f t="shared" si="367"/>
        <v>4894.535043704007</v>
      </c>
      <c r="AH476">
        <f t="shared" si="368"/>
        <v>-6298.6500608126962</v>
      </c>
      <c r="AJ476">
        <f t="shared" si="393"/>
        <v>18000</v>
      </c>
      <c r="AK476">
        <f t="shared" si="394"/>
        <v>153194.86469271602</v>
      </c>
      <c r="AL476">
        <v>1</v>
      </c>
      <c r="AM476">
        <f t="shared" si="395"/>
        <v>334.45734643906201</v>
      </c>
      <c r="AN476">
        <f t="shared" si="369"/>
        <v>458.19688182994292</v>
      </c>
      <c r="AO476">
        <f t="shared" si="370"/>
        <v>-52.448550779153429</v>
      </c>
      <c r="AQ476">
        <f t="shared" si="396"/>
        <v>1.4567913500391366E-3</v>
      </c>
      <c r="AR476">
        <f t="shared" si="397"/>
        <v>-3.816793337102538</v>
      </c>
      <c r="AT476">
        <f t="shared" si="418"/>
        <v>-24033.515268536263</v>
      </c>
      <c r="AU476">
        <f t="shared" si="419"/>
        <v>-18690.604561949851</v>
      </c>
      <c r="AV476">
        <f t="shared" si="407"/>
        <v>-2.4806046960378452</v>
      </c>
      <c r="AW476">
        <f t="shared" si="408"/>
        <v>5724.2498518386665</v>
      </c>
      <c r="AX476">
        <f t="shared" si="409"/>
        <v>-9038.4728429855459</v>
      </c>
      <c r="AY476">
        <f t="shared" si="417"/>
        <v>-1.0062361153443593</v>
      </c>
      <c r="BA476">
        <f t="shared" si="398"/>
        <v>2.8457647492664098</v>
      </c>
      <c r="BB476">
        <f t="shared" si="410"/>
        <v>9.0839799085119814</v>
      </c>
      <c r="BC476">
        <f t="shared" si="411"/>
        <v>-1.4743685806934859</v>
      </c>
      <c r="BD476">
        <f t="shared" si="399"/>
        <v>-264.47509721695695</v>
      </c>
      <c r="BF476">
        <f t="shared" si="400"/>
        <v>-62.691268669896864</v>
      </c>
      <c r="BG476">
        <f t="shared" si="401"/>
        <v>-216.38452864248487</v>
      </c>
      <c r="BH476">
        <f t="shared" si="412"/>
        <v>-36.384528642484867</v>
      </c>
      <c r="BI476">
        <f t="shared" si="413"/>
        <v>-36.384528642484867</v>
      </c>
      <c r="BJ476">
        <f t="shared" si="402"/>
        <v>0</v>
      </c>
      <c r="BK476">
        <f t="shared" si="414"/>
        <v>0</v>
      </c>
      <c r="BM476">
        <f t="shared" si="415"/>
        <v>-71.775248578408849</v>
      </c>
      <c r="BN476">
        <f t="shared" si="403"/>
        <v>-131.90943142552791</v>
      </c>
      <c r="BQ476" s="56">
        <f t="shared" si="416"/>
        <v>25.985940708797116</v>
      </c>
    </row>
    <row r="477" spans="1:69" x14ac:dyDescent="0.25">
      <c r="A477">
        <f t="shared" si="420"/>
        <v>1315000</v>
      </c>
      <c r="B477">
        <f t="shared" si="404"/>
        <v>1315</v>
      </c>
      <c r="C477">
        <f t="shared" si="373"/>
        <v>1.4980545008223831</v>
      </c>
      <c r="D477">
        <f t="shared" si="374"/>
        <v>0.83990648812670687</v>
      </c>
      <c r="F477">
        <f t="shared" si="375"/>
        <v>1.1408417925648683E-5</v>
      </c>
      <c r="G477">
        <f t="shared" si="376"/>
        <v>1.3210739465218419E-3</v>
      </c>
      <c r="H477">
        <f t="shared" si="377"/>
        <v>-3.1402715760534785</v>
      </c>
      <c r="J477">
        <f t="shared" si="378"/>
        <v>15</v>
      </c>
      <c r="M477">
        <f t="shared" si="379"/>
        <v>2.0301659808293535E-3</v>
      </c>
      <c r="N477">
        <f t="shared" si="380"/>
        <v>-1.5707963250000001</v>
      </c>
      <c r="O477">
        <f t="shared" si="381"/>
        <v>354.45788452917571</v>
      </c>
      <c r="P477">
        <f t="shared" si="382"/>
        <v>1.5679751134147222</v>
      </c>
      <c r="Q477">
        <f t="shared" si="383"/>
        <v>335.73539046784504</v>
      </c>
      <c r="R477">
        <f t="shared" si="384"/>
        <v>1.5678177862328624</v>
      </c>
      <c r="S477">
        <f t="shared" si="385"/>
        <v>0.11625695241536055</v>
      </c>
      <c r="T477">
        <f t="shared" si="386"/>
        <v>-1.4542758867245427</v>
      </c>
      <c r="U477">
        <f t="shared" si="387"/>
        <v>0.61437274234062</v>
      </c>
      <c r="V477">
        <f t="shared" si="388"/>
        <v>-0.9092055939093282</v>
      </c>
      <c r="X477">
        <f t="shared" si="405"/>
        <v>-47.084230415745466</v>
      </c>
      <c r="Y477">
        <f t="shared" si="389"/>
        <v>-177.55102619824069</v>
      </c>
      <c r="Z477">
        <f t="shared" si="406"/>
        <v>2.4489738017593083</v>
      </c>
      <c r="AC477">
        <v>1</v>
      </c>
      <c r="AD477">
        <f t="shared" si="390"/>
        <v>354.45647392155001</v>
      </c>
      <c r="AE477">
        <f t="shared" si="391"/>
        <v>-3.5143885847524051E-2</v>
      </c>
      <c r="AF477">
        <f t="shared" si="392"/>
        <v>2.7365031273383997E-2</v>
      </c>
      <c r="AG477">
        <f t="shared" si="367"/>
        <v>4871.4074319132114</v>
      </c>
      <c r="AH477">
        <f t="shared" si="368"/>
        <v>-6292.7092968983734</v>
      </c>
      <c r="AJ477">
        <f t="shared" si="393"/>
        <v>18000</v>
      </c>
      <c r="AK477">
        <f t="shared" si="394"/>
        <v>153779.57791673401</v>
      </c>
      <c r="AL477">
        <v>1</v>
      </c>
      <c r="AM477">
        <f t="shared" si="395"/>
        <v>335.73390119646302</v>
      </c>
      <c r="AN477">
        <f t="shared" si="369"/>
        <v>458.19569158400952</v>
      </c>
      <c r="AO477">
        <f t="shared" si="370"/>
        <v>-52.249130176910455</v>
      </c>
      <c r="AQ477">
        <f t="shared" si="396"/>
        <v>1.4457341517537985E-3</v>
      </c>
      <c r="AR477">
        <f t="shared" si="397"/>
        <v>-3.8022808191124899</v>
      </c>
      <c r="AT477">
        <f t="shared" si="418"/>
        <v>-23919.605099756107</v>
      </c>
      <c r="AU477">
        <f t="shared" si="419"/>
        <v>-18531.556625183221</v>
      </c>
      <c r="AV477">
        <f t="shared" si="407"/>
        <v>-2.4824429059658408</v>
      </c>
      <c r="AW477">
        <f t="shared" si="408"/>
        <v>5699.9370505826409</v>
      </c>
      <c r="AX477">
        <f t="shared" si="409"/>
        <v>-9024.2102996538742</v>
      </c>
      <c r="AY477">
        <f t="shared" si="417"/>
        <v>-1.0074455435342027</v>
      </c>
      <c r="BA477">
        <f t="shared" si="398"/>
        <v>2.8348761275786445</v>
      </c>
      <c r="BB477">
        <f t="shared" si="410"/>
        <v>9.0506817352353419</v>
      </c>
      <c r="BC477">
        <f t="shared" si="411"/>
        <v>-1.4749973624316381</v>
      </c>
      <c r="BD477">
        <f t="shared" si="399"/>
        <v>-264.51112375682914</v>
      </c>
      <c r="BF477">
        <f t="shared" si="400"/>
        <v>-62.772432361696211</v>
      </c>
      <c r="BG477">
        <f t="shared" si="401"/>
        <v>-216.31233478487852</v>
      </c>
      <c r="BH477">
        <f t="shared" si="412"/>
        <v>-36.312334784878516</v>
      </c>
      <c r="BI477">
        <f t="shared" si="413"/>
        <v>-36.312334784878516</v>
      </c>
      <c r="BJ477">
        <f t="shared" si="402"/>
        <v>0</v>
      </c>
      <c r="BK477">
        <f t="shared" si="414"/>
        <v>0</v>
      </c>
      <c r="BM477">
        <f t="shared" si="415"/>
        <v>-71.823114096931548</v>
      </c>
      <c r="BN477">
        <f t="shared" si="403"/>
        <v>-131.80121102804938</v>
      </c>
      <c r="BQ477" s="56">
        <f t="shared" si="416"/>
        <v>25.952642535520475</v>
      </c>
    </row>
    <row r="478" spans="1:69" x14ac:dyDescent="0.25">
      <c r="A478">
        <f t="shared" si="420"/>
        <v>1320000</v>
      </c>
      <c r="B478">
        <f t="shared" si="404"/>
        <v>1320</v>
      </c>
      <c r="C478">
        <f t="shared" si="373"/>
        <v>1.5012150488792719</v>
      </c>
      <c r="D478">
        <f t="shared" si="374"/>
        <v>0.84179236517498457</v>
      </c>
      <c r="F478">
        <f t="shared" si="375"/>
        <v>1.1322153280428742E-5</v>
      </c>
      <c r="G478">
        <f t="shared" si="376"/>
        <v>1.316069768131319E-3</v>
      </c>
      <c r="H478">
        <f t="shared" si="377"/>
        <v>-3.1402765802318688</v>
      </c>
      <c r="J478">
        <f t="shared" si="378"/>
        <v>15</v>
      </c>
      <c r="M478">
        <f t="shared" si="379"/>
        <v>2.0224759581746968E-3</v>
      </c>
      <c r="N478">
        <f t="shared" si="380"/>
        <v>-1.5707963250000001</v>
      </c>
      <c r="O478">
        <f t="shared" si="381"/>
        <v>355.80562243283617</v>
      </c>
      <c r="P478">
        <f t="shared" si="382"/>
        <v>1.567985799772659</v>
      </c>
      <c r="Q478">
        <f t="shared" si="383"/>
        <v>337.01193958409141</v>
      </c>
      <c r="R478">
        <f t="shared" si="384"/>
        <v>1.5678290685171259</v>
      </c>
      <c r="S478">
        <f t="shared" si="385"/>
        <v>0.11582250371261689</v>
      </c>
      <c r="T478">
        <f t="shared" si="386"/>
        <v>-1.4547132902787336</v>
      </c>
      <c r="U478">
        <f t="shared" si="387"/>
        <v>0.61292086143349089</v>
      </c>
      <c r="V478">
        <f t="shared" si="388"/>
        <v>-0.91104439464828968</v>
      </c>
      <c r="X478">
        <f t="shared" si="405"/>
        <v>-47.151959759751925</v>
      </c>
      <c r="Y478">
        <f t="shared" si="389"/>
        <v>-177.57241830984739</v>
      </c>
      <c r="Z478">
        <f t="shared" si="406"/>
        <v>2.4275816901526071</v>
      </c>
      <c r="AC478">
        <v>1</v>
      </c>
      <c r="AD478">
        <f t="shared" si="390"/>
        <v>355.80421716840004</v>
      </c>
      <c r="AE478">
        <f t="shared" si="391"/>
        <v>-3.5411647819529504E-2</v>
      </c>
      <c r="AF478">
        <f t="shared" si="392"/>
        <v>2.7469080821951996E-2</v>
      </c>
      <c r="AG478">
        <f t="shared" si="367"/>
        <v>4848.4104925134397</v>
      </c>
      <c r="AH478">
        <f t="shared" si="368"/>
        <v>-6286.7121752174407</v>
      </c>
      <c r="AJ478">
        <f t="shared" si="393"/>
        <v>18000</v>
      </c>
      <c r="AK478">
        <f t="shared" si="394"/>
        <v>154364.291140752</v>
      </c>
      <c r="AL478">
        <v>1</v>
      </c>
      <c r="AM478">
        <f t="shared" si="395"/>
        <v>337.01045595386398</v>
      </c>
      <c r="AN478">
        <f t="shared" si="369"/>
        <v>458.19451483780676</v>
      </c>
      <c r="AO478">
        <f t="shared" si="370"/>
        <v>-52.05122029674839</v>
      </c>
      <c r="AQ478">
        <f t="shared" si="396"/>
        <v>1.4348023653003952E-3</v>
      </c>
      <c r="AR478">
        <f t="shared" si="397"/>
        <v>-3.7878782443930437</v>
      </c>
      <c r="AT478">
        <f t="shared" si="418"/>
        <v>-23806.343766424405</v>
      </c>
      <c r="AU478">
        <f t="shared" si="419"/>
        <v>-18374.208813977588</v>
      </c>
      <c r="AV478">
        <f t="shared" si="407"/>
        <v>-2.4842724606047524</v>
      </c>
      <c r="AW478">
        <f t="shared" si="408"/>
        <v>5675.7530067883317</v>
      </c>
      <c r="AX478">
        <f t="shared" si="409"/>
        <v>-9009.9426747130528</v>
      </c>
      <c r="AY478">
        <f t="shared" si="417"/>
        <v>-1.0086501749650223</v>
      </c>
      <c r="BA478">
        <f t="shared" si="398"/>
        <v>2.8240705624235534</v>
      </c>
      <c r="BB478">
        <f t="shared" si="410"/>
        <v>9.0175108765494887</v>
      </c>
      <c r="BC478">
        <f t="shared" si="411"/>
        <v>-1.4756222856397301</v>
      </c>
      <c r="BD478">
        <f t="shared" si="399"/>
        <v>-264.5469292192135</v>
      </c>
      <c r="BF478">
        <f t="shared" si="400"/>
        <v>-62.853225153475087</v>
      </c>
      <c r="BG478">
        <f t="shared" si="401"/>
        <v>-216.24037416989455</v>
      </c>
      <c r="BH478">
        <f t="shared" si="412"/>
        <v>-36.240374169894551</v>
      </c>
      <c r="BI478">
        <f t="shared" si="413"/>
        <v>-36.240374169894551</v>
      </c>
      <c r="BJ478">
        <f t="shared" si="402"/>
        <v>0</v>
      </c>
      <c r="BK478">
        <f t="shared" si="414"/>
        <v>0</v>
      </c>
      <c r="BM478">
        <f t="shared" si="415"/>
        <v>-71.870736030024574</v>
      </c>
      <c r="BN478">
        <f t="shared" si="403"/>
        <v>-131.69344495068106</v>
      </c>
      <c r="BQ478" s="56">
        <f t="shared" si="416"/>
        <v>25.919471676834625</v>
      </c>
    </row>
    <row r="479" spans="1:69" x14ac:dyDescent="0.25">
      <c r="A479">
        <f t="shared" si="420"/>
        <v>1325000</v>
      </c>
      <c r="B479">
        <f t="shared" si="404"/>
        <v>1325</v>
      </c>
      <c r="C479">
        <f t="shared" si="373"/>
        <v>1.5043809136109614</v>
      </c>
      <c r="D479">
        <f t="shared" si="374"/>
        <v>0.84367031148536009</v>
      </c>
      <c r="F479">
        <f t="shared" si="375"/>
        <v>1.1236863386183981E-5</v>
      </c>
      <c r="G479">
        <f t="shared" si="376"/>
        <v>1.3111033583677637E-3</v>
      </c>
      <c r="H479">
        <f t="shared" si="377"/>
        <v>-3.1402815466416323</v>
      </c>
      <c r="J479">
        <f t="shared" si="378"/>
        <v>15</v>
      </c>
      <c r="M479">
        <f t="shared" si="379"/>
        <v>2.0148439734268679E-3</v>
      </c>
      <c r="N479">
        <f t="shared" si="380"/>
        <v>-1.5707963250000001</v>
      </c>
      <c r="O479">
        <f t="shared" si="381"/>
        <v>357.15336037682232</v>
      </c>
      <c r="P479">
        <f t="shared" si="382"/>
        <v>1.5679964054794724</v>
      </c>
      <c r="Q479">
        <f t="shared" si="383"/>
        <v>338.28848874291231</v>
      </c>
      <c r="R479">
        <f t="shared" si="384"/>
        <v>1.567840265652821</v>
      </c>
      <c r="S479">
        <f t="shared" si="385"/>
        <v>0.11539126813327784</v>
      </c>
      <c r="T479">
        <f t="shared" si="386"/>
        <v>-1.4551474367941171</v>
      </c>
      <c r="U479">
        <f t="shared" si="387"/>
        <v>0.61147377359181121</v>
      </c>
      <c r="V479">
        <f t="shared" si="388"/>
        <v>-0.91287451884372017</v>
      </c>
      <c r="X479">
        <f t="shared" si="405"/>
        <v>-47.219433263148275</v>
      </c>
      <c r="Y479">
        <f t="shared" si="389"/>
        <v>-177.59358841100129</v>
      </c>
      <c r="Z479">
        <f t="shared" si="406"/>
        <v>2.4064115889987079</v>
      </c>
      <c r="AC479">
        <v>1</v>
      </c>
      <c r="AD479">
        <f t="shared" si="390"/>
        <v>357.15196041525002</v>
      </c>
      <c r="AE479">
        <f t="shared" si="391"/>
        <v>-3.5680425966001773E-2</v>
      </c>
      <c r="AF479">
        <f t="shared" si="392"/>
        <v>2.7573130370520001E-2</v>
      </c>
      <c r="AG479">
        <f t="shared" si="367"/>
        <v>4825.5436137909974</v>
      </c>
      <c r="AH479">
        <f t="shared" si="368"/>
        <v>-6280.6598065026446</v>
      </c>
      <c r="AJ479">
        <f t="shared" si="393"/>
        <v>18000</v>
      </c>
      <c r="AK479">
        <f t="shared" si="394"/>
        <v>154949.00436477002</v>
      </c>
      <c r="AL479">
        <v>1</v>
      </c>
      <c r="AM479">
        <f t="shared" si="395"/>
        <v>338.287010711265</v>
      </c>
      <c r="AN479">
        <f t="shared" si="369"/>
        <v>458.1933513879527</v>
      </c>
      <c r="AO479">
        <f t="shared" si="370"/>
        <v>-51.854804036754295</v>
      </c>
      <c r="AQ479">
        <f t="shared" si="396"/>
        <v>1.423994101246835E-3</v>
      </c>
      <c r="AR479">
        <f t="shared" si="397"/>
        <v>-3.7735843683041126</v>
      </c>
      <c r="AT479">
        <f t="shared" si="418"/>
        <v>-23693.728122812965</v>
      </c>
      <c r="AU479">
        <f t="shared" si="419"/>
        <v>-18218.539572087844</v>
      </c>
      <c r="AV479">
        <f t="shared" si="407"/>
        <v>-2.4860934084813868</v>
      </c>
      <c r="AW479">
        <f t="shared" si="408"/>
        <v>5651.6972958941851</v>
      </c>
      <c r="AX479">
        <f t="shared" si="409"/>
        <v>-8995.6705526948572</v>
      </c>
      <c r="AY479">
        <f t="shared" si="417"/>
        <v>-1.0098500135096387</v>
      </c>
      <c r="BA479">
        <f t="shared" si="398"/>
        <v>2.8133471047004068</v>
      </c>
      <c r="BB479">
        <f t="shared" si="410"/>
        <v>8.9844663557555648</v>
      </c>
      <c r="BC479">
        <f t="shared" si="411"/>
        <v>-1.4762433949717482</v>
      </c>
      <c r="BD479">
        <f t="shared" si="399"/>
        <v>-264.58251616259497</v>
      </c>
      <c r="BF479">
        <f t="shared" si="400"/>
        <v>-62.933650149144938</v>
      </c>
      <c r="BG479">
        <f t="shared" si="401"/>
        <v>-216.16864726973552</v>
      </c>
      <c r="BH479">
        <f t="shared" si="412"/>
        <v>-36.168647269735516</v>
      </c>
      <c r="BI479">
        <f t="shared" si="413"/>
        <v>-36.168647269735516</v>
      </c>
      <c r="BJ479">
        <f t="shared" si="402"/>
        <v>0</v>
      </c>
      <c r="BK479">
        <f t="shared" si="414"/>
        <v>0</v>
      </c>
      <c r="BM479">
        <f t="shared" si="415"/>
        <v>-71.91811650490051</v>
      </c>
      <c r="BN479">
        <f t="shared" si="403"/>
        <v>-131.58613110714052</v>
      </c>
      <c r="BQ479" s="56">
        <f t="shared" si="416"/>
        <v>25.886427156040703</v>
      </c>
    </row>
    <row r="480" spans="1:69" x14ac:dyDescent="0.25">
      <c r="A480">
        <f t="shared" si="420"/>
        <v>1330000</v>
      </c>
      <c r="B480">
        <f t="shared" si="404"/>
        <v>1330</v>
      </c>
      <c r="C480">
        <f t="shared" si="373"/>
        <v>1.507552061522343</v>
      </c>
      <c r="D480">
        <f t="shared" si="374"/>
        <v>0.84554036381733366</v>
      </c>
      <c r="F480">
        <f t="shared" si="375"/>
        <v>1.1152533612333723E-5</v>
      </c>
      <c r="G480">
        <f t="shared" si="376"/>
        <v>1.3061742912506334E-3</v>
      </c>
      <c r="H480">
        <f t="shared" si="377"/>
        <v>-3.1402864757087494</v>
      </c>
      <c r="J480">
        <f t="shared" si="378"/>
        <v>15</v>
      </c>
      <c r="M480">
        <f t="shared" si="379"/>
        <v>2.0072693720230073E-3</v>
      </c>
      <c r="N480">
        <f t="shared" si="380"/>
        <v>-1.5707963250000001</v>
      </c>
      <c r="O480">
        <f t="shared" si="381"/>
        <v>358.50109836067941</v>
      </c>
      <c r="P480">
        <f t="shared" si="382"/>
        <v>1.5680069314447522</v>
      </c>
      <c r="Q480">
        <f t="shared" si="383"/>
        <v>339.56503794382752</v>
      </c>
      <c r="R480">
        <f t="shared" si="384"/>
        <v>1.5678513786002588</v>
      </c>
      <c r="S480">
        <f t="shared" si="385"/>
        <v>0.1149632104057324</v>
      </c>
      <c r="T480">
        <f t="shared" si="386"/>
        <v>-1.4555783623532432</v>
      </c>
      <c r="U480">
        <f t="shared" si="387"/>
        <v>0.61003147392515533</v>
      </c>
      <c r="V480">
        <f t="shared" si="388"/>
        <v>-0.91469601558953406</v>
      </c>
      <c r="X480">
        <f t="shared" si="405"/>
        <v>-47.286652771586439</v>
      </c>
      <c r="Y480">
        <f t="shared" si="389"/>
        <v>-177.61453919305956</v>
      </c>
      <c r="Z480">
        <f t="shared" si="406"/>
        <v>2.3854608069404435</v>
      </c>
      <c r="AC480">
        <v>1</v>
      </c>
      <c r="AD480">
        <f t="shared" si="390"/>
        <v>358.49970366210005</v>
      </c>
      <c r="AE480">
        <f t="shared" si="391"/>
        <v>-3.5950220286940851E-2</v>
      </c>
      <c r="AF480">
        <f t="shared" si="392"/>
        <v>2.7677179919088E-2</v>
      </c>
      <c r="AG480">
        <f t="shared" si="367"/>
        <v>4802.8061816470636</v>
      </c>
      <c r="AH480">
        <f t="shared" si="368"/>
        <v>-6274.5532866202357</v>
      </c>
      <c r="AJ480">
        <f t="shared" si="393"/>
        <v>18000</v>
      </c>
      <c r="AK480">
        <f t="shared" si="394"/>
        <v>155533.71758878801</v>
      </c>
      <c r="AL480">
        <v>1</v>
      </c>
      <c r="AM480">
        <f t="shared" si="395"/>
        <v>339.56356546866601</v>
      </c>
      <c r="AN480">
        <f t="shared" si="369"/>
        <v>458.19220103488152</v>
      </c>
      <c r="AO480">
        <f t="shared" si="370"/>
        <v>-51.659864552175655</v>
      </c>
      <c r="AQ480">
        <f t="shared" si="396"/>
        <v>1.4133075056097708E-3</v>
      </c>
      <c r="AR480">
        <f t="shared" si="397"/>
        <v>-3.7593979649219902</v>
      </c>
      <c r="AT480">
        <f t="shared" si="418"/>
        <v>-23581.755014490187</v>
      </c>
      <c r="AU480">
        <f t="shared" si="419"/>
        <v>-18064.527658453055</v>
      </c>
      <c r="AV480">
        <f t="shared" si="407"/>
        <v>-2.4879057979026618</v>
      </c>
      <c r="AW480">
        <f t="shared" si="408"/>
        <v>5627.7694858252062</v>
      </c>
      <c r="AX480">
        <f t="shared" si="409"/>
        <v>-8981.3945114077487</v>
      </c>
      <c r="AY480">
        <f t="shared" si="417"/>
        <v>-1.0110450635109522</v>
      </c>
      <c r="BA480">
        <f t="shared" si="398"/>
        <v>2.8027048197376727</v>
      </c>
      <c r="BB480">
        <f t="shared" si="410"/>
        <v>8.951547207366966</v>
      </c>
      <c r="BC480">
        <f t="shared" si="411"/>
        <v>-1.4768607343917095</v>
      </c>
      <c r="BD480">
        <f t="shared" si="399"/>
        <v>-264.61788710592623</v>
      </c>
      <c r="BF480">
        <f t="shared" si="400"/>
        <v>-63.0137104167083</v>
      </c>
      <c r="BG480">
        <f t="shared" si="401"/>
        <v>-216.09715452159671</v>
      </c>
      <c r="BH480">
        <f t="shared" si="412"/>
        <v>-36.097154521596707</v>
      </c>
      <c r="BI480">
        <f t="shared" si="413"/>
        <v>-36.097154521596707</v>
      </c>
      <c r="BJ480">
        <f t="shared" si="402"/>
        <v>0</v>
      </c>
      <c r="BK480">
        <f t="shared" si="414"/>
        <v>0</v>
      </c>
      <c r="BM480">
        <f t="shared" si="415"/>
        <v>-71.965257624075264</v>
      </c>
      <c r="BN480">
        <f t="shared" si="403"/>
        <v>-131.47926741567045</v>
      </c>
      <c r="BQ480" s="56">
        <f t="shared" si="416"/>
        <v>25.853508007652103</v>
      </c>
    </row>
    <row r="481" spans="1:69" x14ac:dyDescent="0.25">
      <c r="A481">
        <f t="shared" si="420"/>
        <v>1335000</v>
      </c>
      <c r="B481">
        <f t="shared" si="404"/>
        <v>1335</v>
      </c>
      <c r="C481">
        <f t="shared" si="373"/>
        <v>1.5107284593438826</v>
      </c>
      <c r="D481">
        <f t="shared" si="374"/>
        <v>0.84740255884286875</v>
      </c>
      <c r="F481">
        <f t="shared" si="375"/>
        <v>1.1069149601769942E-5</v>
      </c>
      <c r="G481">
        <f t="shared" si="376"/>
        <v>1.3012821471814612E-3</v>
      </c>
      <c r="H481">
        <f t="shared" si="377"/>
        <v>-3.1402913678528188</v>
      </c>
      <c r="J481">
        <f t="shared" si="378"/>
        <v>15</v>
      </c>
      <c r="M481">
        <f t="shared" si="379"/>
        <v>1.9997515092064419E-3</v>
      </c>
      <c r="N481">
        <f t="shared" si="380"/>
        <v>-1.5707963250000001</v>
      </c>
      <c r="O481">
        <f t="shared" si="381"/>
        <v>359.84883638395945</v>
      </c>
      <c r="P481">
        <f t="shared" si="382"/>
        <v>1.5680173785644613</v>
      </c>
      <c r="Q481">
        <f t="shared" si="383"/>
        <v>340.84158718636399</v>
      </c>
      <c r="R481">
        <f t="shared" si="384"/>
        <v>1.5678624083053641</v>
      </c>
      <c r="S481">
        <f t="shared" si="385"/>
        <v>0.11453829576913986</v>
      </c>
      <c r="T481">
        <f t="shared" si="386"/>
        <v>-1.4560061025100302</v>
      </c>
      <c r="U481">
        <f t="shared" si="387"/>
        <v>0.60859395724226717</v>
      </c>
      <c r="V481">
        <f t="shared" si="388"/>
        <v>-0.91650893374686837</v>
      </c>
      <c r="X481">
        <f t="shared" si="405"/>
        <v>-47.353620111351482</v>
      </c>
      <c r="Y481">
        <f t="shared" si="389"/>
        <v>-177.63527331000859</v>
      </c>
      <c r="Z481">
        <f t="shared" si="406"/>
        <v>2.3647266899914143</v>
      </c>
      <c r="AC481">
        <v>1</v>
      </c>
      <c r="AD481">
        <f t="shared" si="390"/>
        <v>359.84744690895002</v>
      </c>
      <c r="AE481">
        <f t="shared" si="391"/>
        <v>-3.6221030782346744E-2</v>
      </c>
      <c r="AF481">
        <f t="shared" si="392"/>
        <v>2.7781229467656002E-2</v>
      </c>
      <c r="AG481">
        <f t="shared" si="367"/>
        <v>4780.197579761877</v>
      </c>
      <c r="AH481">
        <f t="shared" si="368"/>
        <v>-6268.3936967224317</v>
      </c>
      <c r="AJ481">
        <f t="shared" si="393"/>
        <v>18000</v>
      </c>
      <c r="AK481">
        <f t="shared" si="394"/>
        <v>156118.43081280601</v>
      </c>
      <c r="AL481">
        <v>1</v>
      </c>
      <c r="AM481">
        <f t="shared" si="395"/>
        <v>340.84012022606703</v>
      </c>
      <c r="AN481">
        <f t="shared" si="369"/>
        <v>458.19106358275758</v>
      </c>
      <c r="AO481">
        <f t="shared" si="370"/>
        <v>-51.466385250604858</v>
      </c>
      <c r="AQ481">
        <f t="shared" si="396"/>
        <v>1.402740759059496E-3</v>
      </c>
      <c r="AR481">
        <f t="shared" si="397"/>
        <v>-3.7453178266888543</v>
      </c>
      <c r="AT481">
        <f t="shared" si="418"/>
        <v>-23470.421279057082</v>
      </c>
      <c r="AU481">
        <f t="shared" si="419"/>
        <v>-17912.152141909297</v>
      </c>
      <c r="AV481">
        <f t="shared" si="407"/>
        <v>-2.4897096769545066</v>
      </c>
      <c r="AW481">
        <f t="shared" si="408"/>
        <v>5603.9691372850775</v>
      </c>
      <c r="AX481">
        <f t="shared" si="409"/>
        <v>-8967.1151219217772</v>
      </c>
      <c r="AY481">
        <f t="shared" si="417"/>
        <v>-1.0122353297675177</v>
      </c>
      <c r="BA481">
        <f t="shared" si="398"/>
        <v>2.7921427870195306</v>
      </c>
      <c r="BB481">
        <f t="shared" si="410"/>
        <v>8.9187524769382325</v>
      </c>
      <c r="BC481">
        <f t="shared" si="411"/>
        <v>-1.4774743471869889</v>
      </c>
      <c r="BD481">
        <f t="shared" si="399"/>
        <v>-264.65304452939114</v>
      </c>
      <c r="BF481">
        <f t="shared" si="400"/>
        <v>-63.093408988784731</v>
      </c>
      <c r="BG481">
        <f t="shared" si="401"/>
        <v>-216.02589632855455</v>
      </c>
      <c r="BH481">
        <f t="shared" si="412"/>
        <v>-36.025896328554552</v>
      </c>
      <c r="BI481">
        <f t="shared" si="413"/>
        <v>-36.025896328554552</v>
      </c>
      <c r="BJ481">
        <f t="shared" si="402"/>
        <v>0</v>
      </c>
      <c r="BK481">
        <f t="shared" si="414"/>
        <v>0</v>
      </c>
      <c r="BM481">
        <f t="shared" si="415"/>
        <v>-72.012161465722954</v>
      </c>
      <c r="BN481">
        <f t="shared" si="403"/>
        <v>-131.37285179916339</v>
      </c>
      <c r="BQ481" s="56">
        <f t="shared" si="416"/>
        <v>25.820713277223373</v>
      </c>
    </row>
    <row r="482" spans="1:69" x14ac:dyDescent="0.25">
      <c r="A482">
        <f t="shared" si="420"/>
        <v>1340000</v>
      </c>
      <c r="B482">
        <f t="shared" si="404"/>
        <v>1340</v>
      </c>
      <c r="C482">
        <f t="shared" si="373"/>
        <v>1.513910074030415</v>
      </c>
      <c r="D482">
        <f t="shared" si="374"/>
        <v>0.8492569331443941</v>
      </c>
      <c r="F482">
        <f t="shared" si="375"/>
        <v>1.098669726474602E-5</v>
      </c>
      <c r="G482">
        <f t="shared" si="376"/>
        <v>1.2964265128247816E-3</v>
      </c>
      <c r="H482">
        <f t="shared" si="377"/>
        <v>-3.1402962234871756</v>
      </c>
      <c r="J482">
        <f t="shared" si="378"/>
        <v>15</v>
      </c>
      <c r="M482">
        <f t="shared" si="379"/>
        <v>1.9922897498437309E-3</v>
      </c>
      <c r="N482">
        <f t="shared" si="380"/>
        <v>-1.5707963250000001</v>
      </c>
      <c r="O482">
        <f t="shared" si="381"/>
        <v>361.19657444622112</v>
      </c>
      <c r="P482">
        <f t="shared" si="382"/>
        <v>1.5680277477211904</v>
      </c>
      <c r="Q482">
        <f t="shared" si="383"/>
        <v>342.11813647005602</v>
      </c>
      <c r="R482">
        <f t="shared" si="384"/>
        <v>1.5678733556999429</v>
      </c>
      <c r="S482">
        <f t="shared" si="385"/>
        <v>0.11411648996428443</v>
      </c>
      <c r="T482">
        <f t="shared" si="386"/>
        <v>-1.4564306922993655</v>
      </c>
      <c r="U482">
        <f t="shared" si="387"/>
        <v>0.60716121805811718</v>
      </c>
      <c r="V482">
        <f t="shared" si="388"/>
        <v>-0.91831332194327353</v>
      </c>
      <c r="X482">
        <f t="shared" si="405"/>
        <v>-47.420337089631694</v>
      </c>
      <c r="Y482">
        <f t="shared" si="389"/>
        <v>-177.65579337905936</v>
      </c>
      <c r="Z482">
        <f t="shared" si="406"/>
        <v>2.3442066209406391</v>
      </c>
      <c r="AC482">
        <v>1</v>
      </c>
      <c r="AD482">
        <f t="shared" si="390"/>
        <v>361.19519015579999</v>
      </c>
      <c r="AE482">
        <f t="shared" si="391"/>
        <v>-3.6492857452219453E-2</v>
      </c>
      <c r="AF482">
        <f t="shared" si="392"/>
        <v>2.7885279016224E-2</v>
      </c>
      <c r="AG482">
        <f t="shared" si="367"/>
        <v>4757.7171897549206</v>
      </c>
      <c r="AH482">
        <f t="shared" si="368"/>
        <v>-6262.1821033995329</v>
      </c>
      <c r="AJ482">
        <f t="shared" si="393"/>
        <v>18000</v>
      </c>
      <c r="AK482">
        <f t="shared" si="394"/>
        <v>156703.14403682403</v>
      </c>
      <c r="AL482">
        <v>1</v>
      </c>
      <c r="AM482">
        <f t="shared" si="395"/>
        <v>342.11667498346799</v>
      </c>
      <c r="AN482">
        <f t="shared" si="369"/>
        <v>458.18993883939186</v>
      </c>
      <c r="AO482">
        <f t="shared" si="370"/>
        <v>-51.274349787271483</v>
      </c>
      <c r="AQ482">
        <f t="shared" si="396"/>
        <v>1.3922920761455676E-3</v>
      </c>
      <c r="AR482">
        <f t="shared" si="397"/>
        <v>-3.7313427640701207</v>
      </c>
      <c r="AT482">
        <f t="shared" si="418"/>
        <v>-23359.723746865417</v>
      </c>
      <c r="AU482">
        <f t="shared" si="419"/>
        <v>-17761.392396005995</v>
      </c>
      <c r="AV482">
        <f t="shared" si="407"/>
        <v>-2.4915050935008352</v>
      </c>
      <c r="AW482">
        <f t="shared" si="408"/>
        <v>5580.2958040409767</v>
      </c>
      <c r="AX482">
        <f t="shared" si="409"/>
        <v>-8952.832948557274</v>
      </c>
      <c r="AY482">
        <f t="shared" si="417"/>
        <v>-1.0134208175194923</v>
      </c>
      <c r="BA482">
        <f t="shared" si="398"/>
        <v>2.7816600999185583</v>
      </c>
      <c r="BB482">
        <f t="shared" si="410"/>
        <v>8.8860812208970792</v>
      </c>
      <c r="BC482">
        <f t="shared" si="411"/>
        <v>-1.4780842759813428</v>
      </c>
      <c r="BD482">
        <f t="shared" si="399"/>
        <v>-264.68799087515106</v>
      </c>
      <c r="BF482">
        <f t="shared" si="400"/>
        <v>-63.172748863127509</v>
      </c>
      <c r="BG482">
        <f t="shared" si="401"/>
        <v>-215.95487306043393</v>
      </c>
      <c r="BH482">
        <f t="shared" si="412"/>
        <v>-35.954873060433926</v>
      </c>
      <c r="BI482">
        <f t="shared" si="413"/>
        <v>-35.954873060433926</v>
      </c>
      <c r="BJ482">
        <f t="shared" si="402"/>
        <v>0</v>
      </c>
      <c r="BK482">
        <f t="shared" si="414"/>
        <v>0</v>
      </c>
      <c r="BM482">
        <f t="shared" si="415"/>
        <v>-72.058830084024578</v>
      </c>
      <c r="BN482">
        <f t="shared" si="403"/>
        <v>-131.2668821852829</v>
      </c>
      <c r="BQ482" s="56">
        <f t="shared" si="416"/>
        <v>25.788042021182214</v>
      </c>
    </row>
    <row r="483" spans="1:69" x14ac:dyDescent="0.25">
      <c r="A483">
        <f t="shared" si="420"/>
        <v>1345000</v>
      </c>
      <c r="B483">
        <f t="shared" si="404"/>
        <v>1345</v>
      </c>
      <c r="C483">
        <f t="shared" si="373"/>
        <v>1.5170968727599339</v>
      </c>
      <c r="D483">
        <f t="shared" si="374"/>
        <v>0.85110352321285976</v>
      </c>
      <c r="F483">
        <f t="shared" si="375"/>
        <v>1.0905162772924269E-5</v>
      </c>
      <c r="G483">
        <f t="shared" si="376"/>
        <v>1.29160698099171E-3</v>
      </c>
      <c r="H483">
        <f t="shared" si="377"/>
        <v>-3.1403010430190084</v>
      </c>
      <c r="J483">
        <f t="shared" si="378"/>
        <v>15</v>
      </c>
      <c r="M483">
        <f t="shared" si="379"/>
        <v>1.9848834682457991E-3</v>
      </c>
      <c r="N483">
        <f t="shared" si="380"/>
        <v>-1.5707963250000001</v>
      </c>
      <c r="O483">
        <f t="shared" si="381"/>
        <v>362.54431254702968</v>
      </c>
      <c r="P483">
        <f t="shared" si="382"/>
        <v>1.5680380397844063</v>
      </c>
      <c r="Q483">
        <f t="shared" si="383"/>
        <v>343.39468579444446</v>
      </c>
      <c r="R483">
        <f t="shared" si="384"/>
        <v>1.5678842217019462</v>
      </c>
      <c r="S483">
        <f t="shared" si="385"/>
        <v>0.1136977592246238</v>
      </c>
      <c r="T483">
        <f t="shared" si="386"/>
        <v>-1.4568521662464997</v>
      </c>
      <c r="U483">
        <f t="shared" si="387"/>
        <v>0.6057332506008436</v>
      </c>
      <c r="V483">
        <f t="shared" si="388"/>
        <v>-0.92010922857196298</v>
      </c>
      <c r="X483">
        <f t="shared" si="405"/>
        <v>-47.486805494783894</v>
      </c>
      <c r="Y483">
        <f t="shared" si="389"/>
        <v>-177.67610198123128</v>
      </c>
      <c r="Z483">
        <f t="shared" si="406"/>
        <v>2.3238980187687162</v>
      </c>
      <c r="AC483">
        <v>1</v>
      </c>
      <c r="AD483">
        <f t="shared" si="390"/>
        <v>362.54293340265002</v>
      </c>
      <c r="AE483">
        <f t="shared" si="391"/>
        <v>-3.6765700296558977E-2</v>
      </c>
      <c r="AF483">
        <f t="shared" si="392"/>
        <v>2.7989328564791999E-2</v>
      </c>
      <c r="AG483">
        <f t="shared" si="367"/>
        <v>4735.3643913411806</v>
      </c>
      <c r="AH483">
        <f t="shared" si="368"/>
        <v>-6255.9195588316361</v>
      </c>
      <c r="AJ483">
        <f t="shared" si="393"/>
        <v>18000</v>
      </c>
      <c r="AK483">
        <f t="shared" si="394"/>
        <v>157287.85726084199</v>
      </c>
      <c r="AL483">
        <v>1</v>
      </c>
      <c r="AM483">
        <f t="shared" si="395"/>
        <v>343.393229740869</v>
      </c>
      <c r="AN483">
        <f t="shared" si="369"/>
        <v>458.18882661616055</v>
      </c>
      <c r="AO483">
        <f t="shared" si="370"/>
        <v>-51.083742060439626</v>
      </c>
      <c r="AQ483">
        <f t="shared" si="396"/>
        <v>1.3819597045425431E-3</v>
      </c>
      <c r="AR483">
        <f t="shared" si="397"/>
        <v>-3.7174716052194405</v>
      </c>
      <c r="AT483">
        <f t="shared" si="418"/>
        <v>-23249.659241718378</v>
      </c>
      <c r="AU483">
        <f t="shared" si="419"/>
        <v>-17612.228093923241</v>
      </c>
      <c r="AV483">
        <f t="shared" si="407"/>
        <v>-2.493292095182579</v>
      </c>
      <c r="AW483">
        <f t="shared" si="408"/>
        <v>5556.7490332012649</v>
      </c>
      <c r="AX483">
        <f t="shared" si="409"/>
        <v>-8938.5485488771301</v>
      </c>
      <c r="AY483">
        <f t="shared" si="417"/>
        <v>-1.0146015324349495</v>
      </c>
      <c r="BA483">
        <f t="shared" si="398"/>
        <v>2.771255865434481</v>
      </c>
      <c r="BB483">
        <f t="shared" si="410"/>
        <v>8.8535325063796844</v>
      </c>
      <c r="BC483">
        <f t="shared" si="411"/>
        <v>-1.4786905627476294</v>
      </c>
      <c r="BD483">
        <f t="shared" si="399"/>
        <v>-264.72272854807363</v>
      </c>
      <c r="BF483">
        <f t="shared" si="400"/>
        <v>-63.251733003131008</v>
      </c>
      <c r="BG483">
        <f t="shared" si="401"/>
        <v>-215.88408505465532</v>
      </c>
      <c r="BH483">
        <f t="shared" si="412"/>
        <v>-35.884085054655316</v>
      </c>
      <c r="BI483">
        <f t="shared" si="413"/>
        <v>-35.884085054655316</v>
      </c>
      <c r="BJ483">
        <f t="shared" si="402"/>
        <v>0</v>
      </c>
      <c r="BK483">
        <f t="shared" si="414"/>
        <v>0</v>
      </c>
      <c r="BM483">
        <f t="shared" si="415"/>
        <v>-72.105265509510687</v>
      </c>
      <c r="BN483">
        <f t="shared" si="403"/>
        <v>-131.16135650658168</v>
      </c>
      <c r="BQ483" s="56">
        <f t="shared" si="416"/>
        <v>25.755493306664825</v>
      </c>
    </row>
    <row r="484" spans="1:69" x14ac:dyDescent="0.25">
      <c r="A484">
        <f t="shared" si="420"/>
        <v>1350000</v>
      </c>
      <c r="B484">
        <f t="shared" si="404"/>
        <v>1350</v>
      </c>
      <c r="C484">
        <f t="shared" si="373"/>
        <v>1.5202888229323812</v>
      </c>
      <c r="D484">
        <f t="shared" si="374"/>
        <v>0.85294236544584967</v>
      </c>
      <c r="F484">
        <f t="shared" si="375"/>
        <v>1.082453255357749E-5</v>
      </c>
      <c r="G484">
        <f t="shared" si="376"/>
        <v>1.2868231505261086E-3</v>
      </c>
      <c r="H484">
        <f t="shared" si="377"/>
        <v>-3.1403058268494739</v>
      </c>
      <c r="J484">
        <f t="shared" si="378"/>
        <v>15</v>
      </c>
      <c r="M484">
        <f t="shared" si="379"/>
        <v>1.9775320479930368E-3</v>
      </c>
      <c r="N484">
        <f t="shared" si="380"/>
        <v>-1.5707963250000001</v>
      </c>
      <c r="O484">
        <f t="shared" si="381"/>
        <v>363.89205068595686</v>
      </c>
      <c r="P484">
        <f t="shared" si="382"/>
        <v>1.5680482556106945</v>
      </c>
      <c r="Q484">
        <f t="shared" si="383"/>
        <v>344.67123515907718</v>
      </c>
      <c r="R484">
        <f t="shared" si="384"/>
        <v>1.5678950072157261</v>
      </c>
      <c r="S484">
        <f t="shared" si="385"/>
        <v>0.11328207026752751</v>
      </c>
      <c r="T484">
        <f t="shared" si="386"/>
        <v>-1.4572705583762395</v>
      </c>
      <c r="U484">
        <f t="shared" si="387"/>
        <v>0.60431004881857697</v>
      </c>
      <c r="V484">
        <f t="shared" si="388"/>
        <v>-0.92189670179112171</v>
      </c>
      <c r="X484">
        <f t="shared" si="405"/>
        <v>-47.553027096594121</v>
      </c>
      <c r="Y484">
        <f t="shared" si="389"/>
        <v>-177.6962016619251</v>
      </c>
      <c r="Z484">
        <f t="shared" si="406"/>
        <v>2.3037983380748983</v>
      </c>
      <c r="AC484">
        <v>1</v>
      </c>
      <c r="AD484">
        <f t="shared" si="390"/>
        <v>363.89067664949999</v>
      </c>
      <c r="AE484">
        <f t="shared" si="391"/>
        <v>-3.7039559315365317E-2</v>
      </c>
      <c r="AF484">
        <f t="shared" si="392"/>
        <v>2.8093378113360001E-2</v>
      </c>
      <c r="AG484">
        <f t="shared" si="367"/>
        <v>4713.1385624835348</v>
      </c>
      <c r="AH484">
        <f t="shared" si="368"/>
        <v>-6249.6071009399084</v>
      </c>
      <c r="AJ484">
        <f t="shared" si="393"/>
        <v>18000</v>
      </c>
      <c r="AK484">
        <f t="shared" si="394"/>
        <v>157872.57048486001</v>
      </c>
      <c r="AL484">
        <v>1</v>
      </c>
      <c r="AM484">
        <f t="shared" si="395"/>
        <v>344.66978449827002</v>
      </c>
      <c r="AN484">
        <f t="shared" si="369"/>
        <v>458.18772672792727</v>
      </c>
      <c r="AO484">
        <f t="shared" si="370"/>
        <v>-50.894546206907549</v>
      </c>
      <c r="AQ484">
        <f t="shared" si="396"/>
        <v>1.3717419243152367E-3</v>
      </c>
      <c r="AR484">
        <f t="shared" si="397"/>
        <v>-3.7037031956511393</v>
      </c>
      <c r="AT484">
        <f t="shared" si="418"/>
        <v>-23140.224581553925</v>
      </c>
      <c r="AU484">
        <f t="shared" si="419"/>
        <v>-17464.639203487743</v>
      </c>
      <c r="AV484">
        <f t="shared" si="407"/>
        <v>-2.4950707294167849</v>
      </c>
      <c r="AW484">
        <f t="shared" si="408"/>
        <v>5533.3283654861771</v>
      </c>
      <c r="AX484">
        <f t="shared" si="409"/>
        <v>-8924.2624736825637</v>
      </c>
      <c r="AY484">
        <f t="shared" si="417"/>
        <v>-1.0157774805965496</v>
      </c>
      <c r="BA484">
        <f t="shared" si="398"/>
        <v>2.7609292039387796</v>
      </c>
      <c r="BB484">
        <f t="shared" si="410"/>
        <v>8.8211054110690323</v>
      </c>
      <c r="BC484">
        <f t="shared" si="411"/>
        <v>-1.4792932488202353</v>
      </c>
      <c r="BD484">
        <f t="shared" si="399"/>
        <v>-264.7572599164447</v>
      </c>
      <c r="BF484">
        <f t="shared" si="400"/>
        <v>-63.330364338329026</v>
      </c>
      <c r="BG484">
        <f t="shared" si="401"/>
        <v>-215.81353261706116</v>
      </c>
      <c r="BH484">
        <f t="shared" si="412"/>
        <v>-35.813532617061156</v>
      </c>
      <c r="BI484">
        <f t="shared" si="413"/>
        <v>-35.813532617061156</v>
      </c>
      <c r="BJ484">
        <f t="shared" si="402"/>
        <v>0</v>
      </c>
      <c r="BK484">
        <f t="shared" si="414"/>
        <v>0</v>
      </c>
      <c r="BM484">
        <f t="shared" si="415"/>
        <v>-72.151469749398061</v>
      </c>
      <c r="BN484">
        <f t="shared" si="403"/>
        <v>-131.05627270061646</v>
      </c>
      <c r="BQ484" s="56">
        <f t="shared" si="416"/>
        <v>25.723066211354173</v>
      </c>
    </row>
    <row r="485" spans="1:69" x14ac:dyDescent="0.25">
      <c r="A485">
        <f t="shared" si="420"/>
        <v>1355000</v>
      </c>
      <c r="B485">
        <f t="shared" si="404"/>
        <v>1355</v>
      </c>
      <c r="C485">
        <f t="shared" si="373"/>
        <v>1.5234858921684309</v>
      </c>
      <c r="D485">
        <f t="shared" si="374"/>
        <v>0.85477349614574649</v>
      </c>
      <c r="F485">
        <f t="shared" si="375"/>
        <v>1.0744793283940032E-5</v>
      </c>
      <c r="G485">
        <f t="shared" si="376"/>
        <v>1.2820746261932774E-3</v>
      </c>
      <c r="H485">
        <f t="shared" si="377"/>
        <v>-3.1403105753738068</v>
      </c>
      <c r="J485">
        <f t="shared" si="378"/>
        <v>15</v>
      </c>
      <c r="M485">
        <f t="shared" si="379"/>
        <v>1.9702348817642805E-3</v>
      </c>
      <c r="N485">
        <f t="shared" si="380"/>
        <v>-1.5707963250000001</v>
      </c>
      <c r="O485">
        <f t="shared" si="381"/>
        <v>365.23978886258067</v>
      </c>
      <c r="P485">
        <f t="shared" si="382"/>
        <v>1.568058396043998</v>
      </c>
      <c r="Q485">
        <f t="shared" si="383"/>
        <v>345.94778456350866</v>
      </c>
      <c r="R485">
        <f t="shared" si="384"/>
        <v>1.5679057131322858</v>
      </c>
      <c r="S485">
        <f t="shared" si="385"/>
        <v>0.11286939028570027</v>
      </c>
      <c r="T485">
        <f t="shared" si="386"/>
        <v>-1.4576859022219417</v>
      </c>
      <c r="U485">
        <f t="shared" si="387"/>
        <v>0.60289160638615247</v>
      </c>
      <c r="V485">
        <f t="shared" si="388"/>
        <v>-0.92367578952327156</v>
      </c>
      <c r="X485">
        <f t="shared" si="405"/>
        <v>-47.619003646533614</v>
      </c>
      <c r="Y485">
        <f t="shared" si="389"/>
        <v>-177.7160949314858</v>
      </c>
      <c r="Z485">
        <f t="shared" si="406"/>
        <v>2.2839050685142013</v>
      </c>
      <c r="AC485">
        <v>1</v>
      </c>
      <c r="AD485">
        <f t="shared" si="390"/>
        <v>365.23841989635002</v>
      </c>
      <c r="AE485">
        <f t="shared" si="391"/>
        <v>-3.7314434508638465E-2</v>
      </c>
      <c r="AF485">
        <f t="shared" si="392"/>
        <v>2.8197427661927999E-2</v>
      </c>
      <c r="AG485">
        <f t="shared" si="367"/>
        <v>4691.0390795413487</v>
      </c>
      <c r="AH485">
        <f t="shared" si="368"/>
        <v>-6243.2457535373751</v>
      </c>
      <c r="AJ485">
        <f t="shared" si="393"/>
        <v>18000</v>
      </c>
      <c r="AK485">
        <f t="shared" si="394"/>
        <v>158457.28370887801</v>
      </c>
      <c r="AL485">
        <v>1</v>
      </c>
      <c r="AM485">
        <f t="shared" si="395"/>
        <v>345.94633925567103</v>
      </c>
      <c r="AN485">
        <f t="shared" si="369"/>
        <v>458.18663899296405</v>
      </c>
      <c r="AO485">
        <f t="shared" si="370"/>
        <v>-50.706746597606831</v>
      </c>
      <c r="AQ485">
        <f t="shared" si="396"/>
        <v>1.3616370472029184E-3</v>
      </c>
      <c r="AR485">
        <f t="shared" si="397"/>
        <v>-3.6900363979199087</v>
      </c>
      <c r="AT485">
        <f t="shared" si="418"/>
        <v>-23031.416579111239</v>
      </c>
      <c r="AU485">
        <f t="shared" si="419"/>
        <v>-17318.605982285091</v>
      </c>
      <c r="AV485">
        <f t="shared" si="407"/>
        <v>-2.4968410433957779</v>
      </c>
      <c r="AW485">
        <f t="shared" si="408"/>
        <v>5510.0333354916811</v>
      </c>
      <c r="AX485">
        <f t="shared" si="409"/>
        <v>-8909.9752670121306</v>
      </c>
      <c r="AY485">
        <f t="shared" si="417"/>
        <v>-1.0169486684885563</v>
      </c>
      <c r="BA485">
        <f t="shared" si="398"/>
        <v>2.7506792489250431</v>
      </c>
      <c r="BB485">
        <f t="shared" si="410"/>
        <v>8.7887990230363382</v>
      </c>
      <c r="BC485">
        <f t="shared" si="411"/>
        <v>-1.4798923749072217</v>
      </c>
      <c r="BD485">
        <f t="shared" si="399"/>
        <v>-264.79158731266443</v>
      </c>
      <c r="BF485">
        <f t="shared" si="400"/>
        <v>-63.408645764884241</v>
      </c>
      <c r="BG485">
        <f t="shared" si="401"/>
        <v>-215.7432160227236</v>
      </c>
      <c r="BH485">
        <f t="shared" si="412"/>
        <v>-35.743216022723601</v>
      </c>
      <c r="BI485">
        <f t="shared" si="413"/>
        <v>-35.743216022723601</v>
      </c>
      <c r="BJ485">
        <f t="shared" si="402"/>
        <v>0</v>
      </c>
      <c r="BK485">
        <f t="shared" si="414"/>
        <v>0</v>
      </c>
      <c r="BM485">
        <f t="shared" si="415"/>
        <v>-72.197444787920574</v>
      </c>
      <c r="BN485">
        <f t="shared" si="403"/>
        <v>-130.95162871005917</v>
      </c>
      <c r="BQ485" s="56">
        <f t="shared" si="416"/>
        <v>25.690759823321475</v>
      </c>
    </row>
    <row r="486" spans="1:69" x14ac:dyDescent="0.25">
      <c r="A486">
        <f t="shared" si="420"/>
        <v>1360000</v>
      </c>
      <c r="B486">
        <f t="shared" si="404"/>
        <v>1360</v>
      </c>
      <c r="C486">
        <f t="shared" si="373"/>
        <v>1.5266880483082697</v>
      </c>
      <c r="D486">
        <f t="shared" si="374"/>
        <v>0.85659695151795023</v>
      </c>
      <c r="F486">
        <f t="shared" si="375"/>
        <v>1.0665931885703968E-5</v>
      </c>
      <c r="G486">
        <f t="shared" si="376"/>
        <v>1.2773610185710916E-3</v>
      </c>
      <c r="H486">
        <f t="shared" si="377"/>
        <v>-3.1403152889814292</v>
      </c>
      <c r="J486">
        <f t="shared" si="378"/>
        <v>15</v>
      </c>
      <c r="M486">
        <f t="shared" si="379"/>
        <v>1.9629913711695585E-3</v>
      </c>
      <c r="N486">
        <f t="shared" si="380"/>
        <v>-1.5707963250000001</v>
      </c>
      <c r="O486">
        <f t="shared" si="381"/>
        <v>366.58752707648534</v>
      </c>
      <c r="P486">
        <f t="shared" si="382"/>
        <v>1.5680684619158489</v>
      </c>
      <c r="Q486">
        <f t="shared" si="383"/>
        <v>347.2243340073</v>
      </c>
      <c r="R486">
        <f t="shared" si="384"/>
        <v>1.567916340329526</v>
      </c>
      <c r="S486">
        <f t="shared" si="385"/>
        <v>0.11245968693878564</v>
      </c>
      <c r="T486">
        <f t="shared" si="386"/>
        <v>-1.4580982308343151</v>
      </c>
      <c r="U486">
        <f t="shared" si="387"/>
        <v>0.60147791671170847</v>
      </c>
      <c r="V486">
        <f t="shared" si="388"/>
        <v>-0.92544653945469202</v>
      </c>
      <c r="X486">
        <f t="shared" si="405"/>
        <v>-47.684736878010355</v>
      </c>
      <c r="Y486">
        <f t="shared" si="389"/>
        <v>-177.73578426575446</v>
      </c>
      <c r="Z486">
        <f t="shared" si="406"/>
        <v>2.2642157342455391</v>
      </c>
      <c r="AC486">
        <v>1</v>
      </c>
      <c r="AD486">
        <f t="shared" si="390"/>
        <v>366.58616314320005</v>
      </c>
      <c r="AE486">
        <f t="shared" si="391"/>
        <v>-3.7590325876378436E-2</v>
      </c>
      <c r="AF486">
        <f t="shared" si="392"/>
        <v>2.8301477210496001E-2</v>
      </c>
      <c r="AG486">
        <f t="shared" si="367"/>
        <v>4669.0653174153504</v>
      </c>
      <c r="AH486">
        <f t="shared" si="368"/>
        <v>-6236.8365264791719</v>
      </c>
      <c r="AJ486">
        <f t="shared" si="393"/>
        <v>18000</v>
      </c>
      <c r="AK486">
        <f t="shared" si="394"/>
        <v>159041.996932896</v>
      </c>
      <c r="AL486">
        <v>1</v>
      </c>
      <c r="AM486">
        <f t="shared" si="395"/>
        <v>347.22289401307199</v>
      </c>
      <c r="AN486">
        <f t="shared" si="369"/>
        <v>458.18556323287805</v>
      </c>
      <c r="AO486">
        <f t="shared" si="370"/>
        <v>-50.520327833298694</v>
      </c>
      <c r="AQ486">
        <f t="shared" si="396"/>
        <v>1.3516434159218998E-3</v>
      </c>
      <c r="AR486">
        <f t="shared" si="397"/>
        <v>-3.6764700913075679</v>
      </c>
      <c r="AT486">
        <f t="shared" si="418"/>
        <v>-22923.232042580461</v>
      </c>
      <c r="AU486">
        <f t="shared" si="419"/>
        <v>-17174.108972866208</v>
      </c>
      <c r="AV486">
        <f t="shared" si="407"/>
        <v>-2.4986030840863771</v>
      </c>
      <c r="AW486">
        <f t="shared" si="408"/>
        <v>5486.86347194668</v>
      </c>
      <c r="AX486">
        <f t="shared" si="409"/>
        <v>-8895.6874661439324</v>
      </c>
      <c r="AY486">
        <f t="shared" si="417"/>
        <v>-1.0181151029841886</v>
      </c>
      <c r="BA486">
        <f t="shared" si="398"/>
        <v>2.7405051467648875</v>
      </c>
      <c r="BB486">
        <f t="shared" si="410"/>
        <v>8.7566124405854104</v>
      </c>
      <c r="BC486">
        <f t="shared" si="411"/>
        <v>-1.4804879811021885</v>
      </c>
      <c r="BD486">
        <f t="shared" si="399"/>
        <v>-264.82571303392689</v>
      </c>
      <c r="BF486">
        <f t="shared" si="400"/>
        <v>-63.486580146069038</v>
      </c>
      <c r="BG486">
        <f t="shared" si="401"/>
        <v>-215.67313551673226</v>
      </c>
      <c r="BH486">
        <f t="shared" si="412"/>
        <v>-35.673135516732259</v>
      </c>
      <c r="BI486">
        <f t="shared" si="413"/>
        <v>-35.673135516732259</v>
      </c>
      <c r="BJ486">
        <f t="shared" si="402"/>
        <v>0</v>
      </c>
      <c r="BK486">
        <f t="shared" si="414"/>
        <v>0</v>
      </c>
      <c r="BM486">
        <f t="shared" si="415"/>
        <v>-72.243192586654445</v>
      </c>
      <c r="BN486">
        <f t="shared" si="403"/>
        <v>-130.8474224828054</v>
      </c>
      <c r="BQ486" s="56">
        <f t="shared" si="416"/>
        <v>25.658573240870545</v>
      </c>
    </row>
    <row r="487" spans="1:69" x14ac:dyDescent="0.25">
      <c r="A487">
        <f t="shared" si="420"/>
        <v>1365000</v>
      </c>
      <c r="B487">
        <f t="shared" si="404"/>
        <v>1365</v>
      </c>
      <c r="C487">
        <f t="shared" si="373"/>
        <v>1.5298952594103776</v>
      </c>
      <c r="D487">
        <f t="shared" si="374"/>
        <v>0.85841276766914842</v>
      </c>
      <c r="F487">
        <f t="shared" si="375"/>
        <v>1.0587935519656121E-5</v>
      </c>
      <c r="G487">
        <f t="shared" si="376"/>
        <v>1.2726819439435441E-3</v>
      </c>
      <c r="H487">
        <f t="shared" si="377"/>
        <v>-3.1403199680560565</v>
      </c>
      <c r="J487">
        <f t="shared" si="378"/>
        <v>15</v>
      </c>
      <c r="M487">
        <f t="shared" si="379"/>
        <v>1.9558009265865199E-3</v>
      </c>
      <c r="N487">
        <f t="shared" si="380"/>
        <v>-1.5707963250000001</v>
      </c>
      <c r="O487">
        <f t="shared" si="381"/>
        <v>367.93526532726116</v>
      </c>
      <c r="P487">
        <f t="shared" si="382"/>
        <v>1.5680784540455956</v>
      </c>
      <c r="Q487">
        <f t="shared" si="383"/>
        <v>348.50088349001862</v>
      </c>
      <c r="R487">
        <f t="shared" si="384"/>
        <v>1.5679268896724849</v>
      </c>
      <c r="S487">
        <f t="shared" si="385"/>
        <v>0.11205292834514562</v>
      </c>
      <c r="T487">
        <f t="shared" si="386"/>
        <v>-1.4585075767900353</v>
      </c>
      <c r="U487">
        <f t="shared" si="387"/>
        <v>0.60006897294317529</v>
      </c>
      <c r="V487">
        <f t="shared" si="388"/>
        <v>-0.92720899903489495</v>
      </c>
      <c r="X487">
        <f t="shared" si="405"/>
        <v>-47.750228506616253</v>
      </c>
      <c r="Y487">
        <f t="shared" si="389"/>
        <v>-177.75527210661011</v>
      </c>
      <c r="Z487">
        <f t="shared" si="406"/>
        <v>2.2447278933898929</v>
      </c>
      <c r="AC487">
        <v>1</v>
      </c>
      <c r="AD487">
        <f t="shared" si="390"/>
        <v>367.93390639005003</v>
      </c>
      <c r="AE487">
        <f t="shared" si="391"/>
        <v>-3.7867233418585208E-2</v>
      </c>
      <c r="AF487">
        <f t="shared" si="392"/>
        <v>2.8405526759064E-2</v>
      </c>
      <c r="AG487">
        <f t="shared" si="367"/>
        <v>4647.2166496888649</v>
      </c>
      <c r="AH487">
        <f t="shared" si="368"/>
        <v>-6230.3804158122703</v>
      </c>
      <c r="AJ487">
        <f t="shared" si="393"/>
        <v>18000</v>
      </c>
      <c r="AK487">
        <f t="shared" si="394"/>
        <v>159626.71015691402</v>
      </c>
      <c r="AL487">
        <v>1</v>
      </c>
      <c r="AM487">
        <f t="shared" si="395"/>
        <v>348.49944877047301</v>
      </c>
      <c r="AN487">
        <f t="shared" si="369"/>
        <v>458.18449927253715</v>
      </c>
      <c r="AO487">
        <f t="shared" si="370"/>
        <v>-50.335274740364845</v>
      </c>
      <c r="AQ487">
        <f t="shared" si="396"/>
        <v>1.3417594034859715E-3</v>
      </c>
      <c r="AR487">
        <f t="shared" si="397"/>
        <v>-3.663003171516702</v>
      </c>
      <c r="AT487">
        <f t="shared" si="418"/>
        <v>-22815.66777623614</v>
      </c>
      <c r="AU487">
        <f t="shared" si="419"/>
        <v>-17031.128998045744</v>
      </c>
      <c r="AV487">
        <f t="shared" si="407"/>
        <v>-2.5003568982291751</v>
      </c>
      <c r="AW487">
        <f t="shared" si="408"/>
        <v>5463.8182979636913</v>
      </c>
      <c r="AX487">
        <f t="shared" si="409"/>
        <v>-8881.399601600855</v>
      </c>
      <c r="AY487">
        <f t="shared" si="417"/>
        <v>-1.0192767913333043</v>
      </c>
      <c r="BA487">
        <f t="shared" si="398"/>
        <v>2.7304060564693091</v>
      </c>
      <c r="BB487">
        <f t="shared" si="410"/>
        <v>8.7245447720999252</v>
      </c>
      <c r="BC487">
        <f t="shared" si="411"/>
        <v>-1.4810801068958708</v>
      </c>
      <c r="BD487">
        <f t="shared" si="399"/>
        <v>-264.85963934288446</v>
      </c>
      <c r="BF487">
        <f t="shared" si="400"/>
        <v>-63.564170312737815</v>
      </c>
      <c r="BG487">
        <f t="shared" si="401"/>
        <v>-215.60329131496414</v>
      </c>
      <c r="BH487">
        <f t="shared" si="412"/>
        <v>-35.603291314964139</v>
      </c>
      <c r="BI487">
        <f t="shared" si="413"/>
        <v>-35.603291314964139</v>
      </c>
      <c r="BJ487">
        <f t="shared" si="402"/>
        <v>0</v>
      </c>
      <c r="BK487">
        <f t="shared" si="414"/>
        <v>0</v>
      </c>
      <c r="BM487">
        <f t="shared" si="415"/>
        <v>-72.288715084837747</v>
      </c>
      <c r="BN487">
        <f t="shared" si="403"/>
        <v>-130.74365197207968</v>
      </c>
      <c r="BQ487" s="56">
        <f t="shared" si="416"/>
        <v>25.62650557238506</v>
      </c>
    </row>
    <row r="488" spans="1:69" x14ac:dyDescent="0.25">
      <c r="A488">
        <f t="shared" si="420"/>
        <v>1370000</v>
      </c>
      <c r="B488">
        <f t="shared" si="404"/>
        <v>1370</v>
      </c>
      <c r="C488">
        <f t="shared" si="373"/>
        <v>1.5331074937503046</v>
      </c>
      <c r="D488">
        <f t="shared" si="374"/>
        <v>0.86022098060563823</v>
      </c>
      <c r="F488">
        <f t="shared" si="375"/>
        <v>1.0510791580451894E-5</v>
      </c>
      <c r="G488">
        <f t="shared" si="376"/>
        <v>1.2680370241966083E-3</v>
      </c>
      <c r="H488">
        <f t="shared" si="377"/>
        <v>-3.1403246129758036</v>
      </c>
      <c r="J488">
        <f t="shared" si="378"/>
        <v>15</v>
      </c>
      <c r="M488">
        <f t="shared" si="379"/>
        <v>1.9486629670004377E-3</v>
      </c>
      <c r="N488">
        <f t="shared" si="380"/>
        <v>-1.5707963250000001</v>
      </c>
      <c r="O488">
        <f t="shared" si="381"/>
        <v>369.28300361450459</v>
      </c>
      <c r="P488">
        <f t="shared" si="382"/>
        <v>1.5680883732406257</v>
      </c>
      <c r="Q488">
        <f t="shared" si="383"/>
        <v>349.77743301123832</v>
      </c>
      <c r="R488">
        <f t="shared" si="384"/>
        <v>1.5679373620135721</v>
      </c>
      <c r="S488">
        <f t="shared" si="385"/>
        <v>0.1116490830738123</v>
      </c>
      <c r="T488">
        <f t="shared" si="386"/>
        <v>-1.458913972200176</v>
      </c>
      <c r="U488">
        <f t="shared" si="387"/>
        <v>0.59866476797465229</v>
      </c>
      <c r="V488">
        <f t="shared" si="388"/>
        <v>-0.92896321547615279</v>
      </c>
      <c r="X488">
        <f t="shared" si="405"/>
        <v>-47.815480230369978</v>
      </c>
      <c r="Y488">
        <f t="shared" si="389"/>
        <v>-177.7745608625018</v>
      </c>
      <c r="Z488">
        <f t="shared" si="406"/>
        <v>2.2254391374981992</v>
      </c>
      <c r="AC488">
        <v>1</v>
      </c>
      <c r="AD488">
        <f t="shared" si="390"/>
        <v>369.2816496369</v>
      </c>
      <c r="AE488">
        <f t="shared" si="391"/>
        <v>-3.8145157135258796E-2</v>
      </c>
      <c r="AF488">
        <f t="shared" si="392"/>
        <v>2.8509576307631998E-2</v>
      </c>
      <c r="AG488">
        <f t="shared" ref="AG488:AG551" si="421">AC488*AE488/(AE488^2+AF488^2)+AD488*AF488/(AE488^2+AF488^2)</f>
        <v>4625.4924487654316</v>
      </c>
      <c r="AH488">
        <f t="shared" ref="AH488:AH551" si="422">AD488*AE488/(AE488^2+AF488^2)-AC488*AF488/(AE488^2+AF488^2)</f>
        <v>-6223.8784039245693</v>
      </c>
      <c r="AJ488">
        <f t="shared" si="393"/>
        <v>18000</v>
      </c>
      <c r="AK488">
        <f t="shared" si="394"/>
        <v>160211.42338093201</v>
      </c>
      <c r="AL488">
        <v>1</v>
      </c>
      <c r="AM488">
        <f t="shared" si="395"/>
        <v>349.77600352787402</v>
      </c>
      <c r="AN488">
        <f t="shared" ref="AN488:AN551" si="423">AJ488*AL488/(AL488^2+AM488^2)+AK488*AM488/(AL488^2+AM488^2)</f>
        <v>458.18344693999938</v>
      </c>
      <c r="AO488">
        <f t="shared" ref="AO488:AO551" si="424">AK488*AL488/(AL488^2+AM488^2)-AJ488*AM488/(AL488^2+AM488^2)</f>
        <v>-50.151572366690601</v>
      </c>
      <c r="AQ488">
        <f t="shared" si="396"/>
        <v>1.3319834125441669E-3</v>
      </c>
      <c r="AR488">
        <f t="shared" si="397"/>
        <v>-3.6496345503710175</v>
      </c>
      <c r="AT488">
        <f t="shared" si="418"/>
        <v>-22708.720581054527</v>
      </c>
      <c r="AU488">
        <f t="shared" si="419"/>
        <v>-16889.647156290281</v>
      </c>
      <c r="AV488">
        <f t="shared" si="407"/>
        <v>-2.5021025323378749</v>
      </c>
      <c r="AW488">
        <f t="shared" si="408"/>
        <v>5440.8973312831267</v>
      </c>
      <c r="AX488">
        <f t="shared" si="409"/>
        <v>-8867.1121971586635</v>
      </c>
      <c r="AY488">
        <f t="shared" si="417"/>
        <v>-1.0204337411504003</v>
      </c>
      <c r="BA488">
        <f t="shared" si="398"/>
        <v>2.7203811494553323</v>
      </c>
      <c r="BB488">
        <f t="shared" si="410"/>
        <v>8.6925951358935603</v>
      </c>
      <c r="BC488">
        <f t="shared" si="411"/>
        <v>-1.4816687911874746</v>
      </c>
      <c r="BD488">
        <f t="shared" si="399"/>
        <v>-264.89336846829758</v>
      </c>
      <c r="BF488">
        <f t="shared" si="400"/>
        <v>-63.641419063791062</v>
      </c>
      <c r="BG488">
        <f t="shared" si="401"/>
        <v>-215.53368360483501</v>
      </c>
      <c r="BH488">
        <f t="shared" si="412"/>
        <v>-35.533683604835005</v>
      </c>
      <c r="BI488">
        <f t="shared" si="413"/>
        <v>-35.533683604835005</v>
      </c>
      <c r="BJ488">
        <f t="shared" si="402"/>
        <v>0</v>
      </c>
      <c r="BK488">
        <f t="shared" si="414"/>
        <v>0</v>
      </c>
      <c r="BM488">
        <f t="shared" si="415"/>
        <v>-72.334014199684617</v>
      </c>
      <c r="BN488">
        <f t="shared" si="403"/>
        <v>-130.64031513653745</v>
      </c>
      <c r="BQ488" s="56">
        <f t="shared" si="416"/>
        <v>25.594555936178697</v>
      </c>
    </row>
    <row r="489" spans="1:69" x14ac:dyDescent="0.25">
      <c r="A489">
        <f t="shared" si="420"/>
        <v>1375000</v>
      </c>
      <c r="B489">
        <f t="shared" si="404"/>
        <v>1375</v>
      </c>
      <c r="C489">
        <f t="shared" si="373"/>
        <v>1.5363247198194441</v>
      </c>
      <c r="D489">
        <f t="shared" si="374"/>
        <v>0.86202162623169698</v>
      </c>
      <c r="F489">
        <f t="shared" si="375"/>
        <v>1.0434487691521838E-5</v>
      </c>
      <c r="G489">
        <f t="shared" si="376"/>
        <v>1.2634258867163792E-3</v>
      </c>
      <c r="H489">
        <f t="shared" si="377"/>
        <v>-3.1403292241132839</v>
      </c>
      <c r="J489">
        <f t="shared" si="378"/>
        <v>15</v>
      </c>
      <c r="M489">
        <f t="shared" si="379"/>
        <v>1.9415769198477088E-3</v>
      </c>
      <c r="N489">
        <f t="shared" si="380"/>
        <v>-1.5707963250000001</v>
      </c>
      <c r="O489">
        <f t="shared" si="381"/>
        <v>370.63074193781762</v>
      </c>
      <c r="P489">
        <f t="shared" si="382"/>
        <v>1.5680982202965823</v>
      </c>
      <c r="Q489">
        <f t="shared" si="383"/>
        <v>351.05398257053912</v>
      </c>
      <c r="R489">
        <f t="shared" si="384"/>
        <v>1.567947758192799</v>
      </c>
      <c r="S489">
        <f t="shared" si="385"/>
        <v>0.11124812013660706</v>
      </c>
      <c r="T489">
        <f t="shared" si="386"/>
        <v>-1.4593174487184624</v>
      </c>
      <c r="U489">
        <f t="shared" si="387"/>
        <v>0.59726529445267806</v>
      </c>
      <c r="V489">
        <f t="shared" si="388"/>
        <v>-0.93070923575307718</v>
      </c>
      <c r="X489">
        <f t="shared" si="405"/>
        <v>-47.880493729955603</v>
      </c>
      <c r="Y489">
        <f t="shared" si="389"/>
        <v>-177.79365290897087</v>
      </c>
      <c r="Z489">
        <f t="shared" si="406"/>
        <v>2.2063470910291301</v>
      </c>
      <c r="AC489">
        <v>1</v>
      </c>
      <c r="AD489">
        <f t="shared" si="390"/>
        <v>370.62939288375003</v>
      </c>
      <c r="AE489">
        <f t="shared" si="391"/>
        <v>-3.8424097026399213E-2</v>
      </c>
      <c r="AF489">
        <f t="shared" si="392"/>
        <v>2.86136258562E-2</v>
      </c>
      <c r="AG489">
        <f t="shared" si="421"/>
        <v>4603.892086002923</v>
      </c>
      <c r="AH489">
        <f t="shared" si="422"/>
        <v>-6217.3314596933669</v>
      </c>
      <c r="AJ489">
        <f t="shared" si="393"/>
        <v>18000</v>
      </c>
      <c r="AK489">
        <f t="shared" si="394"/>
        <v>160796.13660495001</v>
      </c>
      <c r="AL489">
        <v>1</v>
      </c>
      <c r="AM489">
        <f t="shared" si="395"/>
        <v>351.05255828527504</v>
      </c>
      <c r="AN489">
        <f t="shared" si="423"/>
        <v>458.18240606644332</v>
      </c>
      <c r="AO489">
        <f t="shared" si="424"/>
        <v>-49.969205977637664</v>
      </c>
      <c r="AQ489">
        <f t="shared" si="396"/>
        <v>1.3223138747353554E-3</v>
      </c>
      <c r="AR489">
        <f t="shared" si="397"/>
        <v>-3.6363631555222273</v>
      </c>
      <c r="AT489">
        <f t="shared" si="418"/>
        <v>-22602.387255315083</v>
      </c>
      <c r="AU489">
        <f t="shared" si="419"/>
        <v>-16749.644817194378</v>
      </c>
      <c r="AV489">
        <f t="shared" si="407"/>
        <v>-2.5038400326986801</v>
      </c>
      <c r="AW489">
        <f t="shared" si="408"/>
        <v>5418.1000845113667</v>
      </c>
      <c r="AX489">
        <f t="shared" si="409"/>
        <v>-8852.8257698568705</v>
      </c>
      <c r="AY489">
        <f t="shared" si="417"/>
        <v>-1.0215859604029252</v>
      </c>
      <c r="BA489">
        <f t="shared" si="398"/>
        <v>2.7104296093178051</v>
      </c>
      <c r="BB489">
        <f t="shared" si="410"/>
        <v>8.6607626600628578</v>
      </c>
      <c r="BC489">
        <f t="shared" si="411"/>
        <v>-1.4822540722957549</v>
      </c>
      <c r="BD489">
        <f t="shared" si="399"/>
        <v>-264.92690260566911</v>
      </c>
      <c r="BF489">
        <f t="shared" si="400"/>
        <v>-63.718329166631207</v>
      </c>
      <c r="BG489">
        <f t="shared" si="401"/>
        <v>-215.46431254603343</v>
      </c>
      <c r="BH489">
        <f t="shared" si="412"/>
        <v>-35.464312546033426</v>
      </c>
      <c r="BI489">
        <f t="shared" si="413"/>
        <v>-35.464312546033426</v>
      </c>
      <c r="BJ489">
        <f t="shared" si="402"/>
        <v>0</v>
      </c>
      <c r="BK489">
        <f t="shared" si="414"/>
        <v>0</v>
      </c>
      <c r="BM489">
        <f t="shared" si="415"/>
        <v>-72.379091826694065</v>
      </c>
      <c r="BN489">
        <f t="shared" si="403"/>
        <v>-130.53740994036434</v>
      </c>
      <c r="BQ489" s="56">
        <f t="shared" si="416"/>
        <v>25.562723460347993</v>
      </c>
    </row>
    <row r="490" spans="1:69" x14ac:dyDescent="0.25">
      <c r="A490">
        <f t="shared" si="420"/>
        <v>1380000</v>
      </c>
      <c r="B490">
        <f t="shared" si="404"/>
        <v>1380</v>
      </c>
      <c r="C490">
        <f t="shared" si="373"/>
        <v>1.5395469063238074</v>
      </c>
      <c r="D490">
        <f t="shared" si="374"/>
        <v>0.8638147403480041</v>
      </c>
      <c r="F490">
        <f t="shared" si="375"/>
        <v>1.0359011700107216E-5</v>
      </c>
      <c r="G490">
        <f t="shared" si="376"/>
        <v>1.2588481642894272E-3</v>
      </c>
      <c r="H490">
        <f t="shared" si="377"/>
        <v>-3.1403338018357108</v>
      </c>
      <c r="J490">
        <f t="shared" si="378"/>
        <v>15</v>
      </c>
      <c r="M490">
        <f t="shared" si="379"/>
        <v>1.9345422208627532E-3</v>
      </c>
      <c r="N490">
        <f t="shared" si="380"/>
        <v>-1.5707963250000001</v>
      </c>
      <c r="O490">
        <f t="shared" si="381"/>
        <v>371.97848029680819</v>
      </c>
      <c r="P490">
        <f t="shared" si="382"/>
        <v>1.5681079959975788</v>
      </c>
      <c r="Q490">
        <f t="shared" si="383"/>
        <v>352.3305321675071</v>
      </c>
      <c r="R490">
        <f t="shared" si="384"/>
        <v>1.5679580790380028</v>
      </c>
      <c r="S490">
        <f t="shared" si="385"/>
        <v>0.11085000898042319</v>
      </c>
      <c r="T490">
        <f t="shared" si="386"/>
        <v>-1.4597180375493493</v>
      </c>
      <c r="U490">
        <f t="shared" si="387"/>
        <v>0.5958705447823931</v>
      </c>
      <c r="V490">
        <f t="shared" si="388"/>
        <v>-0.93244710660224828</v>
      </c>
      <c r="X490">
        <f t="shared" si="405"/>
        <v>-47.945270668957136</v>
      </c>
      <c r="Y490">
        <f t="shared" si="389"/>
        <v>-177.81255058916372</v>
      </c>
      <c r="Z490">
        <f t="shared" si="406"/>
        <v>2.1874494108362796</v>
      </c>
      <c r="AC490">
        <v>1</v>
      </c>
      <c r="AD490">
        <f t="shared" si="390"/>
        <v>371.9771361306</v>
      </c>
      <c r="AE490">
        <f t="shared" si="391"/>
        <v>-3.8704053092006412E-2</v>
      </c>
      <c r="AF490">
        <f t="shared" si="392"/>
        <v>2.8717675404767998E-2</v>
      </c>
      <c r="AG490">
        <f t="shared" si="421"/>
        <v>4582.414931844226</v>
      </c>
      <c r="AH490">
        <f t="shared" si="422"/>
        <v>-6210.7405386331893</v>
      </c>
      <c r="AJ490">
        <f t="shared" si="393"/>
        <v>18000</v>
      </c>
      <c r="AK490">
        <f t="shared" si="394"/>
        <v>161380.84982896803</v>
      </c>
      <c r="AL490">
        <v>1</v>
      </c>
      <c r="AM490">
        <f t="shared" si="395"/>
        <v>352.329113042676</v>
      </c>
      <c r="AN490">
        <f t="shared" si="423"/>
        <v>458.18137648610036</v>
      </c>
      <c r="AO490">
        <f t="shared" si="424"/>
        <v>-49.788161052104542</v>
      </c>
      <c r="AQ490">
        <f t="shared" si="396"/>
        <v>1.3127492500591721E-3</v>
      </c>
      <c r="AR490">
        <f t="shared" si="397"/>
        <v>-3.6231879301633154</v>
      </c>
      <c r="AT490">
        <f t="shared" si="418"/>
        <v>-22496.664595186543</v>
      </c>
      <c r="AU490">
        <f t="shared" si="419"/>
        <v>-16611.103617042554</v>
      </c>
      <c r="AV490">
        <f t="shared" si="407"/>
        <v>-2.5055694453697375</v>
      </c>
      <c r="AW490">
        <f t="shared" si="408"/>
        <v>5395.4260653527381</v>
      </c>
      <c r="AX490">
        <f t="shared" si="409"/>
        <v>-8838.540830012249</v>
      </c>
      <c r="AY490">
        <f t="shared" si="417"/>
        <v>-1.022733457399895</v>
      </c>
      <c r="BA490">
        <f t="shared" si="398"/>
        <v>2.7005506316062307</v>
      </c>
      <c r="BB490">
        <f t="shared" si="410"/>
        <v>8.6290464823428579</v>
      </c>
      <c r="BC490">
        <f t="shared" si="411"/>
        <v>-1.4828359879698425</v>
      </c>
      <c r="BD490">
        <f t="shared" si="399"/>
        <v>-264.96024391786494</v>
      </c>
      <c r="BF490">
        <f t="shared" si="400"/>
        <v>-63.794903357610615</v>
      </c>
      <c r="BG490">
        <f t="shared" si="401"/>
        <v>-215.39517827123731</v>
      </c>
      <c r="BH490">
        <f t="shared" si="412"/>
        <v>-35.395178271237313</v>
      </c>
      <c r="BI490">
        <f t="shared" si="413"/>
        <v>-35.395178271237313</v>
      </c>
      <c r="BJ490">
        <f t="shared" si="402"/>
        <v>0</v>
      </c>
      <c r="BK490">
        <f t="shared" si="414"/>
        <v>0</v>
      </c>
      <c r="BM490">
        <f t="shared" si="415"/>
        <v>-72.42394983995348</v>
      </c>
      <c r="BN490">
        <f t="shared" si="403"/>
        <v>-130.4349343533724</v>
      </c>
      <c r="BQ490" s="56">
        <f t="shared" si="416"/>
        <v>25.531007282627996</v>
      </c>
    </row>
    <row r="491" spans="1:69" x14ac:dyDescent="0.25">
      <c r="A491">
        <f t="shared" si="420"/>
        <v>1385000</v>
      </c>
      <c r="B491">
        <f t="shared" si="404"/>
        <v>1385</v>
      </c>
      <c r="C491">
        <f t="shared" si="373"/>
        <v>1.542774022182795</v>
      </c>
      <c r="D491">
        <f t="shared" si="374"/>
        <v>0.86560035865011009</v>
      </c>
      <c r="F491">
        <f t="shared" si="375"/>
        <v>1.0284351672420761E-5</v>
      </c>
      <c r="G491">
        <f t="shared" si="376"/>
        <v>1.2543034950053117E-3</v>
      </c>
      <c r="H491">
        <f t="shared" si="377"/>
        <v>-3.1403383465049948</v>
      </c>
      <c r="J491">
        <f t="shared" si="378"/>
        <v>15</v>
      </c>
      <c r="M491">
        <f t="shared" si="379"/>
        <v>1.9275583139282311E-3</v>
      </c>
      <c r="N491">
        <f t="shared" si="380"/>
        <v>-1.5707963250000001</v>
      </c>
      <c r="O491">
        <f t="shared" si="381"/>
        <v>373.32621869109011</v>
      </c>
      <c r="P491">
        <f t="shared" si="382"/>
        <v>1.5681177011164047</v>
      </c>
      <c r="Q491">
        <f t="shared" si="383"/>
        <v>353.6070818017343</v>
      </c>
      <c r="R491">
        <f t="shared" si="384"/>
        <v>1.5679683253650667</v>
      </c>
      <c r="S491">
        <f t="shared" si="385"/>
        <v>0.11045471947966859</v>
      </c>
      <c r="T491">
        <f t="shared" si="386"/>
        <v>-1.4601157694559304</v>
      </c>
      <c r="U491">
        <f t="shared" si="387"/>
        <v>0.59448051113359601</v>
      </c>
      <c r="V491">
        <f t="shared" si="388"/>
        <v>-0.93417687452189269</v>
      </c>
      <c r="X491">
        <f t="shared" si="405"/>
        <v>-48.009812694088971</v>
      </c>
      <c r="Y491">
        <f t="shared" si="389"/>
        <v>-177.83125621433524</v>
      </c>
      <c r="Z491">
        <f t="shared" si="406"/>
        <v>2.1687437856647591</v>
      </c>
      <c r="AC491">
        <v>1</v>
      </c>
      <c r="AD491">
        <f t="shared" si="390"/>
        <v>373.32487937745003</v>
      </c>
      <c r="AE491">
        <f t="shared" si="391"/>
        <v>-3.8985025332080446E-2</v>
      </c>
      <c r="AF491">
        <f t="shared" si="392"/>
        <v>2.8821724953335997E-2</v>
      </c>
      <c r="AG491">
        <f t="shared" si="421"/>
        <v>4561.0603559444726</v>
      </c>
      <c r="AH491">
        <f t="shared" si="422"/>
        <v>-6204.1065830428797</v>
      </c>
      <c r="AJ491">
        <f t="shared" si="393"/>
        <v>18000</v>
      </c>
      <c r="AK491">
        <f t="shared" si="394"/>
        <v>161965.56305298599</v>
      </c>
      <c r="AL491">
        <v>1</v>
      </c>
      <c r="AM491">
        <f t="shared" si="395"/>
        <v>353.60566780007701</v>
      </c>
      <c r="AN491">
        <f t="shared" si="423"/>
        <v>458.18035803618801</v>
      </c>
      <c r="AO491">
        <f t="shared" si="424"/>
        <v>-49.608423278672319</v>
      </c>
      <c r="AQ491">
        <f t="shared" si="396"/>
        <v>1.3032880262628178E-3</v>
      </c>
      <c r="AR491">
        <f t="shared" si="397"/>
        <v>-3.610107832748005</v>
      </c>
      <c r="AT491">
        <f t="shared" si="418"/>
        <v>-22391.549395297596</v>
      </c>
      <c r="AU491">
        <f t="shared" si="419"/>
        <v>-16474.00545445488</v>
      </c>
      <c r="AV491">
        <f t="shared" si="407"/>
        <v>-2.5072908161806398</v>
      </c>
      <c r="AW491">
        <f t="shared" si="408"/>
        <v>5372.8747768354997</v>
      </c>
      <c r="AX491">
        <f t="shared" si="409"/>
        <v>-8824.2578812348165</v>
      </c>
      <c r="AY491">
        <f t="shared" si="417"/>
        <v>-1.0238762407808051</v>
      </c>
      <c r="BA491">
        <f t="shared" si="398"/>
        <v>2.690743423606476</v>
      </c>
      <c r="BB491">
        <f t="shared" si="410"/>
        <v>8.5974457499653418</v>
      </c>
      <c r="BC491">
        <f t="shared" si="411"/>
        <v>-1.4834145753998347</v>
      </c>
      <c r="BD491">
        <f t="shared" si="399"/>
        <v>-264.99339453572065</v>
      </c>
      <c r="BF491">
        <f t="shared" si="400"/>
        <v>-63.871144342471744</v>
      </c>
      <c r="BG491">
        <f t="shared" si="401"/>
        <v>-215.32628088681369</v>
      </c>
      <c r="BH491">
        <f t="shared" si="412"/>
        <v>-35.326280886813691</v>
      </c>
      <c r="BI491">
        <f t="shared" si="413"/>
        <v>-35.326280886813691</v>
      </c>
      <c r="BJ491">
        <f t="shared" si="402"/>
        <v>0</v>
      </c>
      <c r="BK491">
        <f t="shared" si="414"/>
        <v>0</v>
      </c>
      <c r="BM491">
        <f t="shared" si="415"/>
        <v>-72.468590092437083</v>
      </c>
      <c r="BN491">
        <f t="shared" si="403"/>
        <v>-130.33288635109304</v>
      </c>
      <c r="BQ491" s="56">
        <f t="shared" si="416"/>
        <v>25.499406550250477</v>
      </c>
    </row>
    <row r="492" spans="1:69" x14ac:dyDescent="0.25">
      <c r="A492">
        <f t="shared" si="420"/>
        <v>1390000</v>
      </c>
      <c r="B492">
        <f t="shared" si="404"/>
        <v>1390</v>
      </c>
      <c r="C492">
        <f t="shared" si="373"/>
        <v>1.5460060365279662</v>
      </c>
      <c r="D492">
        <f t="shared" si="374"/>
        <v>0.86737851672695376</v>
      </c>
      <c r="F492">
        <f t="shared" si="375"/>
        <v>1.0210495888929109E-5</v>
      </c>
      <c r="G492">
        <f t="shared" si="376"/>
        <v>1.2497915221611963E-3</v>
      </c>
      <c r="H492">
        <f t="shared" si="377"/>
        <v>-3.140342858477839</v>
      </c>
      <c r="J492">
        <f t="shared" si="378"/>
        <v>15</v>
      </c>
      <c r="M492">
        <f t="shared" si="379"/>
        <v>1.9206246509284892E-3</v>
      </c>
      <c r="N492">
        <f t="shared" si="380"/>
        <v>-1.5707963250000001</v>
      </c>
      <c r="O492">
        <f t="shared" si="381"/>
        <v>374.67395712028224</v>
      </c>
      <c r="P492">
        <f t="shared" si="382"/>
        <v>1.568127336414731</v>
      </c>
      <c r="Q492">
        <f t="shared" si="383"/>
        <v>354.88363147281859</v>
      </c>
      <c r="R492">
        <f t="shared" si="384"/>
        <v>1.567978497978135</v>
      </c>
      <c r="S492">
        <f t="shared" si="385"/>
        <v>0.110062221928864</v>
      </c>
      <c r="T492">
        <f t="shared" si="386"/>
        <v>-1.4605106747676808</v>
      </c>
      <c r="U492">
        <f t="shared" si="387"/>
        <v>0.59309518544669637</v>
      </c>
      <c r="V492">
        <f t="shared" si="388"/>
        <v>-0.93589858577160912</v>
      </c>
      <c r="X492">
        <f t="shared" si="405"/>
        <v>-48.074121435422498</v>
      </c>
      <c r="Y492">
        <f t="shared" si="389"/>
        <v>-177.84977206434306</v>
      </c>
      <c r="Z492">
        <f t="shared" si="406"/>
        <v>2.1502279356569431</v>
      </c>
      <c r="AC492">
        <v>1</v>
      </c>
      <c r="AD492">
        <f t="shared" si="390"/>
        <v>374.6726226243</v>
      </c>
      <c r="AE492">
        <f t="shared" si="391"/>
        <v>-3.9267013746621296E-2</v>
      </c>
      <c r="AF492">
        <f t="shared" si="392"/>
        <v>2.8925774501903999E-2</v>
      </c>
      <c r="AG492">
        <f t="shared" si="421"/>
        <v>4539.8277272950163</v>
      </c>
      <c r="AH492">
        <f t="shared" si="422"/>
        <v>-6197.4305221520017</v>
      </c>
      <c r="AJ492">
        <f t="shared" si="393"/>
        <v>18000</v>
      </c>
      <c r="AK492">
        <f t="shared" si="394"/>
        <v>162550.27627700401</v>
      </c>
      <c r="AL492">
        <v>1</v>
      </c>
      <c r="AM492">
        <f t="shared" si="395"/>
        <v>354.88222255747803</v>
      </c>
      <c r="AN492">
        <f t="shared" si="423"/>
        <v>458.17935055684734</v>
      </c>
      <c r="AO492">
        <f t="shared" si="424"/>
        <v>-49.429978551833528</v>
      </c>
      <c r="AQ492">
        <f t="shared" si="396"/>
        <v>1.2939287182432693E-3</v>
      </c>
      <c r="AR492">
        <f t="shared" si="397"/>
        <v>-3.5971218367162883</v>
      </c>
      <c r="AT492">
        <f t="shared" si="418"/>
        <v>-22287.03844929277</v>
      </c>
      <c r="AU492">
        <f t="shared" si="419"/>
        <v>-16338.332486114912</v>
      </c>
      <c r="AV492">
        <f t="shared" si="407"/>
        <v>-2.5090041907319702</v>
      </c>
      <c r="AW492">
        <f t="shared" si="408"/>
        <v>5350.4457175320658</v>
      </c>
      <c r="AX492">
        <f t="shared" si="409"/>
        <v>-8809.9774204462719</v>
      </c>
      <c r="AY492">
        <f t="shared" si="417"/>
        <v>-1.0250143195048278</v>
      </c>
      <c r="BA492">
        <f t="shared" si="398"/>
        <v>2.6810072041272646</v>
      </c>
      <c r="BB492">
        <f t="shared" si="410"/>
        <v>8.5659596195196901</v>
      </c>
      <c r="BC492">
        <f t="shared" si="411"/>
        <v>-1.4839898712271424</v>
      </c>
      <c r="BD492">
        <f t="shared" si="399"/>
        <v>-265.02635655863457</v>
      </c>
      <c r="BF492">
        <f t="shared" si="400"/>
        <v>-63.947054796779696</v>
      </c>
      <c r="BG492">
        <f t="shared" si="401"/>
        <v>-215.25762047350247</v>
      </c>
      <c r="BH492">
        <f t="shared" si="412"/>
        <v>-35.25762047350247</v>
      </c>
      <c r="BI492">
        <f t="shared" si="413"/>
        <v>-35.25762047350247</v>
      </c>
      <c r="BJ492">
        <f t="shared" si="402"/>
        <v>0</v>
      </c>
      <c r="BK492">
        <f t="shared" si="414"/>
        <v>0</v>
      </c>
      <c r="BM492">
        <f t="shared" si="415"/>
        <v>-72.513014416299384</v>
      </c>
      <c r="BN492">
        <f t="shared" si="403"/>
        <v>-130.23126391486792</v>
      </c>
      <c r="BQ492" s="56">
        <f t="shared" si="416"/>
        <v>25.467920419804827</v>
      </c>
    </row>
    <row r="493" spans="1:69" x14ac:dyDescent="0.25">
      <c r="A493">
        <f t="shared" si="420"/>
        <v>1395000</v>
      </c>
      <c r="B493">
        <f t="shared" si="404"/>
        <v>1395</v>
      </c>
      <c r="C493">
        <f t="shared" si="373"/>
        <v>1.5492429187018102</v>
      </c>
      <c r="D493">
        <f t="shared" si="374"/>
        <v>0.86914925005942567</v>
      </c>
      <c r="F493">
        <f t="shared" si="375"/>
        <v>1.0137432839753339E-5</v>
      </c>
      <c r="G493">
        <f t="shared" si="376"/>
        <v>1.2453118941685168E-3</v>
      </c>
      <c r="H493">
        <f t="shared" si="377"/>
        <v>-3.1403473381058316</v>
      </c>
      <c r="J493">
        <f t="shared" si="378"/>
        <v>15</v>
      </c>
      <c r="M493">
        <f t="shared" si="379"/>
        <v>1.9137406916061646E-3</v>
      </c>
      <c r="N493">
        <f t="shared" si="380"/>
        <v>-1.5707963250000001</v>
      </c>
      <c r="O493">
        <f t="shared" si="381"/>
        <v>376.02169558400954</v>
      </c>
      <c r="P493">
        <f t="shared" si="382"/>
        <v>1.5681369026433087</v>
      </c>
      <c r="Q493">
        <f t="shared" si="383"/>
        <v>356.16018118036379</v>
      </c>
      <c r="R493">
        <f t="shared" si="384"/>
        <v>1.5679885976698227</v>
      </c>
      <c r="S493">
        <f t="shared" si="385"/>
        <v>0.10967248703539355</v>
      </c>
      <c r="T493">
        <f t="shared" si="386"/>
        <v>-1.4609027833880395</v>
      </c>
      <c r="U493">
        <f t="shared" si="387"/>
        <v>0.59171455943856321</v>
      </c>
      <c r="V493">
        <f t="shared" si="388"/>
        <v>-0.93761228637214034</v>
      </c>
      <c r="X493">
        <f t="shared" si="405"/>
        <v>-48.138198506608717</v>
      </c>
      <c r="Y493">
        <f t="shared" si="389"/>
        <v>-177.86810038813331</v>
      </c>
      <c r="Z493">
        <f t="shared" si="406"/>
        <v>2.131899611866686</v>
      </c>
      <c r="AC493">
        <v>1</v>
      </c>
      <c r="AD493">
        <f t="shared" si="390"/>
        <v>376.02036587115003</v>
      </c>
      <c r="AE493">
        <f t="shared" si="391"/>
        <v>-3.9550018335628954E-2</v>
      </c>
      <c r="AF493">
        <f t="shared" si="392"/>
        <v>2.9029824050471997E-2</v>
      </c>
      <c r="AG493">
        <f t="shared" si="421"/>
        <v>4518.7164143441205</v>
      </c>
      <c r="AH493">
        <f t="shared" si="422"/>
        <v>-6190.7132722664737</v>
      </c>
      <c r="AJ493">
        <f t="shared" si="393"/>
        <v>18000</v>
      </c>
      <c r="AK493">
        <f t="shared" si="394"/>
        <v>163134.98950102204</v>
      </c>
      <c r="AL493">
        <v>1</v>
      </c>
      <c r="AM493">
        <f t="shared" si="395"/>
        <v>356.15877731487899</v>
      </c>
      <c r="AN493">
        <f t="shared" si="423"/>
        <v>458.17835389107819</v>
      </c>
      <c r="AO493">
        <f t="shared" si="424"/>
        <v>-49.252812968302187</v>
      </c>
      <c r="AQ493">
        <f t="shared" si="396"/>
        <v>1.2846698674644638E-3</v>
      </c>
      <c r="AR493">
        <f t="shared" si="397"/>
        <v>-3.5842289302258541</v>
      </c>
      <c r="AT493">
        <f t="shared" si="418"/>
        <v>-22183.128550373534</v>
      </c>
      <c r="AU493">
        <f t="shared" si="419"/>
        <v>-16204.067122577628</v>
      </c>
      <c r="AV493">
        <f t="shared" si="407"/>
        <v>-2.510709614394905</v>
      </c>
      <c r="AW493">
        <f t="shared" si="408"/>
        <v>5328.1383817735059</v>
      </c>
      <c r="AX493">
        <f t="shared" si="409"/>
        <v>-8795.6999379006829</v>
      </c>
      <c r="AY493">
        <f t="shared" si="417"/>
        <v>-1.0261477028402903</v>
      </c>
      <c r="BA493">
        <f t="shared" si="398"/>
        <v>2.6713412032913069</v>
      </c>
      <c r="BB493">
        <f t="shared" si="410"/>
        <v>8.5345872568162839</v>
      </c>
      <c r="BC493">
        <f t="shared" si="411"/>
        <v>-1.4845619115546147</v>
      </c>
      <c r="BD493">
        <f t="shared" si="399"/>
        <v>-265.05913205514747</v>
      </c>
      <c r="BF493">
        <f t="shared" si="400"/>
        <v>-64.022637366347283</v>
      </c>
      <c r="BG493">
        <f t="shared" si="401"/>
        <v>-215.1891970870837</v>
      </c>
      <c r="BH493">
        <f t="shared" si="412"/>
        <v>-35.189197087083699</v>
      </c>
      <c r="BI493">
        <f t="shared" si="413"/>
        <v>-35.189197087083699</v>
      </c>
      <c r="BJ493">
        <f t="shared" si="402"/>
        <v>0</v>
      </c>
      <c r="BK493">
        <f t="shared" si="414"/>
        <v>0</v>
      </c>
      <c r="BM493">
        <f t="shared" si="415"/>
        <v>-72.557224623163577</v>
      </c>
      <c r="BN493">
        <f t="shared" si="403"/>
        <v>-130.13006503193628</v>
      </c>
      <c r="BQ493" s="56">
        <f t="shared" si="416"/>
        <v>25.436548057101422</v>
      </c>
    </row>
    <row r="494" spans="1:69" x14ac:dyDescent="0.25">
      <c r="A494">
        <f t="shared" si="420"/>
        <v>1400000</v>
      </c>
      <c r="B494">
        <f t="shared" si="404"/>
        <v>1400</v>
      </c>
      <c r="C494">
        <f t="shared" si="373"/>
        <v>1.5524846382565129</v>
      </c>
      <c r="D494">
        <f t="shared" si="374"/>
        <v>0.87091259401897836</v>
      </c>
      <c r="F494">
        <f t="shared" si="375"/>
        <v>1.0065151220184332E-5</v>
      </c>
      <c r="G494">
        <f t="shared" si="376"/>
        <v>1.2408642644616526E-3</v>
      </c>
      <c r="H494">
        <f t="shared" si="377"/>
        <v>-3.1403517857355387</v>
      </c>
      <c r="J494">
        <f t="shared" si="378"/>
        <v>15</v>
      </c>
      <c r="M494">
        <f t="shared" si="379"/>
        <v>1.9069059034218568E-3</v>
      </c>
      <c r="N494">
        <f t="shared" si="380"/>
        <v>-1.5707963250000001</v>
      </c>
      <c r="O494">
        <f t="shared" si="381"/>
        <v>377.36943408190172</v>
      </c>
      <c r="P494">
        <f t="shared" si="382"/>
        <v>1.5681464005421639</v>
      </c>
      <c r="Q494">
        <f t="shared" si="383"/>
        <v>357.43673092397916</v>
      </c>
      <c r="R494">
        <f t="shared" si="384"/>
        <v>1.5679986252214222</v>
      </c>
      <c r="S494">
        <f t="shared" si="385"/>
        <v>0.10928548591240397</v>
      </c>
      <c r="T494">
        <f t="shared" si="386"/>
        <v>-1.4612921248018318</v>
      </c>
      <c r="U494">
        <f t="shared" si="387"/>
        <v>0.59033862460827302</v>
      </c>
      <c r="V494">
        <f t="shared" si="388"/>
        <v>-0.93931802210518944</v>
      </c>
      <c r="X494">
        <f t="shared" si="405"/>
        <v>-48.202045505097189</v>
      </c>
      <c r="Y494">
        <f t="shared" si="389"/>
        <v>-177.88624340421697</v>
      </c>
      <c r="Z494">
        <f t="shared" si="406"/>
        <v>2.1137565957830304</v>
      </c>
      <c r="AC494">
        <v>1</v>
      </c>
      <c r="AD494">
        <f t="shared" si="390"/>
        <v>377.36810911800006</v>
      </c>
      <c r="AE494">
        <f t="shared" si="391"/>
        <v>-3.9834039099103428E-2</v>
      </c>
      <c r="AF494">
        <f t="shared" si="392"/>
        <v>2.9133873599040003E-2</v>
      </c>
      <c r="AG494">
        <f t="shared" si="421"/>
        <v>4497.7257851144195</v>
      </c>
      <c r="AH494">
        <f t="shared" si="422"/>
        <v>-6183.9557369134072</v>
      </c>
      <c r="AJ494">
        <f t="shared" si="393"/>
        <v>18000</v>
      </c>
      <c r="AK494">
        <f t="shared" si="394"/>
        <v>163719.70272504</v>
      </c>
      <c r="AL494">
        <v>1</v>
      </c>
      <c r="AM494">
        <f t="shared" si="395"/>
        <v>357.43533207228</v>
      </c>
      <c r="AN494">
        <f t="shared" si="423"/>
        <v>458.17736788467892</v>
      </c>
      <c r="AO494">
        <f t="shared" si="424"/>
        <v>-49.076912823402814</v>
      </c>
      <c r="AQ494">
        <f t="shared" si="396"/>
        <v>1.2755100413890253E-3</v>
      </c>
      <c r="AR494">
        <f t="shared" si="397"/>
        <v>-3.5714281158892711</v>
      </c>
      <c r="AT494">
        <f t="shared" si="418"/>
        <v>-22079.816491824971</v>
      </c>
      <c r="AU494">
        <f t="shared" si="419"/>
        <v>-16071.192024155722</v>
      </c>
      <c r="AV494">
        <f t="shared" si="407"/>
        <v>-2.5124071323108605</v>
      </c>
      <c r="AW494">
        <f t="shared" si="408"/>
        <v>5305.9522598584645</v>
      </c>
      <c r="AX494">
        <f t="shared" si="409"/>
        <v>-8781.4259172073234</v>
      </c>
      <c r="AY494">
        <f t="shared" si="417"/>
        <v>-1.0272764003544272</v>
      </c>
      <c r="BA494">
        <f t="shared" si="398"/>
        <v>2.661744662330972</v>
      </c>
      <c r="BB494">
        <f t="shared" si="410"/>
        <v>8.503327836752387</v>
      </c>
      <c r="BC494">
        <f t="shared" si="411"/>
        <v>-1.4851307319564333</v>
      </c>
      <c r="BD494">
        <f t="shared" si="399"/>
        <v>-265.09172306350985</v>
      </c>
      <c r="BF494">
        <f t="shared" si="400"/>
        <v>-64.097894667652838</v>
      </c>
      <c r="BG494">
        <f t="shared" si="401"/>
        <v>-215.12101075902973</v>
      </c>
      <c r="BH494">
        <f t="shared" si="412"/>
        <v>-35.12101075902973</v>
      </c>
      <c r="BI494">
        <f t="shared" si="413"/>
        <v>-35.12101075902973</v>
      </c>
      <c r="BJ494">
        <f t="shared" si="402"/>
        <v>0</v>
      </c>
      <c r="BK494">
        <f t="shared" si="414"/>
        <v>0</v>
      </c>
      <c r="BM494">
        <f t="shared" si="415"/>
        <v>-72.601222504405214</v>
      </c>
      <c r="BN494">
        <f t="shared" si="403"/>
        <v>-130.02928769551991</v>
      </c>
      <c r="BQ494" s="56">
        <f t="shared" si="416"/>
        <v>25.405288637037525</v>
      </c>
    </row>
    <row r="495" spans="1:69" x14ac:dyDescent="0.25">
      <c r="A495">
        <f t="shared" si="420"/>
        <v>1405000</v>
      </c>
      <c r="B495">
        <f t="shared" si="404"/>
        <v>1405</v>
      </c>
      <c r="C495">
        <f t="shared" si="373"/>
        <v>1.5557311649527263</v>
      </c>
      <c r="D495">
        <f t="shared" si="374"/>
        <v>0.87266858386628032</v>
      </c>
      <c r="F495">
        <f t="shared" si="375"/>
        <v>9.993639926309636E-6</v>
      </c>
      <c r="G495">
        <f t="shared" si="376"/>
        <v>1.236448291408541E-3</v>
      </c>
      <c r="H495">
        <f t="shared" si="377"/>
        <v>-3.1403562017085918</v>
      </c>
      <c r="J495">
        <f t="shared" si="378"/>
        <v>15</v>
      </c>
      <c r="M495">
        <f t="shared" si="379"/>
        <v>1.9001197614167968E-3</v>
      </c>
      <c r="N495">
        <f t="shared" si="380"/>
        <v>-1.5707963250000001</v>
      </c>
      <c r="O495">
        <f t="shared" si="381"/>
        <v>378.71717261359419</v>
      </c>
      <c r="P495">
        <f t="shared" si="382"/>
        <v>1.5681558308407886</v>
      </c>
      <c r="Q495">
        <f t="shared" si="383"/>
        <v>358.71328070327957</v>
      </c>
      <c r="R495">
        <f t="shared" si="384"/>
        <v>1.5680085814031044</v>
      </c>
      <c r="S495">
        <f t="shared" si="385"/>
        <v>0.10890119007184874</v>
      </c>
      <c r="T495">
        <f t="shared" si="386"/>
        <v>-1.461678728082539</v>
      </c>
      <c r="U495">
        <f t="shared" si="387"/>
        <v>0.58896737224275642</v>
      </c>
      <c r="V495">
        <f t="shared" si="388"/>
        <v>-0.94101583851328086</v>
      </c>
      <c r="X495">
        <f t="shared" si="405"/>
        <v>-48.265664012351188</v>
      </c>
      <c r="Y495">
        <f t="shared" si="389"/>
        <v>-177.90420330113864</v>
      </c>
      <c r="Z495">
        <f t="shared" si="406"/>
        <v>2.0957966988613634</v>
      </c>
      <c r="AC495">
        <v>1</v>
      </c>
      <c r="AD495">
        <f t="shared" si="390"/>
        <v>378.71585236484998</v>
      </c>
      <c r="AE495">
        <f t="shared" si="391"/>
        <v>-4.0119076037044718E-2</v>
      </c>
      <c r="AF495">
        <f t="shared" si="392"/>
        <v>2.9237923147608001E-2</v>
      </c>
      <c r="AG495">
        <f t="shared" si="421"/>
        <v>4476.855207317295</v>
      </c>
      <c r="AH495">
        <f t="shared" si="422"/>
        <v>-6177.1588069851641</v>
      </c>
      <c r="AJ495">
        <f t="shared" si="393"/>
        <v>18000</v>
      </c>
      <c r="AK495">
        <f t="shared" si="394"/>
        <v>164304.41594905802</v>
      </c>
      <c r="AL495">
        <v>1</v>
      </c>
      <c r="AM495">
        <f t="shared" si="395"/>
        <v>358.71188682968102</v>
      </c>
      <c r="AN495">
        <f t="shared" si="423"/>
        <v>458.17639238618733</v>
      </c>
      <c r="AO495">
        <f t="shared" si="424"/>
        <v>-48.902264607536679</v>
      </c>
      <c r="AQ495">
        <f t="shared" si="396"/>
        <v>1.2664478329241229E-3</v>
      </c>
      <c r="AR495">
        <f t="shared" si="397"/>
        <v>-3.5587184105167853</v>
      </c>
      <c r="AT495">
        <f t="shared" si="418"/>
        <v>-21977.099067528383</v>
      </c>
      <c r="AU495">
        <f t="shared" si="419"/>
        <v>-15939.690096882732</v>
      </c>
      <c r="AV495">
        <f t="shared" si="407"/>
        <v>-2.5140967893911874</v>
      </c>
      <c r="AW495">
        <f t="shared" si="408"/>
        <v>5283.8868382567025</v>
      </c>
      <c r="AX495">
        <f t="shared" si="409"/>
        <v>-8767.1558353556538</v>
      </c>
      <c r="AY495">
        <f t="shared" si="417"/>
        <v>-1.0284004219033969</v>
      </c>
      <c r="BA495">
        <f t="shared" si="398"/>
        <v>2.6522168333883602</v>
      </c>
      <c r="BB495">
        <f t="shared" si="410"/>
        <v>8.4721805431804409</v>
      </c>
      <c r="BC495">
        <f t="shared" si="411"/>
        <v>-1.4856963674877905</v>
      </c>
      <c r="BD495">
        <f t="shared" si="399"/>
        <v>-265.12413159223627</v>
      </c>
      <c r="BF495">
        <f t="shared" si="400"/>
        <v>-64.172829288250767</v>
      </c>
      <c r="BG495">
        <f t="shared" si="401"/>
        <v>-215.0530614971417</v>
      </c>
      <c r="BH495">
        <f t="shared" si="412"/>
        <v>-35.053061497141698</v>
      </c>
      <c r="BI495">
        <f t="shared" si="413"/>
        <v>-35.053061497141698</v>
      </c>
      <c r="BJ495">
        <f t="shared" si="402"/>
        <v>0</v>
      </c>
      <c r="BK495">
        <f t="shared" si="414"/>
        <v>0</v>
      </c>
      <c r="BM495">
        <f t="shared" si="415"/>
        <v>-72.64500983143121</v>
      </c>
      <c r="BN495">
        <f t="shared" si="403"/>
        <v>-129.92892990490543</v>
      </c>
      <c r="BQ495" s="56">
        <f t="shared" si="416"/>
        <v>25.374141343465581</v>
      </c>
    </row>
    <row r="496" spans="1:69" x14ac:dyDescent="0.25">
      <c r="A496">
        <f t="shared" si="420"/>
        <v>1410000</v>
      </c>
      <c r="B496">
        <f t="shared" si="404"/>
        <v>1410</v>
      </c>
      <c r="C496">
        <f t="shared" si="373"/>
        <v>1.5589824687583369</v>
      </c>
      <c r="D496">
        <f t="shared" si="374"/>
        <v>0.87441725474991605</v>
      </c>
      <c r="F496">
        <f t="shared" si="375"/>
        <v>9.9228880507486949E-6</v>
      </c>
      <c r="G496">
        <f t="shared" si="376"/>
        <v>1.2320636382232002E-3</v>
      </c>
      <c r="H496">
        <f t="shared" si="377"/>
        <v>-3.1403605863617772</v>
      </c>
      <c r="J496">
        <f t="shared" si="378"/>
        <v>15</v>
      </c>
      <c r="M496">
        <f t="shared" si="379"/>
        <v>1.8933817480784397E-3</v>
      </c>
      <c r="N496">
        <f t="shared" si="380"/>
        <v>-1.5707963250000001</v>
      </c>
      <c r="O496">
        <f t="shared" si="381"/>
        <v>380.06491117872724</v>
      </c>
      <c r="P496">
        <f t="shared" si="382"/>
        <v>1.5681651942583272</v>
      </c>
      <c r="Q496">
        <f t="shared" si="383"/>
        <v>359.98983051788554</v>
      </c>
      <c r="R496">
        <f t="shared" si="384"/>
        <v>1.5680184669741157</v>
      </c>
      <c r="S496">
        <f t="shared" si="385"/>
        <v>0.10851957141767378</v>
      </c>
      <c r="T496">
        <f t="shared" si="386"/>
        <v>-1.4620626218994184</v>
      </c>
      <c r="U496">
        <f t="shared" si="387"/>
        <v>0.58760079342234572</v>
      </c>
      <c r="V496">
        <f t="shared" si="388"/>
        <v>-0.94270578089966395</v>
      </c>
      <c r="X496">
        <f t="shared" si="405"/>
        <v>-48.329055594059255</v>
      </c>
      <c r="Y496">
        <f t="shared" si="389"/>
        <v>-177.92198223793596</v>
      </c>
      <c r="Z496">
        <f t="shared" si="406"/>
        <v>2.0780177620640359</v>
      </c>
      <c r="AC496">
        <v>1</v>
      </c>
      <c r="AD496">
        <f t="shared" si="390"/>
        <v>380.06359561170001</v>
      </c>
      <c r="AE496">
        <f t="shared" si="391"/>
        <v>-4.0405129149452823E-2</v>
      </c>
      <c r="AF496">
        <f t="shared" si="392"/>
        <v>2.9341972696175996E-2</v>
      </c>
      <c r="AG496">
        <f t="shared" si="421"/>
        <v>4456.1040484641408</v>
      </c>
      <c r="AH496">
        <f t="shared" si="422"/>
        <v>-6170.3233608825658</v>
      </c>
      <c r="AJ496">
        <f t="shared" si="393"/>
        <v>18000</v>
      </c>
      <c r="AK496">
        <f t="shared" si="394"/>
        <v>164889.12917307601</v>
      </c>
      <c r="AL496">
        <v>1</v>
      </c>
      <c r="AM496">
        <f t="shared" si="395"/>
        <v>359.98844158708204</v>
      </c>
      <c r="AN496">
        <f t="shared" si="423"/>
        <v>458.17542724682136</v>
      </c>
      <c r="AO496">
        <f t="shared" si="424"/>
        <v>-48.728855002723108</v>
      </c>
      <c r="AQ496">
        <f t="shared" si="396"/>
        <v>1.2574818598810598E-3</v>
      </c>
      <c r="AR496">
        <f t="shared" si="397"/>
        <v>-3.5460988448645887</v>
      </c>
      <c r="AT496">
        <f t="shared" si="418"/>
        <v>-21874.973072459969</v>
      </c>
      <c r="AU496">
        <f t="shared" si="419"/>
        <v>-15809.544488551017</v>
      </c>
      <c r="AV496">
        <f t="shared" si="407"/>
        <v>-2.5157786303169156</v>
      </c>
      <c r="AW496">
        <f t="shared" si="408"/>
        <v>5261.9415998072645</v>
      </c>
      <c r="AX496">
        <f t="shared" si="409"/>
        <v>-8752.8901627421965</v>
      </c>
      <c r="AY496">
        <f t="shared" si="417"/>
        <v>-1.0295197776225566</v>
      </c>
      <c r="BA496">
        <f t="shared" si="398"/>
        <v>2.6427569793197003</v>
      </c>
      <c r="BB496">
        <f t="shared" si="410"/>
        <v>8.4411445687787783</v>
      </c>
      <c r="BC496">
        <f t="shared" si="411"/>
        <v>-1.486258852694359</v>
      </c>
      <c r="BD496">
        <f t="shared" si="399"/>
        <v>-265.156359620648</v>
      </c>
      <c r="BF496">
        <f t="shared" si="400"/>
        <v>-64.247443787175257</v>
      </c>
      <c r="BG496">
        <f t="shared" si="401"/>
        <v>-214.98534928617164</v>
      </c>
      <c r="BH496">
        <f t="shared" si="412"/>
        <v>-34.98534928617164</v>
      </c>
      <c r="BI496">
        <f t="shared" si="413"/>
        <v>-34.98534928617164</v>
      </c>
      <c r="BJ496">
        <f t="shared" si="402"/>
        <v>0</v>
      </c>
      <c r="BK496">
        <f t="shared" si="414"/>
        <v>0</v>
      </c>
      <c r="BM496">
        <f t="shared" si="415"/>
        <v>-72.688588355954025</v>
      </c>
      <c r="BN496">
        <f t="shared" si="403"/>
        <v>-129.82898966552361</v>
      </c>
      <c r="BQ496" s="56">
        <f t="shared" si="416"/>
        <v>25.343105369063913</v>
      </c>
    </row>
    <row r="497" spans="1:69" x14ac:dyDescent="0.25">
      <c r="A497">
        <f t="shared" si="420"/>
        <v>1415000</v>
      </c>
      <c r="B497">
        <f t="shared" si="404"/>
        <v>1415</v>
      </c>
      <c r="C497">
        <f t="shared" si="373"/>
        <v>1.5622385198472319</v>
      </c>
      <c r="D497">
        <f t="shared" si="374"/>
        <v>0.87615864170512792</v>
      </c>
      <c r="F497">
        <f t="shared" si="375"/>
        <v>9.852884878493382E-6</v>
      </c>
      <c r="G497">
        <f t="shared" si="376"/>
        <v>1.2277099728801042E-3</v>
      </c>
      <c r="H497">
        <f t="shared" si="377"/>
        <v>-3.1403649400271201</v>
      </c>
      <c r="J497">
        <f t="shared" si="378"/>
        <v>15</v>
      </c>
      <c r="M497">
        <f t="shared" si="379"/>
        <v>1.8866913532089044E-3</v>
      </c>
      <c r="N497">
        <f t="shared" si="380"/>
        <v>-1.5707963250000001</v>
      </c>
      <c r="O497">
        <f t="shared" si="381"/>
        <v>381.41264977694652</v>
      </c>
      <c r="P497">
        <f t="shared" si="382"/>
        <v>1.5681744915037603</v>
      </c>
      <c r="Q497">
        <f t="shared" si="383"/>
        <v>361.26638036742264</v>
      </c>
      <c r="R497">
        <f t="shared" si="384"/>
        <v>1.5680282826829717</v>
      </c>
      <c r="S497">
        <f t="shared" si="385"/>
        <v>0.10814060223914169</v>
      </c>
      <c r="T497">
        <f t="shared" si="386"/>
        <v>-1.4624438345244744</v>
      </c>
      <c r="U497">
        <f t="shared" si="387"/>
        <v>0.5862388790262254</v>
      </c>
      <c r="V497">
        <f t="shared" si="388"/>
        <v>-0.94438789432825765</v>
      </c>
      <c r="X497">
        <f t="shared" si="405"/>
        <v>-48.39222180034325</v>
      </c>
      <c r="Y497">
        <f t="shared" si="389"/>
        <v>-177.93958234459154</v>
      </c>
      <c r="Z497">
        <f t="shared" si="406"/>
        <v>2.0604176554084574</v>
      </c>
      <c r="AC497">
        <v>1</v>
      </c>
      <c r="AD497">
        <f t="shared" si="390"/>
        <v>381.41133885855004</v>
      </c>
      <c r="AE497">
        <f t="shared" si="391"/>
        <v>-4.0692198436327737E-2</v>
      </c>
      <c r="AF497">
        <f t="shared" si="392"/>
        <v>2.9446022244744002E-2</v>
      </c>
      <c r="AG497">
        <f t="shared" si="421"/>
        <v>4435.4716759746225</v>
      </c>
      <c r="AH497">
        <f t="shared" si="422"/>
        <v>-6163.4502646572437</v>
      </c>
      <c r="AJ497">
        <f t="shared" si="393"/>
        <v>18000</v>
      </c>
      <c r="AK497">
        <f t="shared" si="394"/>
        <v>165473.84239709401</v>
      </c>
      <c r="AL497">
        <v>1</v>
      </c>
      <c r="AM497">
        <f t="shared" si="395"/>
        <v>361.264996344483</v>
      </c>
      <c r="AN497">
        <f t="shared" si="423"/>
        <v>458.17447232042349</v>
      </c>
      <c r="AO497">
        <f t="shared" si="424"/>
        <v>-48.556670879214188</v>
      </c>
      <c r="AQ497">
        <f t="shared" si="396"/>
        <v>1.2486107644482057E-3</v>
      </c>
      <c r="AR497">
        <f t="shared" si="397"/>
        <v>-3.5335684633884226</v>
      </c>
      <c r="AT497">
        <f t="shared" si="418"/>
        <v>-21773.435303175836</v>
      </c>
      <c r="AU497">
        <f t="shared" si="419"/>
        <v>-15680.738584823112</v>
      </c>
      <c r="AV497">
        <f t="shared" si="407"/>
        <v>-2.5174526995385378</v>
      </c>
      <c r="AW497">
        <f t="shared" si="408"/>
        <v>5240.1160239115034</v>
      </c>
      <c r="AX497">
        <f t="shared" si="409"/>
        <v>-8738.6293631993176</v>
      </c>
      <c r="AY497">
        <f t="shared" si="417"/>
        <v>-1.0306344779169907</v>
      </c>
      <c r="BA497">
        <f t="shared" si="398"/>
        <v>2.6333643735039227</v>
      </c>
      <c r="BB497">
        <f t="shared" si="410"/>
        <v>8.4102191149246011</v>
      </c>
      <c r="BC497">
        <f t="shared" si="411"/>
        <v>-1.4868182216215471</v>
      </c>
      <c r="BD497">
        <f t="shared" si="399"/>
        <v>-265.18840909940326</v>
      </c>
      <c r="BF497">
        <f t="shared" si="400"/>
        <v>-64.321740695336899</v>
      </c>
      <c r="BG497">
        <f t="shared" si="401"/>
        <v>-214.91787408842993</v>
      </c>
      <c r="BH497">
        <f t="shared" si="412"/>
        <v>-34.917874088429926</v>
      </c>
      <c r="BI497">
        <f t="shared" si="413"/>
        <v>-34.917874088429926</v>
      </c>
      <c r="BJ497">
        <f t="shared" si="402"/>
        <v>0</v>
      </c>
      <c r="BK497">
        <f t="shared" si="414"/>
        <v>0</v>
      </c>
      <c r="BM497">
        <f t="shared" si="415"/>
        <v>-72.7319598102615</v>
      </c>
      <c r="BN497">
        <f t="shared" si="403"/>
        <v>-129.7294649890267</v>
      </c>
      <c r="BQ497" s="56">
        <f t="shared" si="416"/>
        <v>25.312179915209736</v>
      </c>
    </row>
    <row r="498" spans="1:69" x14ac:dyDescent="0.25">
      <c r="A498">
        <f t="shared" si="420"/>
        <v>1420000</v>
      </c>
      <c r="B498">
        <f t="shared" si="404"/>
        <v>1420</v>
      </c>
      <c r="C498">
        <f t="shared" si="373"/>
        <v>1.5654992885980692</v>
      </c>
      <c r="D498">
        <f t="shared" si="374"/>
        <v>0.87789277965260104</v>
      </c>
      <c r="F498">
        <f t="shared" si="375"/>
        <v>9.783619882850868E-6</v>
      </c>
      <c r="G498">
        <f t="shared" si="376"/>
        <v>1.2233869680303669E-3</v>
      </c>
      <c r="H498">
        <f t="shared" si="377"/>
        <v>-3.1403692630319697</v>
      </c>
      <c r="J498">
        <f t="shared" si="378"/>
        <v>15</v>
      </c>
      <c r="M498">
        <f t="shared" si="379"/>
        <v>1.8800480737961971E-3</v>
      </c>
      <c r="N498">
        <f t="shared" si="380"/>
        <v>-1.5707963250000001</v>
      </c>
      <c r="O498">
        <f t="shared" si="381"/>
        <v>382.76038840790244</v>
      </c>
      <c r="P498">
        <f t="shared" si="382"/>
        <v>1.5681837232760827</v>
      </c>
      <c r="Q498">
        <f t="shared" si="383"/>
        <v>362.54293025152202</v>
      </c>
      <c r="R498">
        <f t="shared" si="384"/>
        <v>1.568038029267645</v>
      </c>
      <c r="S498">
        <f t="shared" si="385"/>
        <v>0.10776425520429084</v>
      </c>
      <c r="T498">
        <f t="shared" si="386"/>
        <v>-1.462822393839289</v>
      </c>
      <c r="U498">
        <f t="shared" si="387"/>
        <v>0.58488161973778519</v>
      </c>
      <c r="V498">
        <f t="shared" si="388"/>
        <v>-0.94606222362363568</v>
      </c>
      <c r="X498">
        <f t="shared" si="405"/>
        <v>-48.45516416596287</v>
      </c>
      <c r="Y498">
        <f t="shared" si="389"/>
        <v>-177.95700572247702</v>
      </c>
      <c r="Z498">
        <f t="shared" si="406"/>
        <v>2.042994277522979</v>
      </c>
      <c r="AC498">
        <v>1</v>
      </c>
      <c r="AD498">
        <f t="shared" si="390"/>
        <v>382.75908210540001</v>
      </c>
      <c r="AE498">
        <f t="shared" si="391"/>
        <v>-4.0980283897669466E-2</v>
      </c>
      <c r="AF498">
        <f t="shared" si="392"/>
        <v>2.9550071793312E-2</v>
      </c>
      <c r="AG498">
        <f t="shared" si="421"/>
        <v>4414.9574572819893</v>
      </c>
      <c r="AH498">
        <f t="shared" si="422"/>
        <v>-6156.5403721531329</v>
      </c>
      <c r="AJ498">
        <f t="shared" si="393"/>
        <v>18000</v>
      </c>
      <c r="AK498">
        <f t="shared" si="394"/>
        <v>166058.55562111203</v>
      </c>
      <c r="AL498">
        <v>1</v>
      </c>
      <c r="AM498">
        <f t="shared" si="395"/>
        <v>362.54155110188401</v>
      </c>
      <c r="AN498">
        <f t="shared" si="423"/>
        <v>458.17352746340418</v>
      </c>
      <c r="AO498">
        <f t="shared" si="424"/>
        <v>-48.385699292180909</v>
      </c>
      <c r="AQ498">
        <f t="shared" si="396"/>
        <v>1.2398332126768979E-3</v>
      </c>
      <c r="AR498">
        <f t="shared" si="397"/>
        <v>-3.52112632400239</v>
      </c>
      <c r="AT498">
        <f t="shared" si="418"/>
        <v>-21672.482558283777</v>
      </c>
      <c r="AU498">
        <f t="shared" si="419"/>
        <v>-15553.256005414853</v>
      </c>
      <c r="AV498">
        <f t="shared" si="407"/>
        <v>-2.5191190412758422</v>
      </c>
      <c r="AW498">
        <f t="shared" si="408"/>
        <v>5218.4095867209826</v>
      </c>
      <c r="AX498">
        <f t="shared" si="409"/>
        <v>-8724.3738940257899</v>
      </c>
      <c r="AY498">
        <f t="shared" si="417"/>
        <v>-1.0317445334522848</v>
      </c>
      <c r="BA498">
        <f t="shared" si="398"/>
        <v>2.6240382996553464</v>
      </c>
      <c r="BB498">
        <f t="shared" si="410"/>
        <v>8.379403391569312</v>
      </c>
      <c r="BC498">
        <f t="shared" si="411"/>
        <v>-1.4873745078235574</v>
      </c>
      <c r="BD498">
        <f t="shared" si="399"/>
        <v>-265.22028195101626</v>
      </c>
      <c r="BF498">
        <f t="shared" si="400"/>
        <v>-64.395722515912837</v>
      </c>
      <c r="BG498">
        <f t="shared" si="401"/>
        <v>-214.8506358443787</v>
      </c>
      <c r="BH498">
        <f t="shared" si="412"/>
        <v>-34.850635844378701</v>
      </c>
      <c r="BI498">
        <f t="shared" si="413"/>
        <v>-34.850635844378701</v>
      </c>
      <c r="BJ498">
        <f t="shared" si="402"/>
        <v>0</v>
      </c>
      <c r="BK498">
        <f t="shared" si="414"/>
        <v>0</v>
      </c>
      <c r="BM498">
        <f t="shared" si="415"/>
        <v>-72.775125907482135</v>
      </c>
      <c r="BN498">
        <f t="shared" si="403"/>
        <v>-129.63035389336247</v>
      </c>
      <c r="BQ498" s="56">
        <f t="shared" si="416"/>
        <v>25.281364191854443</v>
      </c>
    </row>
    <row r="499" spans="1:69" x14ac:dyDescent="0.25">
      <c r="A499">
        <f t="shared" si="420"/>
        <v>1425000</v>
      </c>
      <c r="B499">
        <f t="shared" si="404"/>
        <v>1425</v>
      </c>
      <c r="C499">
        <f t="shared" si="373"/>
        <v>1.5687647455930454</v>
      </c>
      <c r="D499">
        <f t="shared" si="374"/>
        <v>0.87961970339729123</v>
      </c>
      <c r="F499">
        <f t="shared" si="375"/>
        <v>9.7150827214860002E-6</v>
      </c>
      <c r="G499">
        <f t="shared" si="376"/>
        <v>1.2190943009196915E-3</v>
      </c>
      <c r="H499">
        <f t="shared" si="377"/>
        <v>-3.1403735556990804</v>
      </c>
      <c r="J499">
        <f t="shared" si="378"/>
        <v>15</v>
      </c>
      <c r="M499">
        <f t="shared" si="379"/>
        <v>1.8734514138881401E-3</v>
      </c>
      <c r="N499">
        <f t="shared" si="380"/>
        <v>-1.5707963250000001</v>
      </c>
      <c r="O499">
        <f t="shared" si="381"/>
        <v>384.10812707125046</v>
      </c>
      <c r="P499">
        <f t="shared" si="382"/>
        <v>1.5681928902644784</v>
      </c>
      <c r="Q499">
        <f t="shared" si="383"/>
        <v>363.81948016981977</v>
      </c>
      <c r="R499">
        <f t="shared" si="384"/>
        <v>1.5680477074557515</v>
      </c>
      <c r="S499">
        <f t="shared" si="385"/>
        <v>0.10739050335352643</v>
      </c>
      <c r="T499">
        <f t="shared" si="386"/>
        <v>-1.46319832734171</v>
      </c>
      <c r="U499">
        <f t="shared" si="387"/>
        <v>0.58352900604987812</v>
      </c>
      <c r="V499">
        <f t="shared" si="388"/>
        <v>-0.94772881337105153</v>
      </c>
      <c r="X499">
        <f t="shared" si="405"/>
        <v>-48.517884210516769</v>
      </c>
      <c r="Y499">
        <f t="shared" si="389"/>
        <v>-177.97425444478858</v>
      </c>
      <c r="Z499">
        <f t="shared" si="406"/>
        <v>2.0257455552114152</v>
      </c>
      <c r="AC499">
        <v>1</v>
      </c>
      <c r="AD499">
        <f t="shared" si="390"/>
        <v>384.10682535225004</v>
      </c>
      <c r="AE499">
        <f t="shared" si="391"/>
        <v>-4.1269385533478017E-2</v>
      </c>
      <c r="AF499">
        <f t="shared" si="392"/>
        <v>2.9654121341880002E-2</v>
      </c>
      <c r="AG499">
        <f t="shared" si="421"/>
        <v>4394.5607599354771</v>
      </c>
      <c r="AH499">
        <f t="shared" si="422"/>
        <v>-6149.594525147043</v>
      </c>
      <c r="AJ499">
        <f t="shared" si="393"/>
        <v>18000</v>
      </c>
      <c r="AK499">
        <f t="shared" si="394"/>
        <v>166643.26884512999</v>
      </c>
      <c r="AL499">
        <v>1</v>
      </c>
      <c r="AM499">
        <f t="shared" si="395"/>
        <v>363.81810585928503</v>
      </c>
      <c r="AN499">
        <f t="shared" si="423"/>
        <v>458.1725925346887</v>
      </c>
      <c r="AO499">
        <f t="shared" si="424"/>
        <v>-48.215927478469176</v>
      </c>
      <c r="AQ499">
        <f t="shared" si="396"/>
        <v>1.2311478939799453E-3</v>
      </c>
      <c r="AR499">
        <f t="shared" si="397"/>
        <v>-3.5087714978428441</v>
      </c>
      <c r="AT499">
        <f t="shared" si="418"/>
        <v>-21572.111638901784</v>
      </c>
      <c r="AU499">
        <f t="shared" si="419"/>
        <v>-15427.080600348658</v>
      </c>
      <c r="AV499">
        <f t="shared" si="407"/>
        <v>-2.5207776995177835</v>
      </c>
      <c r="AW499">
        <f t="shared" si="408"/>
        <v>5196.8217613204779</v>
      </c>
      <c r="AX499">
        <f t="shared" si="409"/>
        <v>-8710.1242060190234</v>
      </c>
      <c r="AY499">
        <f t="shared" si="417"/>
        <v>-1.0328499551455368</v>
      </c>
      <c r="BA499">
        <f t="shared" si="398"/>
        <v>2.6147780516403367</v>
      </c>
      <c r="BB499">
        <f t="shared" si="410"/>
        <v>8.3486966171159889</v>
      </c>
      <c r="BC499">
        <f t="shared" si="411"/>
        <v>-1.4879277443722467</v>
      </c>
      <c r="BD499">
        <f t="shared" si="399"/>
        <v>-265.25198007036477</v>
      </c>
      <c r="BF499">
        <f t="shared" si="400"/>
        <v>-64.469391724730031</v>
      </c>
      <c r="BG499">
        <f t="shared" si="401"/>
        <v>-214.78363447321104</v>
      </c>
      <c r="BH499">
        <f t="shared" si="412"/>
        <v>-34.783634473211038</v>
      </c>
      <c r="BI499">
        <f t="shared" si="413"/>
        <v>-34.783634473211038</v>
      </c>
      <c r="BJ499">
        <f t="shared" si="402"/>
        <v>0</v>
      </c>
      <c r="BK499">
        <f t="shared" si="414"/>
        <v>0</v>
      </c>
      <c r="BM499">
        <f t="shared" si="415"/>
        <v>-72.818088341846021</v>
      </c>
      <c r="BN499">
        <f t="shared" si="403"/>
        <v>-129.5316544028463</v>
      </c>
      <c r="BQ499" s="56">
        <f t="shared" si="416"/>
        <v>25.250657417401126</v>
      </c>
    </row>
    <row r="500" spans="1:69" x14ac:dyDescent="0.25">
      <c r="A500">
        <f t="shared" si="420"/>
        <v>1430000</v>
      </c>
      <c r="B500">
        <f t="shared" si="404"/>
        <v>1430</v>
      </c>
      <c r="C500">
        <f t="shared" si="373"/>
        <v>1.5720348616166635</v>
      </c>
      <c r="D500">
        <f t="shared" si="374"/>
        <v>0.88133944762729222</v>
      </c>
      <c r="F500">
        <f t="shared" si="375"/>
        <v>9.6472632325603279E-6</v>
      </c>
      <c r="G500">
        <f t="shared" si="376"/>
        <v>1.2148316533080394E-3</v>
      </c>
      <c r="H500">
        <f t="shared" si="377"/>
        <v>-3.1403778183466922</v>
      </c>
      <c r="J500">
        <f t="shared" si="378"/>
        <v>15</v>
      </c>
      <c r="M500">
        <f t="shared" si="379"/>
        <v>1.8669008844689507E-3</v>
      </c>
      <c r="N500">
        <f t="shared" si="380"/>
        <v>-1.5707963250000001</v>
      </c>
      <c r="O500">
        <f t="shared" si="381"/>
        <v>385.45586576665073</v>
      </c>
      <c r="P500">
        <f t="shared" si="382"/>
        <v>1.568201993148493</v>
      </c>
      <c r="Q500">
        <f t="shared" si="383"/>
        <v>365.09603012195726</v>
      </c>
      <c r="R500">
        <f t="shared" si="384"/>
        <v>1.5680573179647304</v>
      </c>
      <c r="S500">
        <f t="shared" si="385"/>
        <v>0.10701932009334038</v>
      </c>
      <c r="T500">
        <f t="shared" si="386"/>
        <v>-1.4635716621524046</v>
      </c>
      <c r="U500">
        <f t="shared" si="387"/>
        <v>0.58218102826998586</v>
      </c>
      <c r="V500">
        <f t="shared" si="388"/>
        <v>-0.94938770791650084</v>
      </c>
      <c r="X500">
        <f t="shared" si="405"/>
        <v>-48.580383438640318</v>
      </c>
      <c r="Y500">
        <f t="shared" si="389"/>
        <v>-177.99133055697553</v>
      </c>
      <c r="Z500">
        <f t="shared" si="406"/>
        <v>2.0086694430244734</v>
      </c>
      <c r="AC500">
        <v>1</v>
      </c>
      <c r="AD500">
        <f t="shared" si="390"/>
        <v>385.45456859910001</v>
      </c>
      <c r="AE500">
        <f t="shared" si="391"/>
        <v>-4.1559503343753371E-2</v>
      </c>
      <c r="AF500">
        <f t="shared" si="392"/>
        <v>2.9758170890448001E-2</v>
      </c>
      <c r="AG500">
        <f t="shared" si="421"/>
        <v>4374.2809516998832</v>
      </c>
      <c r="AH500">
        <f t="shared" si="422"/>
        <v>-6142.6135534883369</v>
      </c>
      <c r="AJ500">
        <f t="shared" si="393"/>
        <v>18000</v>
      </c>
      <c r="AK500">
        <f t="shared" si="394"/>
        <v>167227.98206914801</v>
      </c>
      <c r="AL500">
        <v>1</v>
      </c>
      <c r="AM500">
        <f t="shared" si="395"/>
        <v>365.09466061668604</v>
      </c>
      <c r="AN500">
        <f t="shared" si="423"/>
        <v>458.17166739566488</v>
      </c>
      <c r="AO500">
        <f t="shared" si="424"/>
        <v>-48.047342853423849</v>
      </c>
      <c r="AQ500">
        <f t="shared" si="396"/>
        <v>1.2225535206423883E-3</v>
      </c>
      <c r="AR500">
        <f t="shared" si="397"/>
        <v>-3.4965030690372307</v>
      </c>
      <c r="AT500">
        <f t="shared" si="418"/>
        <v>-21472.31934910388</v>
      </c>
      <c r="AU500">
        <f t="shared" si="419"/>
        <v>-15302.196446275504</v>
      </c>
      <c r="AV500">
        <f t="shared" si="407"/>
        <v>-2.5224287180223994</v>
      </c>
      <c r="AW500">
        <f t="shared" si="408"/>
        <v>5175.3520179060724</v>
      </c>
      <c r="AX500">
        <f t="shared" si="409"/>
        <v>-8695.8807435089166</v>
      </c>
      <c r="AY500">
        <f t="shared" si="417"/>
        <v>-1.0339507541566053</v>
      </c>
      <c r="BA500">
        <f t="shared" si="398"/>
        <v>2.6055829332978742</v>
      </c>
      <c r="BB500">
        <f t="shared" si="410"/>
        <v>8.3180980182991231</v>
      </c>
      <c r="BC500">
        <f t="shared" si="411"/>
        <v>-1.4884779638657941</v>
      </c>
      <c r="BD500">
        <f t="shared" si="399"/>
        <v>-265.28350532518687</v>
      </c>
      <c r="BF500">
        <f t="shared" si="400"/>
        <v>-64.5427507706424</v>
      </c>
      <c r="BG500">
        <f t="shared" si="401"/>
        <v>-214.71686987341752</v>
      </c>
      <c r="BH500">
        <f t="shared" si="412"/>
        <v>-34.716869873417522</v>
      </c>
      <c r="BI500">
        <f t="shared" si="413"/>
        <v>-34.716869873417522</v>
      </c>
      <c r="BJ500">
        <f t="shared" si="402"/>
        <v>0</v>
      </c>
      <c r="BK500">
        <f t="shared" si="414"/>
        <v>0</v>
      </c>
      <c r="BM500">
        <f t="shared" si="415"/>
        <v>-72.860848788941524</v>
      </c>
      <c r="BN500">
        <f t="shared" si="403"/>
        <v>-129.43336454823063</v>
      </c>
      <c r="BQ500" s="56">
        <f t="shared" si="416"/>
        <v>25.22005881858426</v>
      </c>
    </row>
    <row r="501" spans="1:69" x14ac:dyDescent="0.25">
      <c r="A501">
        <f t="shared" si="420"/>
        <v>1435000</v>
      </c>
      <c r="B501">
        <f t="shared" si="404"/>
        <v>1435</v>
      </c>
      <c r="C501">
        <f t="shared" si="373"/>
        <v>1.5753096076545055</v>
      </c>
      <c r="D501">
        <f t="shared" si="374"/>
        <v>0.88305204691274464</v>
      </c>
      <c r="F501">
        <f t="shared" si="375"/>
        <v>9.580151430965169E-6</v>
      </c>
      <c r="G501">
        <f t="shared" si="376"/>
        <v>1.2105987113909824E-3</v>
      </c>
      <c r="H501">
        <f t="shared" si="377"/>
        <v>-3.1403820512886091</v>
      </c>
      <c r="J501">
        <f t="shared" si="378"/>
        <v>15</v>
      </c>
      <c r="M501">
        <f t="shared" si="379"/>
        <v>1.8603960033383971E-3</v>
      </c>
      <c r="N501">
        <f t="shared" si="380"/>
        <v>-1.5707963250000001</v>
      </c>
      <c r="O501">
        <f t="shared" si="381"/>
        <v>386.80360449376838</v>
      </c>
      <c r="P501">
        <f t="shared" si="382"/>
        <v>1.5682110325982013</v>
      </c>
      <c r="Q501">
        <f t="shared" si="383"/>
        <v>366.37258010758069</v>
      </c>
      <c r="R501">
        <f t="shared" si="384"/>
        <v>1.5680668615020221</v>
      </c>
      <c r="S501">
        <f t="shared" si="385"/>
        <v>0.10665067919015714</v>
      </c>
      <c r="T501">
        <f t="shared" si="386"/>
        <v>-1.4639424250212789</v>
      </c>
      <c r="U501">
        <f t="shared" si="387"/>
        <v>0.5808376765252895</v>
      </c>
      <c r="V501">
        <f t="shared" si="388"/>
        <v>-0.95103895136682159</v>
      </c>
      <c r="X501">
        <f t="shared" si="405"/>
        <v>-48.642663340200158</v>
      </c>
      <c r="Y501">
        <f t="shared" si="389"/>
        <v>-178.00823607716089</v>
      </c>
      <c r="Z501">
        <f t="shared" si="406"/>
        <v>1.9917639228391124</v>
      </c>
      <c r="AC501">
        <v>1</v>
      </c>
      <c r="AD501">
        <f t="shared" si="390"/>
        <v>386.80231184595004</v>
      </c>
      <c r="AE501">
        <f t="shared" si="391"/>
        <v>-4.1850637328495539E-2</v>
      </c>
      <c r="AF501">
        <f t="shared" si="392"/>
        <v>2.9862220439015999E-2</v>
      </c>
      <c r="AG501">
        <f t="shared" si="421"/>
        <v>4354.1174006523543</v>
      </c>
      <c r="AH501">
        <f t="shared" si="422"/>
        <v>-6135.5982752376613</v>
      </c>
      <c r="AJ501">
        <f t="shared" si="393"/>
        <v>18000</v>
      </c>
      <c r="AK501">
        <f t="shared" si="394"/>
        <v>167812.69529316601</v>
      </c>
      <c r="AL501">
        <v>1</v>
      </c>
      <c r="AM501">
        <f t="shared" si="395"/>
        <v>366.371215374087</v>
      </c>
      <c r="AN501">
        <f t="shared" si="423"/>
        <v>458.17075191013043</v>
      </c>
      <c r="AO501">
        <f t="shared" si="424"/>
        <v>-47.87993300777903</v>
      </c>
      <c r="AQ501">
        <f t="shared" si="396"/>
        <v>1.2140488273441675E-3</v>
      </c>
      <c r="AR501">
        <f t="shared" si="397"/>
        <v>-3.4843201344777603</v>
      </c>
      <c r="AT501">
        <f t="shared" si="418"/>
        <v>-21373.102496353222</v>
      </c>
      <c r="AU501">
        <f t="shared" si="419"/>
        <v>-15178.587842864075</v>
      </c>
      <c r="AV501">
        <f t="shared" si="407"/>
        <v>-2.5240721403167647</v>
      </c>
      <c r="AW501">
        <f t="shared" si="408"/>
        <v>5153.9998239585611</v>
      </c>
      <c r="AX501">
        <f t="shared" si="409"/>
        <v>-8681.6439443931977</v>
      </c>
      <c r="AY501">
        <f t="shared" si="417"/>
        <v>-1.03504694187958</v>
      </c>
      <c r="BA501">
        <f t="shared" si="398"/>
        <v>2.5964522582639038</v>
      </c>
      <c r="BB501">
        <f t="shared" si="410"/>
        <v>8.2876068300664265</v>
      </c>
      <c r="BC501">
        <f t="shared" si="411"/>
        <v>-1.4890251984371847</v>
      </c>
      <c r="BD501">
        <f t="shared" si="399"/>
        <v>-265.31485955656706</v>
      </c>
      <c r="BF501">
        <f t="shared" si="400"/>
        <v>-64.615802075901357</v>
      </c>
      <c r="BG501">
        <f t="shared" si="401"/>
        <v>-214.65034192333906</v>
      </c>
      <c r="BH501">
        <f t="shared" si="412"/>
        <v>-34.650341923339056</v>
      </c>
      <c r="BI501">
        <f t="shared" si="413"/>
        <v>-34.650341923339056</v>
      </c>
      <c r="BJ501">
        <f t="shared" si="402"/>
        <v>0</v>
      </c>
      <c r="BK501">
        <f t="shared" si="414"/>
        <v>0</v>
      </c>
      <c r="BM501">
        <f t="shared" si="415"/>
        <v>-72.90340890596778</v>
      </c>
      <c r="BN501">
        <f t="shared" si="403"/>
        <v>-129.33548236677203</v>
      </c>
      <c r="BQ501" s="56">
        <f t="shared" si="416"/>
        <v>25.189567630351565</v>
      </c>
    </row>
    <row r="502" spans="1:69" x14ac:dyDescent="0.25">
      <c r="A502">
        <f t="shared" si="420"/>
        <v>1440000</v>
      </c>
      <c r="B502">
        <f t="shared" si="404"/>
        <v>1440</v>
      </c>
      <c r="C502">
        <f t="shared" si="373"/>
        <v>1.5785889548920018</v>
      </c>
      <c r="D502">
        <f t="shared" si="374"/>
        <v>0.8847575357047841</v>
      </c>
      <c r="F502">
        <f t="shared" si="375"/>
        <v>9.5137375046460801E-6</v>
      </c>
      <c r="G502">
        <f t="shared" si="376"/>
        <v>1.2063951657226896E-3</v>
      </c>
      <c r="H502">
        <f t="shared" si="377"/>
        <v>-3.1403862548342776</v>
      </c>
      <c r="J502">
        <f t="shared" si="378"/>
        <v>15</v>
      </c>
      <c r="M502">
        <f t="shared" si="379"/>
        <v>1.8539362949934722E-3</v>
      </c>
      <c r="N502">
        <f t="shared" si="380"/>
        <v>-1.5707963250000001</v>
      </c>
      <c r="O502">
        <f t="shared" si="381"/>
        <v>388.1513432522728</v>
      </c>
      <c r="P502">
        <f t="shared" si="382"/>
        <v>1.5682200092743714</v>
      </c>
      <c r="Q502">
        <f t="shared" si="383"/>
        <v>367.64913012634133</v>
      </c>
      <c r="R502">
        <f t="shared" si="384"/>
        <v>1.5680763387652412</v>
      </c>
      <c r="S502">
        <f t="shared" si="385"/>
        <v>0.10628455476430239</v>
      </c>
      <c r="T502">
        <f t="shared" si="386"/>
        <v>-1.4643106423337671</v>
      </c>
      <c r="U502">
        <f t="shared" si="387"/>
        <v>0.57949894076765018</v>
      </c>
      <c r="V502">
        <f t="shared" si="388"/>
        <v>-0.95268258758983038</v>
      </c>
      <c r="X502">
        <f t="shared" si="405"/>
        <v>-48.7047253904855</v>
      </c>
      <c r="Y502">
        <f t="shared" si="389"/>
        <v>-178.02497299655508</v>
      </c>
      <c r="Z502">
        <f t="shared" si="406"/>
        <v>1.9750270034449215</v>
      </c>
      <c r="AC502">
        <v>1</v>
      </c>
      <c r="AD502">
        <f t="shared" si="390"/>
        <v>388.15005509280002</v>
      </c>
      <c r="AE502">
        <f t="shared" si="391"/>
        <v>-4.2142787487704531E-2</v>
      </c>
      <c r="AF502">
        <f t="shared" si="392"/>
        <v>2.9966269987584001E-2</v>
      </c>
      <c r="AG502">
        <f t="shared" si="421"/>
        <v>4334.0694752764421</v>
      </c>
      <c r="AH502">
        <f t="shared" si="422"/>
        <v>-6128.5494968047142</v>
      </c>
      <c r="AJ502">
        <f t="shared" si="393"/>
        <v>18000</v>
      </c>
      <c r="AK502">
        <f t="shared" si="394"/>
        <v>168397.408517184</v>
      </c>
      <c r="AL502">
        <v>1</v>
      </c>
      <c r="AM502">
        <f t="shared" si="395"/>
        <v>367.64777013148802</v>
      </c>
      <c r="AN502">
        <f t="shared" si="423"/>
        <v>458.16984594424378</v>
      </c>
      <c r="AO502">
        <f t="shared" si="424"/>
        <v>-47.713685704613354</v>
      </c>
      <c r="AQ502">
        <f t="shared" si="396"/>
        <v>1.2056325706943755E-3</v>
      </c>
      <c r="AR502">
        <f t="shared" si="397"/>
        <v>-3.472221803599802</v>
      </c>
      <c r="AT502">
        <f t="shared" si="418"/>
        <v>-21274.457891922877</v>
      </c>
      <c r="AU502">
        <f t="shared" si="419"/>
        <v>-15056.239309255676</v>
      </c>
      <c r="AV502">
        <f t="shared" si="407"/>
        <v>-2.5257080096969839</v>
      </c>
      <c r="AW502">
        <f t="shared" si="408"/>
        <v>5132.7646444122001</v>
      </c>
      <c r="AX502">
        <f t="shared" si="409"/>
        <v>-8667.4142401742065</v>
      </c>
      <c r="AY502">
        <f t="shared" si="417"/>
        <v>-1.0361385299344772</v>
      </c>
      <c r="BA502">
        <f t="shared" si="398"/>
        <v>2.5873853497993955</v>
      </c>
      <c r="BB502">
        <f t="shared" si="410"/>
        <v>8.2572222954627588</v>
      </c>
      <c r="BC502">
        <f t="shared" si="411"/>
        <v>-1.4895694797625068</v>
      </c>
      <c r="BD502">
        <f t="shared" si="399"/>
        <v>-265.3460445794114</v>
      </c>
      <c r="BF502">
        <f t="shared" si="400"/>
        <v>-64.68854803652026</v>
      </c>
      <c r="BG502">
        <f t="shared" si="401"/>
        <v>-214.58405048170707</v>
      </c>
      <c r="BH502">
        <f t="shared" si="412"/>
        <v>-34.584050481707067</v>
      </c>
      <c r="BI502">
        <f t="shared" si="413"/>
        <v>-34.584050481707067</v>
      </c>
      <c r="BJ502">
        <f t="shared" si="402"/>
        <v>0</v>
      </c>
      <c r="BK502">
        <f t="shared" si="414"/>
        <v>0</v>
      </c>
      <c r="BM502">
        <f t="shared" si="415"/>
        <v>-72.945770331983013</v>
      </c>
      <c r="BN502">
        <f t="shared" si="403"/>
        <v>-129.2380059022957</v>
      </c>
      <c r="BQ502" s="56">
        <f t="shared" si="416"/>
        <v>25.159183095747895</v>
      </c>
    </row>
    <row r="503" spans="1:69" x14ac:dyDescent="0.25">
      <c r="A503">
        <f t="shared" si="420"/>
        <v>1445000</v>
      </c>
      <c r="B503">
        <f t="shared" si="404"/>
        <v>1445</v>
      </c>
      <c r="C503">
        <f t="shared" si="373"/>
        <v>1.5818728747132029</v>
      </c>
      <c r="D503">
        <f t="shared" si="374"/>
        <v>0.88645594833452734</v>
      </c>
      <c r="F503">
        <f t="shared" si="375"/>
        <v>9.4480118110161713E-6</v>
      </c>
      <c r="G503">
        <f t="shared" si="376"/>
        <v>1.202220711140516E-3</v>
      </c>
      <c r="H503">
        <f t="shared" si="377"/>
        <v>-3.1403904292888596</v>
      </c>
      <c r="J503">
        <f t="shared" si="378"/>
        <v>15</v>
      </c>
      <c r="M503">
        <f t="shared" si="379"/>
        <v>1.8475212905125257E-3</v>
      </c>
      <c r="N503">
        <f t="shared" si="380"/>
        <v>-1.5707963250000001</v>
      </c>
      <c r="O503">
        <f t="shared" si="381"/>
        <v>389.49908204183834</v>
      </c>
      <c r="P503">
        <f t="shared" si="382"/>
        <v>1.5682289238286262</v>
      </c>
      <c r="Q503">
        <f t="shared" si="383"/>
        <v>368.92568017789506</v>
      </c>
      <c r="R503">
        <f t="shared" si="384"/>
        <v>1.5680857504423471</v>
      </c>
      <c r="S503">
        <f t="shared" si="385"/>
        <v>0.1059209212840916</v>
      </c>
      <c r="T503">
        <f t="shared" si="386"/>
        <v>-1.464676340116994</v>
      </c>
      <c r="U503">
        <f t="shared" si="387"/>
        <v>0.57816481077849968</v>
      </c>
      <c r="V503">
        <f t="shared" si="388"/>
        <v>-0.95431866021449308</v>
      </c>
      <c r="X503">
        <f t="shared" si="405"/>
        <v>-48.766571050396323</v>
      </c>
      <c r="Y503">
        <f t="shared" si="389"/>
        <v>-178.04154327986225</v>
      </c>
      <c r="Z503">
        <f t="shared" si="406"/>
        <v>1.9584567201377467</v>
      </c>
      <c r="AC503">
        <v>1</v>
      </c>
      <c r="AD503">
        <f t="shared" si="390"/>
        <v>389.49779833964999</v>
      </c>
      <c r="AE503">
        <f t="shared" si="391"/>
        <v>-4.243595382138033E-2</v>
      </c>
      <c r="AF503">
        <f t="shared" si="392"/>
        <v>3.0070319536151999E-2</v>
      </c>
      <c r="AG503">
        <f t="shared" si="421"/>
        <v>4314.1365445535084</v>
      </c>
      <c r="AH503">
        <f t="shared" si="422"/>
        <v>-6121.4680130850829</v>
      </c>
      <c r="AJ503">
        <f t="shared" si="393"/>
        <v>18000</v>
      </c>
      <c r="AK503">
        <f t="shared" si="394"/>
        <v>168982.12174120202</v>
      </c>
      <c r="AL503">
        <v>1</v>
      </c>
      <c r="AM503">
        <f t="shared" si="395"/>
        <v>368.92432488888903</v>
      </c>
      <c r="AN503">
        <f t="shared" si="423"/>
        <v>458.16894936647503</v>
      </c>
      <c r="AO503">
        <f t="shared" si="424"/>
        <v>-47.548588876368335</v>
      </c>
      <c r="AQ503">
        <f t="shared" si="396"/>
        <v>1.1973035287767713E-3</v>
      </c>
      <c r="AR503">
        <f t="shared" si="397"/>
        <v>-3.460207198164869</v>
      </c>
      <c r="AT503">
        <f t="shared" si="418"/>
        <v>-21176.382351304586</v>
      </c>
      <c r="AU503">
        <f t="shared" si="419"/>
        <v>-14935.135580583525</v>
      </c>
      <c r="AV503">
        <f t="shared" si="407"/>
        <v>-2.527336369228224</v>
      </c>
      <c r="AW503">
        <f t="shared" si="408"/>
        <v>5111.6459418189497</v>
      </c>
      <c r="AX503">
        <f t="shared" si="409"/>
        <v>-8653.1920559970622</v>
      </c>
      <c r="AY503">
        <f t="shared" si="417"/>
        <v>-1.0372255301591506</v>
      </c>
      <c r="BA503">
        <f t="shared" si="398"/>
        <v>2.5783815406220119</v>
      </c>
      <c r="BB503">
        <f t="shared" si="410"/>
        <v>8.2269436655160852</v>
      </c>
      <c r="BC503">
        <f t="shared" si="411"/>
        <v>-1.4901108390690734</v>
      </c>
      <c r="BD503">
        <f t="shared" si="399"/>
        <v>-265.37706218291322</v>
      </c>
      <c r="BF503">
        <f t="shared" si="400"/>
        <v>-64.760991022632837</v>
      </c>
      <c r="BG503">
        <f t="shared" si="401"/>
        <v>-214.51799538817133</v>
      </c>
      <c r="BH503">
        <f t="shared" si="412"/>
        <v>-34.517995388171329</v>
      </c>
      <c r="BI503">
        <f t="shared" si="413"/>
        <v>-34.517995388171329</v>
      </c>
      <c r="BJ503">
        <f t="shared" si="402"/>
        <v>0</v>
      </c>
      <c r="BK503">
        <f t="shared" si="414"/>
        <v>0</v>
      </c>
      <c r="BM503">
        <f t="shared" si="415"/>
        <v>-72.987934688148911</v>
      </c>
      <c r="BN503">
        <f t="shared" si="403"/>
        <v>-129.14093320525811</v>
      </c>
      <c r="BQ503" s="56">
        <f t="shared" si="416"/>
        <v>25.128904465801224</v>
      </c>
    </row>
    <row r="504" spans="1:69" x14ac:dyDescent="0.25">
      <c r="A504">
        <f t="shared" si="420"/>
        <v>1450000</v>
      </c>
      <c r="B504">
        <f t="shared" si="404"/>
        <v>1450</v>
      </c>
      <c r="C504">
        <f t="shared" si="373"/>
        <v>1.585161338699554</v>
      </c>
      <c r="D504">
        <f t="shared" si="374"/>
        <v>0.88814731901209809</v>
      </c>
      <c r="F504">
        <f t="shared" si="375"/>
        <v>9.3829648734558822E-6</v>
      </c>
      <c r="G504">
        <f t="shared" si="376"/>
        <v>1.198075046691149E-3</v>
      </c>
      <c r="H504">
        <f t="shared" si="377"/>
        <v>-3.1403945749533091</v>
      </c>
      <c r="J504">
        <f t="shared" si="378"/>
        <v>15</v>
      </c>
      <c r="M504">
        <f t="shared" si="379"/>
        <v>1.8411505274417929E-3</v>
      </c>
      <c r="N504">
        <f t="shared" si="380"/>
        <v>-1.5707963250000001</v>
      </c>
      <c r="O504">
        <f t="shared" si="381"/>
        <v>390.84682086214355</v>
      </c>
      <c r="P504">
        <f t="shared" si="382"/>
        <v>1.5682377769036</v>
      </c>
      <c r="Q504">
        <f t="shared" si="383"/>
        <v>370.2022302619028</v>
      </c>
      <c r="R504">
        <f t="shared" si="384"/>
        <v>1.5680950972118104</v>
      </c>
      <c r="S504">
        <f t="shared" si="385"/>
        <v>0.10555975356003644</v>
      </c>
      <c r="T504">
        <f t="shared" si="386"/>
        <v>-1.4650395440458133</v>
      </c>
      <c r="U504">
        <f t="shared" si="387"/>
        <v>0.57683527617364216</v>
      </c>
      <c r="V504">
        <f t="shared" si="388"/>
        <v>-0.95594721263113014</v>
      </c>
      <c r="X504">
        <f t="shared" si="405"/>
        <v>-48.828201766628361</v>
      </c>
      <c r="Y504">
        <f t="shared" si="389"/>
        <v>-178.05794886567929</v>
      </c>
      <c r="Z504">
        <f t="shared" si="406"/>
        <v>1.9420511343207068</v>
      </c>
      <c r="AC504">
        <v>1</v>
      </c>
      <c r="AD504">
        <f t="shared" si="390"/>
        <v>390.84554158650002</v>
      </c>
      <c r="AE504">
        <f t="shared" si="391"/>
        <v>-4.2730136329522946E-2</v>
      </c>
      <c r="AF504">
        <f t="shared" si="392"/>
        <v>3.0174369084719998E-2</v>
      </c>
      <c r="AG504">
        <f t="shared" si="421"/>
        <v>4294.3179780514893</v>
      </c>
      <c r="AH504">
        <f t="shared" si="422"/>
        <v>-6114.3546075960476</v>
      </c>
      <c r="AJ504">
        <f t="shared" si="393"/>
        <v>18000</v>
      </c>
      <c r="AK504">
        <f t="shared" si="394"/>
        <v>169566.83496522001</v>
      </c>
      <c r="AL504">
        <v>1</v>
      </c>
      <c r="AM504">
        <f t="shared" si="395"/>
        <v>370.20087964629005</v>
      </c>
      <c r="AN504">
        <f t="shared" si="423"/>
        <v>458.16806204755795</v>
      </c>
      <c r="AO504">
        <f t="shared" si="424"/>
        <v>-47.384630621928444</v>
      </c>
      <c r="AQ504">
        <f t="shared" si="396"/>
        <v>1.1890605007062426E-3</v>
      </c>
      <c r="AR504">
        <f t="shared" si="397"/>
        <v>-3.4482754520481032</v>
      </c>
      <c r="AT504">
        <f t="shared" si="418"/>
        <v>-21078.872694605489</v>
      </c>
      <c r="AU504">
        <f t="shared" si="419"/>
        <v>-14815.261604554998</v>
      </c>
      <c r="AV504">
        <f t="shared" si="407"/>
        <v>-2.5289572617447837</v>
      </c>
      <c r="AW504">
        <f t="shared" si="408"/>
        <v>5090.6431765082871</v>
      </c>
      <c r="AX504">
        <f t="shared" si="409"/>
        <v>-8638.9778106890462</v>
      </c>
      <c r="AY504">
        <f t="shared" si="417"/>
        <v>-1.0383079546014105</v>
      </c>
      <c r="BA504">
        <f t="shared" si="398"/>
        <v>2.5694401727413014</v>
      </c>
      <c r="BB504">
        <f t="shared" si="410"/>
        <v>8.1967701991254511</v>
      </c>
      <c r="BC504">
        <f t="shared" si="411"/>
        <v>-1.4906493071433733</v>
      </c>
      <c r="BD504">
        <f t="shared" si="399"/>
        <v>-265.4079141310084</v>
      </c>
      <c r="BF504">
        <f t="shared" si="400"/>
        <v>-64.833133378845588</v>
      </c>
      <c r="BG504">
        <f t="shared" si="401"/>
        <v>-214.45217646381528</v>
      </c>
      <c r="BH504">
        <f t="shared" si="412"/>
        <v>-34.452176463815277</v>
      </c>
      <c r="BI504">
        <f t="shared" si="413"/>
        <v>-34.452176463815277</v>
      </c>
      <c r="BJ504">
        <f t="shared" si="402"/>
        <v>0</v>
      </c>
      <c r="BK504">
        <f t="shared" si="414"/>
        <v>0</v>
      </c>
      <c r="BM504">
        <f t="shared" si="415"/>
        <v>-73.029903577971027</v>
      </c>
      <c r="BN504">
        <f t="shared" si="403"/>
        <v>-129.04426233280688</v>
      </c>
      <c r="BQ504" s="56">
        <f t="shared" si="416"/>
        <v>25.098730999410588</v>
      </c>
    </row>
    <row r="505" spans="1:69" x14ac:dyDescent="0.25">
      <c r="A505">
        <f t="shared" si="420"/>
        <v>1455000</v>
      </c>
      <c r="B505">
        <f t="shared" si="404"/>
        <v>1455</v>
      </c>
      <c r="C505">
        <f t="shared" si="373"/>
        <v>1.5884543186286697</v>
      </c>
      <c r="D505">
        <f t="shared" si="374"/>
        <v>0.88983168182568873</v>
      </c>
      <c r="F505">
        <f t="shared" si="375"/>
        <v>9.3185873778967888E-6</v>
      </c>
      <c r="G505">
        <f t="shared" si="376"/>
        <v>1.1939578755582813E-3</v>
      </c>
      <c r="H505">
        <f t="shared" si="377"/>
        <v>-3.140398692124442</v>
      </c>
      <c r="J505">
        <f t="shared" si="378"/>
        <v>15</v>
      </c>
      <c r="M505">
        <f t="shared" si="379"/>
        <v>1.8348235496842612E-3</v>
      </c>
      <c r="N505">
        <f t="shared" si="380"/>
        <v>-1.5707963250000001</v>
      </c>
      <c r="O505">
        <f t="shared" si="381"/>
        <v>392.19455971287164</v>
      </c>
      <c r="P505">
        <f t="shared" si="382"/>
        <v>1.5682465691330949</v>
      </c>
      <c r="Q505">
        <f t="shared" si="383"/>
        <v>371.47878037802991</v>
      </c>
      <c r="R505">
        <f t="shared" si="384"/>
        <v>1.5681043797427756</v>
      </c>
      <c r="S505">
        <f t="shared" si="385"/>
        <v>0.10520102673916536</v>
      </c>
      <c r="T505">
        <f t="shared" si="386"/>
        <v>-1.465400279448724</v>
      </c>
      <c r="U505">
        <f t="shared" si="387"/>
        <v>0.57551032640796751</v>
      </c>
      <c r="V505">
        <f t="shared" si="388"/>
        <v>-0.95756828799165539</v>
      </c>
      <c r="X505">
        <f t="shared" si="405"/>
        <v>-48.88961897185537</v>
      </c>
      <c r="Y505">
        <f t="shared" si="389"/>
        <v>-178.0741916668882</v>
      </c>
      <c r="Z505">
        <f t="shared" si="406"/>
        <v>1.925808333111803</v>
      </c>
      <c r="AC505">
        <v>1</v>
      </c>
      <c r="AD505">
        <f t="shared" si="390"/>
        <v>392.19328483335005</v>
      </c>
      <c r="AE505">
        <f t="shared" si="391"/>
        <v>-4.3025335012132369E-2</v>
      </c>
      <c r="AF505">
        <f t="shared" si="392"/>
        <v>3.0278418633288E-2</v>
      </c>
      <c r="AG505">
        <f t="shared" si="421"/>
        <v>4274.6131460111201</v>
      </c>
      <c r="AH505">
        <f t="shared" si="422"/>
        <v>-6107.2100526114264</v>
      </c>
      <c r="AJ505">
        <f t="shared" si="393"/>
        <v>18000</v>
      </c>
      <c r="AK505">
        <f t="shared" si="394"/>
        <v>170151.548189238</v>
      </c>
      <c r="AL505">
        <v>1</v>
      </c>
      <c r="AM505">
        <f t="shared" si="395"/>
        <v>371.47743440369101</v>
      </c>
      <c r="AN505">
        <f t="shared" si="423"/>
        <v>458.16718386044352</v>
      </c>
      <c r="AO505">
        <f t="shared" si="424"/>
        <v>-47.221799203761435</v>
      </c>
      <c r="AQ505">
        <f t="shared" si="396"/>
        <v>1.1809023061959227E-3</v>
      </c>
      <c r="AR505">
        <f t="shared" si="397"/>
        <v>-3.4364257110301355</v>
      </c>
      <c r="AT505">
        <f t="shared" si="418"/>
        <v>-20981.925746933393</v>
      </c>
      <c r="AU505">
        <f t="shared" si="419"/>
        <v>-14696.60253809558</v>
      </c>
      <c r="AV505">
        <f t="shared" si="407"/>
        <v>-2.5305707298501972</v>
      </c>
      <c r="AW505">
        <f t="shared" si="408"/>
        <v>5069.7558067427053</v>
      </c>
      <c r="AX505">
        <f t="shared" si="409"/>
        <v>-8624.7719168002513</v>
      </c>
      <c r="AY505">
        <f t="shared" si="417"/>
        <v>-1.0393858155113496</v>
      </c>
      <c r="BA505">
        <f t="shared" si="398"/>
        <v>2.560560597297334</v>
      </c>
      <c r="BB505">
        <f t="shared" si="410"/>
        <v>8.1667011629509076</v>
      </c>
      <c r="BC505">
        <f t="shared" si="411"/>
        <v>-1.4911849143388476</v>
      </c>
      <c r="BD505">
        <f t="shared" si="399"/>
        <v>-265.43860216282098</v>
      </c>
      <c r="BF505">
        <f t="shared" si="400"/>
        <v>-64.904977424584331</v>
      </c>
      <c r="BG505">
        <f t="shared" si="401"/>
        <v>-214.38659351165978</v>
      </c>
      <c r="BH505">
        <f t="shared" si="412"/>
        <v>-34.386593511659783</v>
      </c>
      <c r="BI505">
        <f t="shared" si="413"/>
        <v>-34.386593511659783</v>
      </c>
      <c r="BJ505">
        <f t="shared" si="402"/>
        <v>0</v>
      </c>
      <c r="BK505">
        <f t="shared" si="414"/>
        <v>0</v>
      </c>
      <c r="BM505">
        <f t="shared" si="415"/>
        <v>-73.071678587535246</v>
      </c>
      <c r="BN505">
        <f t="shared" si="403"/>
        <v>-128.9479913488388</v>
      </c>
      <c r="BQ505" s="56">
        <f t="shared" si="416"/>
        <v>25.068661963236046</v>
      </c>
    </row>
    <row r="506" spans="1:69" x14ac:dyDescent="0.25">
      <c r="A506">
        <f t="shared" si="420"/>
        <v>1460000</v>
      </c>
      <c r="B506">
        <f t="shared" si="404"/>
        <v>1460</v>
      </c>
      <c r="C506">
        <f t="shared" si="373"/>
        <v>1.591751786473111</v>
      </c>
      <c r="D506">
        <f t="shared" si="374"/>
        <v>0.8915090707406591</v>
      </c>
      <c r="F506">
        <f t="shared" si="375"/>
        <v>9.2548701694871826E-6</v>
      </c>
      <c r="G506">
        <f t="shared" si="376"/>
        <v>1.1898689049917655E-3</v>
      </c>
      <c r="H506">
        <f t="shared" si="377"/>
        <v>-3.1404027810950086</v>
      </c>
      <c r="J506">
        <f t="shared" si="378"/>
        <v>15</v>
      </c>
      <c r="M506">
        <f t="shared" si="379"/>
        <v>1.8285399073908219E-3</v>
      </c>
      <c r="N506">
        <f t="shared" si="380"/>
        <v>-1.5707963250000001</v>
      </c>
      <c r="O506">
        <f t="shared" si="381"/>
        <v>393.54229859370997</v>
      </c>
      <c r="P506">
        <f t="shared" si="382"/>
        <v>1.56825530114223</v>
      </c>
      <c r="Q506">
        <f t="shared" si="383"/>
        <v>372.75533052594631</v>
      </c>
      <c r="R506">
        <f t="shared" si="384"/>
        <v>1.5681135986952206</v>
      </c>
      <c r="S506">
        <f t="shared" si="385"/>
        <v>0.10484471629945627</v>
      </c>
      <c r="T506">
        <f t="shared" si="386"/>
        <v>-1.46575857131367</v>
      </c>
      <c r="U506">
        <f t="shared" si="387"/>
        <v>0.57418995078007995</v>
      </c>
      <c r="V506">
        <f t="shared" si="388"/>
        <v>-0.95918192920984624</v>
      </c>
      <c r="X506">
        <f t="shared" si="405"/>
        <v>-48.950824084908085</v>
      </c>
      <c r="Y506">
        <f t="shared" si="389"/>
        <v>-178.09027357104193</v>
      </c>
      <c r="Z506">
        <f t="shared" si="406"/>
        <v>1.9097264289580664</v>
      </c>
      <c r="AC506">
        <v>1</v>
      </c>
      <c r="AD506">
        <f t="shared" si="390"/>
        <v>393.54102808020002</v>
      </c>
      <c r="AE506">
        <f t="shared" si="391"/>
        <v>-4.3321549869208609E-2</v>
      </c>
      <c r="AF506">
        <f t="shared" si="392"/>
        <v>3.0382468181855998E-2</v>
      </c>
      <c r="AG506">
        <f t="shared" si="421"/>
        <v>4255.0214194296314</v>
      </c>
      <c r="AH506">
        <f t="shared" si="422"/>
        <v>-6100.035109295387</v>
      </c>
      <c r="AJ506">
        <f t="shared" si="393"/>
        <v>18000</v>
      </c>
      <c r="AK506">
        <f t="shared" si="394"/>
        <v>170736.26141325603</v>
      </c>
      <c r="AL506">
        <v>1</v>
      </c>
      <c r="AM506">
        <f t="shared" si="395"/>
        <v>372.75398916109202</v>
      </c>
      <c r="AN506">
        <f t="shared" si="423"/>
        <v>458.16631468025474</v>
      </c>
      <c r="AO506">
        <f t="shared" si="424"/>
        <v>-47.06008304511731</v>
      </c>
      <c r="AQ506">
        <f t="shared" si="396"/>
        <v>1.1728277851346658E-3</v>
      </c>
      <c r="AR506">
        <f t="shared" si="397"/>
        <v>-3.4246571325932242</v>
      </c>
      <c r="AT506">
        <f t="shared" si="418"/>
        <v>-20885.538338770486</v>
      </c>
      <c r="AU506">
        <f t="shared" si="419"/>
        <v>-14579.14374405311</v>
      </c>
      <c r="AV506">
        <f t="shared" si="407"/>
        <v>-2.5321768159173734</v>
      </c>
      <c r="AW506">
        <f t="shared" si="408"/>
        <v>5048.9832888689971</v>
      </c>
      <c r="AX506">
        <f t="shared" si="409"/>
        <v>-8610.5747806453164</v>
      </c>
      <c r="AY506">
        <f t="shared" si="417"/>
        <v>-1.0404591253338666</v>
      </c>
      <c r="BA506">
        <f t="shared" si="398"/>
        <v>2.5517421744026763</v>
      </c>
      <c r="BB506">
        <f t="shared" si="410"/>
        <v>8.1367358313053426</v>
      </c>
      <c r="BC506">
        <f t="shared" si="411"/>
        <v>-1.4917176905835068</v>
      </c>
      <c r="BD506">
        <f t="shared" si="399"/>
        <v>-265.46912799309968</v>
      </c>
      <c r="BF506">
        <f t="shared" si="400"/>
        <v>-64.976525454435176</v>
      </c>
      <c r="BG506">
        <f t="shared" si="401"/>
        <v>-214.3212463171551</v>
      </c>
      <c r="BH506">
        <f t="shared" si="412"/>
        <v>-34.321246317155101</v>
      </c>
      <c r="BI506">
        <f t="shared" si="413"/>
        <v>-34.321246317155101</v>
      </c>
      <c r="BJ506">
        <f t="shared" si="402"/>
        <v>0</v>
      </c>
      <c r="BK506">
        <f t="shared" si="414"/>
        <v>0</v>
      </c>
      <c r="BM506">
        <f t="shared" si="415"/>
        <v>-73.113261285740535</v>
      </c>
      <c r="BN506">
        <f t="shared" si="403"/>
        <v>-128.85211832405543</v>
      </c>
      <c r="BQ506" s="56">
        <f t="shared" si="416"/>
        <v>25.038696631590479</v>
      </c>
    </row>
    <row r="507" spans="1:69" x14ac:dyDescent="0.25">
      <c r="A507">
        <f t="shared" si="420"/>
        <v>1465000</v>
      </c>
      <c r="B507">
        <f t="shared" si="404"/>
        <v>1465</v>
      </c>
      <c r="C507">
        <f t="shared" si="373"/>
        <v>1.5950537143991637</v>
      </c>
      <c r="D507">
        <f t="shared" si="374"/>
        <v>0.89317951959867159</v>
      </c>
      <c r="F507">
        <f t="shared" si="375"/>
        <v>9.1918042493371668E-6</v>
      </c>
      <c r="G507">
        <f t="shared" si="376"/>
        <v>1.1858078462382243E-3</v>
      </c>
      <c r="H507">
        <f t="shared" si="377"/>
        <v>-3.1404068421537619</v>
      </c>
      <c r="J507">
        <f t="shared" si="378"/>
        <v>15</v>
      </c>
      <c r="M507">
        <f t="shared" si="379"/>
        <v>1.8222991568536517E-3</v>
      </c>
      <c r="N507">
        <f t="shared" si="380"/>
        <v>-1.5707963250000001</v>
      </c>
      <c r="O507">
        <f t="shared" si="381"/>
        <v>394.89003750435035</v>
      </c>
      <c r="P507">
        <f t="shared" si="382"/>
        <v>1.5682639735475905</v>
      </c>
      <c r="Q507">
        <f t="shared" si="383"/>
        <v>374.03188070532667</v>
      </c>
      <c r="R507">
        <f t="shared" si="384"/>
        <v>1.5681227547201138</v>
      </c>
      <c r="S507">
        <f t="shared" si="385"/>
        <v>0.10449079804437908</v>
      </c>
      <c r="T507">
        <f t="shared" si="386"/>
        <v>-1.4661144442937226</v>
      </c>
      <c r="U507">
        <f t="shared" si="387"/>
        <v>0.5728741384368401</v>
      </c>
      <c r="V507">
        <f t="shared" si="388"/>
        <v>-0.96078817896164503</v>
      </c>
      <c r="X507">
        <f t="shared" si="405"/>
        <v>-49.011818510950562</v>
      </c>
      <c r="Y507">
        <f t="shared" si="389"/>
        <v>-178.10619644074339</v>
      </c>
      <c r="Z507">
        <f t="shared" si="406"/>
        <v>1.8938035592566109</v>
      </c>
      <c r="AC507">
        <v>1</v>
      </c>
      <c r="AD507">
        <f t="shared" si="390"/>
        <v>394.88877132705005</v>
      </c>
      <c r="AE507">
        <f t="shared" si="391"/>
        <v>-4.3618780900751671E-2</v>
      </c>
      <c r="AF507">
        <f t="shared" si="392"/>
        <v>3.0486517730424E-2</v>
      </c>
      <c r="AG507">
        <f t="shared" si="421"/>
        <v>4235.5421701420028</v>
      </c>
      <c r="AH507">
        <f t="shared" si="422"/>
        <v>-6092.8305278352591</v>
      </c>
      <c r="AJ507">
        <f t="shared" si="393"/>
        <v>18000</v>
      </c>
      <c r="AK507">
        <f t="shared" si="394"/>
        <v>171320.97463727402</v>
      </c>
      <c r="AL507">
        <v>1</v>
      </c>
      <c r="AM507">
        <f t="shared" si="395"/>
        <v>374.03054391849298</v>
      </c>
      <c r="AN507">
        <f t="shared" si="423"/>
        <v>458.16545438424134</v>
      </c>
      <c r="AO507">
        <f t="shared" si="424"/>
        <v>-46.899470727284758</v>
      </c>
      <c r="AQ507">
        <f t="shared" si="396"/>
        <v>1.1648357971745975E-3</v>
      </c>
      <c r="AR507">
        <f t="shared" si="397"/>
        <v>-3.412968885721571</v>
      </c>
      <c r="AT507">
        <f t="shared" si="418"/>
        <v>-20789.707306336051</v>
      </c>
      <c r="AU507">
        <f t="shared" si="419"/>
        <v>-14462.870787961218</v>
      </c>
      <c r="AV507">
        <f t="shared" si="407"/>
        <v>-2.5337755620887719</v>
      </c>
      <c r="AW507">
        <f t="shared" si="408"/>
        <v>5028.3250774654034</v>
      </c>
      <c r="AX507">
        <f t="shared" si="409"/>
        <v>-8596.3868023462801</v>
      </c>
      <c r="AY507">
        <f t="shared" si="417"/>
        <v>-1.0415278967013877</v>
      </c>
      <c r="BA507">
        <f t="shared" si="398"/>
        <v>2.5429842729876588</v>
      </c>
      <c r="BB507">
        <f t="shared" si="410"/>
        <v>8.1068734860482152</v>
      </c>
      <c r="BC507">
        <f t="shared" si="411"/>
        <v>-1.4922476653873842</v>
      </c>
      <c r="BD507">
        <f t="shared" si="399"/>
        <v>-265.4994933126448</v>
      </c>
      <c r="BF507">
        <f t="shared" si="400"/>
        <v>-65.047779738479676</v>
      </c>
      <c r="BG507">
        <f t="shared" si="401"/>
        <v>-214.25613464866152</v>
      </c>
      <c r="BH507">
        <f t="shared" si="412"/>
        <v>-34.256134648661515</v>
      </c>
      <c r="BI507">
        <f t="shared" si="413"/>
        <v>-34.256134648661515</v>
      </c>
      <c r="BJ507">
        <f t="shared" si="402"/>
        <v>0</v>
      </c>
      <c r="BK507">
        <f t="shared" si="414"/>
        <v>0</v>
      </c>
      <c r="BM507">
        <f t="shared" si="415"/>
        <v>-73.154653224527891</v>
      </c>
      <c r="BN507">
        <f t="shared" si="403"/>
        <v>-128.75664133601671</v>
      </c>
      <c r="BQ507" s="56">
        <f t="shared" si="416"/>
        <v>25.008834286333354</v>
      </c>
    </row>
    <row r="508" spans="1:69" x14ac:dyDescent="0.25">
      <c r="A508">
        <f t="shared" si="420"/>
        <v>1470000</v>
      </c>
      <c r="B508">
        <f t="shared" si="404"/>
        <v>1470</v>
      </c>
      <c r="C508">
        <f t="shared" si="373"/>
        <v>1.5983600747656197</v>
      </c>
      <c r="D508">
        <f t="shared" si="374"/>
        <v>0.89484306211686127</v>
      </c>
      <c r="F508">
        <f t="shared" si="375"/>
        <v>9.1293807713411154E-6</v>
      </c>
      <c r="G508">
        <f t="shared" si="376"/>
        <v>1.1817744144730718E-3</v>
      </c>
      <c r="H508">
        <f t="shared" si="377"/>
        <v>-3.1404108755855273</v>
      </c>
      <c r="J508">
        <f t="shared" si="378"/>
        <v>15</v>
      </c>
      <c r="M508">
        <f t="shared" si="379"/>
        <v>1.8161008604017685E-3</v>
      </c>
      <c r="N508">
        <f t="shared" si="380"/>
        <v>-1.5707963250000001</v>
      </c>
      <c r="O508">
        <f t="shared" si="381"/>
        <v>396.23777644448859</v>
      </c>
      <c r="P508">
        <f t="shared" si="382"/>
        <v>1.5682725869573735</v>
      </c>
      <c r="Q508">
        <f t="shared" si="383"/>
        <v>375.30843091584984</v>
      </c>
      <c r="R508">
        <f t="shared" si="384"/>
        <v>1.5681318484595672</v>
      </c>
      <c r="S508">
        <f t="shared" si="385"/>
        <v>0.10413924809754466</v>
      </c>
      <c r="T508">
        <f t="shared" si="386"/>
        <v>-1.4664679227126498</v>
      </c>
      <c r="U508">
        <f t="shared" si="387"/>
        <v>0.57156287837782405</v>
      </c>
      <c r="V508">
        <f t="shared" si="388"/>
        <v>-0.96238707968549142</v>
      </c>
      <c r="X508">
        <f t="shared" si="405"/>
        <v>-49.072603641653529</v>
      </c>
      <c r="Y508">
        <f t="shared" si="389"/>
        <v>-178.12196211401749</v>
      </c>
      <c r="Z508">
        <f t="shared" si="406"/>
        <v>1.8780378859825078</v>
      </c>
      <c r="AC508">
        <v>1</v>
      </c>
      <c r="AD508">
        <f t="shared" si="390"/>
        <v>396.23651457390002</v>
      </c>
      <c r="AE508">
        <f t="shared" si="391"/>
        <v>-4.3917028106761534E-2</v>
      </c>
      <c r="AF508">
        <f t="shared" si="392"/>
        <v>3.0590567278991999E-2</v>
      </c>
      <c r="AG508">
        <f t="shared" si="421"/>
        <v>4216.1747708998046</v>
      </c>
      <c r="AH508">
        <f t="shared" si="422"/>
        <v>-6085.5970475732838</v>
      </c>
      <c r="AJ508">
        <f t="shared" si="393"/>
        <v>18000</v>
      </c>
      <c r="AK508">
        <f t="shared" si="394"/>
        <v>171905.68786129201</v>
      </c>
      <c r="AL508">
        <v>1</v>
      </c>
      <c r="AM508">
        <f t="shared" si="395"/>
        <v>375.307098675894</v>
      </c>
      <c r="AN508">
        <f t="shared" si="423"/>
        <v>458.16460285173775</v>
      </c>
      <c r="AO508">
        <f t="shared" si="424"/>
        <v>-46.739950986903551</v>
      </c>
      <c r="AQ508">
        <f t="shared" si="396"/>
        <v>1.1569252213284719E-3</v>
      </c>
      <c r="AR508">
        <f t="shared" si="397"/>
        <v>-3.401360150705707</v>
      </c>
      <c r="AT508">
        <f t="shared" si="418"/>
        <v>-20694.429491938088</v>
      </c>
      <c r="AU508">
        <f t="shared" si="419"/>
        <v>-14347.769434860538</v>
      </c>
      <c r="AV508">
        <f t="shared" si="407"/>
        <v>-2.5353670102766066</v>
      </c>
      <c r="AW508">
        <f t="shared" si="408"/>
        <v>5007.7806254847519</v>
      </c>
      <c r="AX508">
        <f t="shared" si="409"/>
        <v>-8582.208375876382</v>
      </c>
      <c r="AY508">
        <f t="shared" si="417"/>
        <v>-1.042592142426773</v>
      </c>
      <c r="BA508">
        <f t="shared" si="398"/>
        <v>2.5342862706488241</v>
      </c>
      <c r="BB508">
        <f t="shared" si="410"/>
        <v>8.0771134164811169</v>
      </c>
      <c r="BC508">
        <f t="shared" si="411"/>
        <v>-1.4927748678498336</v>
      </c>
      <c r="BD508">
        <f t="shared" si="399"/>
        <v>-265.52969978872659</v>
      </c>
      <c r="BF508">
        <f t="shared" si="400"/>
        <v>-65.118742522624643</v>
      </c>
      <c r="BG508">
        <f t="shared" si="401"/>
        <v>-214.19125825791892</v>
      </c>
      <c r="BH508">
        <f t="shared" si="412"/>
        <v>-34.191258257918918</v>
      </c>
      <c r="BI508">
        <f t="shared" si="413"/>
        <v>-34.191258257918918</v>
      </c>
      <c r="BJ508">
        <f t="shared" si="402"/>
        <v>0</v>
      </c>
      <c r="BK508">
        <f t="shared" si="414"/>
        <v>0</v>
      </c>
      <c r="BM508">
        <f t="shared" si="415"/>
        <v>-73.195855939105755</v>
      </c>
      <c r="BN508">
        <f t="shared" si="403"/>
        <v>-128.66155846919233</v>
      </c>
      <c r="BQ508" s="56">
        <f t="shared" si="416"/>
        <v>24.979074216766254</v>
      </c>
    </row>
    <row r="509" spans="1:69" x14ac:dyDescent="0.25">
      <c r="A509">
        <f t="shared" si="420"/>
        <v>1475000</v>
      </c>
      <c r="B509">
        <f t="shared" si="404"/>
        <v>1475</v>
      </c>
      <c r="C509">
        <f t="shared" si="373"/>
        <v>1.6016708401225597</v>
      </c>
      <c r="D509">
        <f t="shared" si="374"/>
        <v>0.89649973188704002</v>
      </c>
      <c r="F509">
        <f t="shared" si="375"/>
        <v>9.0675910390754287E-6</v>
      </c>
      <c r="G509">
        <f t="shared" si="376"/>
        <v>1.1777683287339229E-3</v>
      </c>
      <c r="H509">
        <f t="shared" si="377"/>
        <v>-3.1404148816712665</v>
      </c>
      <c r="J509">
        <f t="shared" si="378"/>
        <v>15</v>
      </c>
      <c r="M509">
        <f t="shared" si="379"/>
        <v>1.8099445862987116E-3</v>
      </c>
      <c r="N509">
        <f t="shared" si="380"/>
        <v>-1.5707963250000001</v>
      </c>
      <c r="O509">
        <f t="shared" si="381"/>
        <v>397.58551541382468</v>
      </c>
      <c r="P509">
        <f t="shared" si="382"/>
        <v>1.5682811419715283</v>
      </c>
      <c r="Q509">
        <f t="shared" si="383"/>
        <v>376.58498115719919</v>
      </c>
      <c r="R509">
        <f t="shared" si="384"/>
        <v>1.5681408805469859</v>
      </c>
      <c r="S509">
        <f t="shared" si="385"/>
        <v>0.10379004289745873</v>
      </c>
      <c r="T509">
        <f t="shared" si="386"/>
        <v>-1.466819030570377</v>
      </c>
      <c r="U509">
        <f t="shared" si="387"/>
        <v>0.57025615945969998</v>
      </c>
      <c r="V509">
        <f t="shared" si="388"/>
        <v>-0.96397867358268374</v>
      </c>
      <c r="X509">
        <f t="shared" si="405"/>
        <v>-49.133180855364998</v>
      </c>
      <c r="Y509">
        <f t="shared" si="389"/>
        <v>-178.13757240467794</v>
      </c>
      <c r="Z509">
        <f t="shared" si="406"/>
        <v>1.8624275953220604</v>
      </c>
      <c r="AC509">
        <v>1</v>
      </c>
      <c r="AD509">
        <f t="shared" si="390"/>
        <v>397.58425782075</v>
      </c>
      <c r="AE509">
        <f t="shared" si="391"/>
        <v>-4.421629148723822E-2</v>
      </c>
      <c r="AF509">
        <f t="shared" si="392"/>
        <v>3.0694616827559997E-2</v>
      </c>
      <c r="AG509">
        <f t="shared" si="421"/>
        <v>4196.9185954476816</v>
      </c>
      <c r="AH509">
        <f t="shared" si="422"/>
        <v>-6078.3353971373317</v>
      </c>
      <c r="AJ509">
        <f t="shared" si="393"/>
        <v>18000</v>
      </c>
      <c r="AK509">
        <f t="shared" si="394"/>
        <v>172490.40108531</v>
      </c>
      <c r="AL509">
        <v>1</v>
      </c>
      <c r="AM509">
        <f t="shared" si="395"/>
        <v>376.58365343329496</v>
      </c>
      <c r="AN509">
        <f t="shared" si="423"/>
        <v>458.16375996411955</v>
      </c>
      <c r="AO509">
        <f t="shared" si="424"/>
        <v>-46.581512713331577</v>
      </c>
      <c r="AQ509">
        <f t="shared" si="396"/>
        <v>1.1490949555765637E-3</v>
      </c>
      <c r="AR509">
        <f t="shared" si="397"/>
        <v>-3.3898301189508624</v>
      </c>
      <c r="AT509">
        <f t="shared" si="418"/>
        <v>-20599.701744314283</v>
      </c>
      <c r="AU509">
        <f t="shared" si="419"/>
        <v>-14233.825646176654</v>
      </c>
      <c r="AV509">
        <f t="shared" si="407"/>
        <v>-2.5369512021630851</v>
      </c>
      <c r="AW509">
        <f t="shared" si="408"/>
        <v>4987.3493843936476</v>
      </c>
      <c r="AX509">
        <f t="shared" si="409"/>
        <v>-8568.0398891048317</v>
      </c>
      <c r="AY509">
        <f t="shared" si="417"/>
        <v>-1.0436518754964113</v>
      </c>
      <c r="BA509">
        <f t="shared" si="398"/>
        <v>2.5256475535004954</v>
      </c>
      <c r="BB509">
        <f t="shared" si="410"/>
        <v>8.0474549192451192</v>
      </c>
      <c r="BC509">
        <f t="shared" si="411"/>
        <v>-1.4932993266666739</v>
      </c>
      <c r="BD509">
        <f t="shared" si="399"/>
        <v>-265.55974906549432</v>
      </c>
      <c r="BF509">
        <f t="shared" si="400"/>
        <v>-65.189416028926559</v>
      </c>
      <c r="BG509">
        <f t="shared" si="401"/>
        <v>-214.12661688050545</v>
      </c>
      <c r="BH509">
        <f t="shared" si="412"/>
        <v>-34.126616880505452</v>
      </c>
      <c r="BI509">
        <f t="shared" si="413"/>
        <v>-34.126616880505452</v>
      </c>
      <c r="BJ509">
        <f t="shared" si="402"/>
        <v>0</v>
      </c>
      <c r="BK509">
        <f t="shared" si="414"/>
        <v>0</v>
      </c>
      <c r="BM509">
        <f t="shared" si="415"/>
        <v>-73.236870948171671</v>
      </c>
      <c r="BN509">
        <f t="shared" si="403"/>
        <v>-128.56686781501119</v>
      </c>
      <c r="BQ509" s="56">
        <f t="shared" si="416"/>
        <v>24.949415719530258</v>
      </c>
    </row>
    <row r="510" spans="1:69" x14ac:dyDescent="0.25">
      <c r="A510">
        <f t="shared" si="420"/>
        <v>1480000</v>
      </c>
      <c r="B510">
        <f t="shared" si="404"/>
        <v>1480</v>
      </c>
      <c r="C510">
        <f t="shared" si="373"/>
        <v>1.6049859832101381</v>
      </c>
      <c r="D510">
        <f t="shared" si="374"/>
        <v>0.89814956237493537</v>
      </c>
      <c r="F510">
        <f t="shared" si="375"/>
        <v>9.0064265027695011E-6</v>
      </c>
      <c r="G510">
        <f t="shared" si="376"/>
        <v>1.1737893118553494E-3</v>
      </c>
      <c r="H510">
        <f t="shared" si="377"/>
        <v>-3.1404188606881447</v>
      </c>
      <c r="J510">
        <f t="shared" si="378"/>
        <v>15</v>
      </c>
      <c r="M510">
        <f t="shared" si="379"/>
        <v>1.8038299086422973E-3</v>
      </c>
      <c r="N510">
        <f t="shared" si="380"/>
        <v>-1.5707963250000001</v>
      </c>
      <c r="O510">
        <f t="shared" si="381"/>
        <v>398.93325441206281</v>
      </c>
      <c r="P510">
        <f t="shared" si="382"/>
        <v>1.5682896391818981</v>
      </c>
      <c r="Q510">
        <f t="shared" si="383"/>
        <v>377.86153142906215</v>
      </c>
      <c r="R510">
        <f t="shared" si="384"/>
        <v>1.5681498516072157</v>
      </c>
      <c r="S510">
        <f t="shared" si="385"/>
        <v>0.10344315919237791</v>
      </c>
      <c r="T510">
        <f t="shared" si="386"/>
        <v>-1.4671677915483381</v>
      </c>
      <c r="U510">
        <f t="shared" si="387"/>
        <v>0.56895397040052254</v>
      </c>
      <c r="V510">
        <f t="shared" si="388"/>
        <v>-0.9655630026177684</v>
      </c>
      <c r="X510">
        <f t="shared" si="405"/>
        <v>-49.193551517278195</v>
      </c>
      <c r="Y510">
        <f t="shared" si="389"/>
        <v>-178.15302910268659</v>
      </c>
      <c r="Z510">
        <f t="shared" si="406"/>
        <v>1.8469708973134118</v>
      </c>
      <c r="AC510">
        <v>1</v>
      </c>
      <c r="AD510">
        <f t="shared" si="390"/>
        <v>398.93200106760003</v>
      </c>
      <c r="AE510">
        <f t="shared" si="391"/>
        <v>-4.4516571042181714E-2</v>
      </c>
      <c r="AF510">
        <f t="shared" si="392"/>
        <v>3.0798666376127999E-2</v>
      </c>
      <c r="AG510">
        <f t="shared" si="421"/>
        <v>4177.7730185975406</v>
      </c>
      <c r="AH510">
        <f t="shared" si="422"/>
        <v>-6071.0462945705785</v>
      </c>
      <c r="AJ510">
        <f t="shared" si="393"/>
        <v>18000</v>
      </c>
      <c r="AK510">
        <f t="shared" si="394"/>
        <v>173075.114309328</v>
      </c>
      <c r="AL510">
        <v>1</v>
      </c>
      <c r="AM510">
        <f t="shared" si="395"/>
        <v>377.86020819069597</v>
      </c>
      <c r="AN510">
        <f t="shared" si="423"/>
        <v>458.16292560476285</v>
      </c>
      <c r="AO510">
        <f t="shared" si="424"/>
        <v>-46.424144946065176</v>
      </c>
      <c r="AQ510">
        <f t="shared" si="396"/>
        <v>1.1413439164828438E-3</v>
      </c>
      <c r="AR510">
        <f t="shared" si="397"/>
        <v>-3.3783779927892175</v>
      </c>
      <c r="AT510">
        <f t="shared" si="418"/>
        <v>-20505.520918962542</v>
      </c>
      <c r="AU510">
        <f t="shared" si="419"/>
        <v>-14121.025576653503</v>
      </c>
      <c r="AV510">
        <f t="shared" si="407"/>
        <v>-2.5385281792006786</v>
      </c>
      <c r="AW510">
        <f t="shared" si="408"/>
        <v>4967.0308043078194</v>
      </c>
      <c r="AX510">
        <f t="shared" si="409"/>
        <v>-8553.8817238424599</v>
      </c>
      <c r="AY510">
        <f t="shared" si="417"/>
        <v>-1.0447071090634941</v>
      </c>
      <c r="BA510">
        <f t="shared" si="398"/>
        <v>2.5170675160293938</v>
      </c>
      <c r="BB510">
        <f t="shared" si="410"/>
        <v>8.0178972982199213</v>
      </c>
      <c r="BC510">
        <f t="shared" si="411"/>
        <v>-1.4938210701371846</v>
      </c>
      <c r="BD510">
        <f t="shared" si="399"/>
        <v>-265.58964276437723</v>
      </c>
      <c r="BF510">
        <f t="shared" si="400"/>
        <v>-65.259802455910616</v>
      </c>
      <c r="BG510">
        <f t="shared" si="401"/>
        <v>-214.06221023628598</v>
      </c>
      <c r="BH510">
        <f t="shared" si="412"/>
        <v>-34.062210236285978</v>
      </c>
      <c r="BI510">
        <f t="shared" si="413"/>
        <v>-34.062210236285978</v>
      </c>
      <c r="BJ510">
        <f t="shared" si="402"/>
        <v>0</v>
      </c>
      <c r="BK510">
        <f t="shared" si="414"/>
        <v>0</v>
      </c>
      <c r="BM510">
        <f t="shared" si="415"/>
        <v>-73.277699754130538</v>
      </c>
      <c r="BN510">
        <f t="shared" si="403"/>
        <v>-128.47256747190875</v>
      </c>
      <c r="BQ510" s="56">
        <f t="shared" si="416"/>
        <v>24.91985809850506</v>
      </c>
    </row>
    <row r="511" spans="1:69" x14ac:dyDescent="0.25">
      <c r="A511">
        <f t="shared" si="420"/>
        <v>1485000</v>
      </c>
      <c r="B511">
        <f t="shared" si="404"/>
        <v>1485</v>
      </c>
      <c r="C511">
        <f t="shared" si="373"/>
        <v>1.6083054769573726</v>
      </c>
      <c r="D511">
        <f t="shared" si="374"/>
        <v>0.89979258691946162</v>
      </c>
      <c r="F511">
        <f t="shared" si="375"/>
        <v>8.9458787563479804E-6</v>
      </c>
      <c r="G511">
        <f t="shared" si="376"/>
        <v>1.1698370904049528E-3</v>
      </c>
      <c r="H511">
        <f t="shared" si="377"/>
        <v>-3.1404228129095952</v>
      </c>
      <c r="J511">
        <f t="shared" si="378"/>
        <v>15</v>
      </c>
      <c r="M511">
        <f t="shared" si="379"/>
        <v>1.7977564072663972E-3</v>
      </c>
      <c r="N511">
        <f t="shared" si="380"/>
        <v>-1.5707963250000001</v>
      </c>
      <c r="O511">
        <f t="shared" si="381"/>
        <v>400.28099343891097</v>
      </c>
      <c r="P511">
        <f t="shared" si="382"/>
        <v>1.5682980791723544</v>
      </c>
      <c r="Q511">
        <f t="shared" si="383"/>
        <v>379.13808173113063</v>
      </c>
      <c r="R511">
        <f t="shared" si="384"/>
        <v>1.5681587622566873</v>
      </c>
      <c r="S511">
        <f t="shared" si="385"/>
        <v>0.10309857403526555</v>
      </c>
      <c r="T511">
        <f t="shared" si="386"/>
        <v>-1.4675142290147216</v>
      </c>
      <c r="U511">
        <f t="shared" si="387"/>
        <v>0.56765629978394805</v>
      </c>
      <c r="V511">
        <f t="shared" si="388"/>
        <v>-0.96714010851895804</v>
      </c>
      <c r="X511">
        <f t="shared" si="405"/>
        <v>-49.253716979596703</v>
      </c>
      <c r="Y511">
        <f t="shared" si="389"/>
        <v>-178.16833397450773</v>
      </c>
      <c r="Z511">
        <f t="shared" si="406"/>
        <v>1.8316660254922681</v>
      </c>
      <c r="AC511">
        <v>1</v>
      </c>
      <c r="AD511">
        <f t="shared" si="390"/>
        <v>400.27974431445</v>
      </c>
      <c r="AE511">
        <f t="shared" si="391"/>
        <v>-4.4817866771592031E-2</v>
      </c>
      <c r="AF511">
        <f t="shared" si="392"/>
        <v>3.0902715924695998E-2</v>
      </c>
      <c r="AG511">
        <f t="shared" si="421"/>
        <v>4158.7374163004633</v>
      </c>
      <c r="AH511">
        <f t="shared" si="422"/>
        <v>-6063.7304474600933</v>
      </c>
      <c r="AJ511">
        <f t="shared" si="393"/>
        <v>18000</v>
      </c>
      <c r="AK511">
        <f t="shared" si="394"/>
        <v>173659.82753334602</v>
      </c>
      <c r="AL511">
        <v>1</v>
      </c>
      <c r="AM511">
        <f t="shared" si="395"/>
        <v>379.13676294809699</v>
      </c>
      <c r="AN511">
        <f t="shared" si="423"/>
        <v>458.16209965900413</v>
      </c>
      <c r="AO511">
        <f t="shared" si="424"/>
        <v>-46.267836872211824</v>
      </c>
      <c r="AQ511">
        <f t="shared" si="396"/>
        <v>1.133671038820184E-3</v>
      </c>
      <c r="AR511">
        <f t="shared" si="397"/>
        <v>-3.3670029852959464</v>
      </c>
      <c r="AT511">
        <f t="shared" si="418"/>
        <v>-20411.883878461143</v>
      </c>
      <c r="AU511">
        <f t="shared" si="419"/>
        <v>-14009.355571341108</v>
      </c>
      <c r="AV511">
        <f t="shared" si="407"/>
        <v>-2.5400979826124201</v>
      </c>
      <c r="AW511">
        <f t="shared" si="408"/>
        <v>4946.8243341237148</v>
      </c>
      <c r="AX511">
        <f t="shared" si="409"/>
        <v>-8539.7342558881755</v>
      </c>
      <c r="AY511">
        <f t="shared" si="417"/>
        <v>-1.0457578564414653</v>
      </c>
      <c r="BA511">
        <f t="shared" si="398"/>
        <v>2.5085455609522169</v>
      </c>
      <c r="BB511">
        <f t="shared" si="410"/>
        <v>7.988439864424695</v>
      </c>
      <c r="BC511">
        <f t="shared" si="411"/>
        <v>-1.4943401261709548</v>
      </c>
      <c r="BD511">
        <f t="shared" si="399"/>
        <v>-265.61938248447706</v>
      </c>
      <c r="BF511">
        <f t="shared" si="400"/>
        <v>-65.329903978884715</v>
      </c>
      <c r="BG511">
        <f t="shared" si="401"/>
        <v>-213.99803802984954</v>
      </c>
      <c r="BH511">
        <f t="shared" si="412"/>
        <v>-33.998038029849539</v>
      </c>
      <c r="BI511">
        <f t="shared" si="413"/>
        <v>-33.998038029849539</v>
      </c>
      <c r="BJ511">
        <f t="shared" si="402"/>
        <v>0</v>
      </c>
      <c r="BK511">
        <f t="shared" si="414"/>
        <v>0</v>
      </c>
      <c r="BM511">
        <f t="shared" si="415"/>
        <v>-73.318343843309407</v>
      </c>
      <c r="BN511">
        <f t="shared" si="403"/>
        <v>-128.37865554537251</v>
      </c>
      <c r="BQ511" s="56">
        <f t="shared" si="416"/>
        <v>24.89040066470983</v>
      </c>
    </row>
    <row r="512" spans="1:69" x14ac:dyDescent="0.25">
      <c r="A512">
        <f t="shared" si="420"/>
        <v>1490000</v>
      </c>
      <c r="B512">
        <f t="shared" si="404"/>
        <v>1490</v>
      </c>
      <c r="C512">
        <f t="shared" si="373"/>
        <v>1.6116292944809327</v>
      </c>
      <c r="D512">
        <f t="shared" si="374"/>
        <v>0.9014288387320244</v>
      </c>
      <c r="F512">
        <f t="shared" si="375"/>
        <v>8.8859395345423818E-6</v>
      </c>
      <c r="G512">
        <f t="shared" si="376"/>
        <v>1.165911394620729E-3</v>
      </c>
      <c r="H512">
        <f t="shared" si="377"/>
        <v>-3.1404267386053797</v>
      </c>
      <c r="J512">
        <f t="shared" si="378"/>
        <v>15</v>
      </c>
      <c r="M512">
        <f t="shared" si="379"/>
        <v>1.7917236676446978E-3</v>
      </c>
      <c r="N512">
        <f t="shared" si="380"/>
        <v>-1.5707963250000001</v>
      </c>
      <c r="O512">
        <f t="shared" si="381"/>
        <v>401.62873249408119</v>
      </c>
      <c r="P512">
        <f t="shared" si="382"/>
        <v>1.5683064625189316</v>
      </c>
      <c r="Q512">
        <f t="shared" si="383"/>
        <v>380.41463206310056</v>
      </c>
      <c r="R512">
        <f t="shared" si="384"/>
        <v>1.5681676131035569</v>
      </c>
      <c r="S512">
        <f t="shared" si="385"/>
        <v>0.10275626477884525</v>
      </c>
      <c r="T512">
        <f t="shared" si="386"/>
        <v>-1.4678583660296152</v>
      </c>
      <c r="U512">
        <f t="shared" si="387"/>
        <v>0.56636313606336963</v>
      </c>
      <c r="V512">
        <f t="shared" si="388"/>
        <v>-0.96871003277857504</v>
      </c>
      <c r="X512">
        <f t="shared" si="405"/>
        <v>-49.313678581697161</v>
      </c>
      <c r="Y512">
        <f t="shared" si="389"/>
        <v>-178.18348876345578</v>
      </c>
      <c r="Z512">
        <f t="shared" si="406"/>
        <v>1.8165112365442155</v>
      </c>
      <c r="AC512">
        <v>1</v>
      </c>
      <c r="AD512">
        <f t="shared" si="390"/>
        <v>401.62748756130003</v>
      </c>
      <c r="AE512">
        <f t="shared" si="391"/>
        <v>-4.512017867546915E-2</v>
      </c>
      <c r="AF512">
        <f t="shared" si="392"/>
        <v>3.1006765473264003E-2</v>
      </c>
      <c r="AG512">
        <f t="shared" si="421"/>
        <v>4139.8111657164382</v>
      </c>
      <c r="AH512">
        <f t="shared" si="422"/>
        <v>-6056.3885530643774</v>
      </c>
      <c r="AJ512">
        <f t="shared" si="393"/>
        <v>18000</v>
      </c>
      <c r="AK512">
        <f t="shared" si="394"/>
        <v>174244.54075736401</v>
      </c>
      <c r="AL512">
        <v>1</v>
      </c>
      <c r="AM512">
        <f t="shared" si="395"/>
        <v>380.413317705498</v>
      </c>
      <c r="AN512">
        <f t="shared" si="423"/>
        <v>458.16128201409987</v>
      </c>
      <c r="AO512">
        <f t="shared" si="424"/>
        <v>-46.112577824013378</v>
      </c>
      <c r="AQ512">
        <f t="shared" si="396"/>
        <v>1.1260752752043517E-3</v>
      </c>
      <c r="AR512">
        <f t="shared" si="397"/>
        <v>-3.355704320108968</v>
      </c>
      <c r="AT512">
        <f t="shared" si="418"/>
        <v>-20318.787492778905</v>
      </c>
      <c r="AU512">
        <f t="shared" si="419"/>
        <v>-13898.80216263663</v>
      </c>
      <c r="AV512">
        <f t="shared" si="407"/>
        <v>-2.5416606533922339</v>
      </c>
      <c r="AW512">
        <f t="shared" si="408"/>
        <v>4926.7294216464315</v>
      </c>
      <c r="AX512">
        <f t="shared" si="409"/>
        <v>-8525.5978550761884</v>
      </c>
      <c r="AY512">
        <f t="shared" si="417"/>
        <v>-1.0468041310976401</v>
      </c>
      <c r="BA512">
        <f t="shared" si="398"/>
        <v>2.5000810990761231</v>
      </c>
      <c r="BB512">
        <f t="shared" si="410"/>
        <v>7.9590819359206231</v>
      </c>
      <c r="BC512">
        <f t="shared" si="411"/>
        <v>-1.4948565222945938</v>
      </c>
      <c r="BD512">
        <f t="shared" si="399"/>
        <v>-265.64896980295231</v>
      </c>
      <c r="BF512">
        <f t="shared" si="400"/>
        <v>-65.399722750248245</v>
      </c>
      <c r="BG512">
        <f t="shared" si="401"/>
        <v>-213.93409995093754</v>
      </c>
      <c r="BH512">
        <f t="shared" si="412"/>
        <v>-33.934099950937537</v>
      </c>
      <c r="BI512">
        <f t="shared" si="413"/>
        <v>-33.934099950937537</v>
      </c>
      <c r="BJ512">
        <f t="shared" si="402"/>
        <v>0</v>
      </c>
      <c r="BK512">
        <f t="shared" si="414"/>
        <v>0</v>
      </c>
      <c r="BM512">
        <f t="shared" si="415"/>
        <v>-73.358804686168867</v>
      </c>
      <c r="BN512">
        <f t="shared" si="403"/>
        <v>-128.28513014798526</v>
      </c>
      <c r="BQ512" s="56">
        <f t="shared" si="416"/>
        <v>24.861042736205761</v>
      </c>
    </row>
    <row r="513" spans="1:69" x14ac:dyDescent="0.25">
      <c r="A513">
        <f t="shared" si="420"/>
        <v>1495000</v>
      </c>
      <c r="B513">
        <f t="shared" si="404"/>
        <v>1495</v>
      </c>
      <c r="C513">
        <f t="shared" si="373"/>
        <v>1.6149574090839349</v>
      </c>
      <c r="D513">
        <f t="shared" si="374"/>
        <v>0.90305835089585607</v>
      </c>
      <c r="F513">
        <f t="shared" si="375"/>
        <v>8.8266007100702128E-6</v>
      </c>
      <c r="G513">
        <f t="shared" si="376"/>
        <v>1.1620119583496862E-3</v>
      </c>
      <c r="H513">
        <f t="shared" si="377"/>
        <v>-3.1404306380416505</v>
      </c>
      <c r="J513">
        <f t="shared" si="378"/>
        <v>15</v>
      </c>
      <c r="M513">
        <f t="shared" si="379"/>
        <v>1.7857312807963877E-3</v>
      </c>
      <c r="N513">
        <f t="shared" si="380"/>
        <v>-1.5707963250000001</v>
      </c>
      <c r="O513">
        <f t="shared" si="381"/>
        <v>402.97647157728926</v>
      </c>
      <c r="P513">
        <f t="shared" si="382"/>
        <v>1.5683147897899585</v>
      </c>
      <c r="Q513">
        <f t="shared" si="383"/>
        <v>381.69118242467181</v>
      </c>
      <c r="R513">
        <f t="shared" si="384"/>
        <v>1.5681764047478453</v>
      </c>
      <c r="S513">
        <f t="shared" si="385"/>
        <v>0.10241620907075</v>
      </c>
      <c r="T513">
        <f t="shared" si="386"/>
        <v>-1.4682002253500464</v>
      </c>
      <c r="U513">
        <f t="shared" si="387"/>
        <v>0.56507446756597601</v>
      </c>
      <c r="V513">
        <f t="shared" si="388"/>
        <v>-0.9702728166535225</v>
      </c>
      <c r="X513">
        <f t="shared" si="405"/>
        <v>-49.373437650289191</v>
      </c>
      <c r="Y513">
        <f t="shared" si="389"/>
        <v>-178.19849519003705</v>
      </c>
      <c r="Z513">
        <f t="shared" si="406"/>
        <v>1.8015048099629496</v>
      </c>
      <c r="AC513">
        <v>1</v>
      </c>
      <c r="AD513">
        <f t="shared" si="390"/>
        <v>402.97523080815</v>
      </c>
      <c r="AE513">
        <f t="shared" si="391"/>
        <v>-4.5423506753813091E-2</v>
      </c>
      <c r="AF513">
        <f t="shared" si="392"/>
        <v>3.1110815021832001E-2</v>
      </c>
      <c r="AG513">
        <f t="shared" si="421"/>
        <v>4120.9936452818929</v>
      </c>
      <c r="AH513">
        <f t="shared" si="422"/>
        <v>-6049.0212984398086</v>
      </c>
      <c r="AJ513">
        <f t="shared" si="393"/>
        <v>18000</v>
      </c>
      <c r="AK513">
        <f t="shared" si="394"/>
        <v>174829.253981382</v>
      </c>
      <c r="AL513">
        <v>1</v>
      </c>
      <c r="AM513">
        <f t="shared" si="395"/>
        <v>381.68987246289896</v>
      </c>
      <c r="AN513">
        <f t="shared" si="423"/>
        <v>458.16047255918909</v>
      </c>
      <c r="AO513">
        <f t="shared" si="424"/>
        <v>-45.958357276419257</v>
      </c>
      <c r="AQ513">
        <f t="shared" si="396"/>
        <v>1.1185555957365582E-3</v>
      </c>
      <c r="AR513">
        <f t="shared" si="397"/>
        <v>-3.3444812312523093</v>
      </c>
      <c r="AT513">
        <f t="shared" si="418"/>
        <v>-20226.228639575489</v>
      </c>
      <c r="AU513">
        <f t="shared" si="419"/>
        <v>-13789.352067377427</v>
      </c>
      <c r="AV513">
        <f t="shared" si="407"/>
        <v>-2.543216232305292</v>
      </c>
      <c r="AW513">
        <f t="shared" si="408"/>
        <v>4906.7455137140432</v>
      </c>
      <c r="AX513">
        <f t="shared" si="409"/>
        <v>-8511.472885323943</v>
      </c>
      <c r="AY513">
        <f t="shared" si="417"/>
        <v>-1.0478459466469947</v>
      </c>
      <c r="BA513">
        <f t="shared" si="398"/>
        <v>2.4916735491620492</v>
      </c>
      <c r="BB513">
        <f t="shared" si="410"/>
        <v>7.9298228377151325</v>
      </c>
      <c r="BC513">
        <f t="shared" si="411"/>
        <v>-1.4953702856582973</v>
      </c>
      <c r="BD513">
        <f t="shared" si="399"/>
        <v>-265.67840627539459</v>
      </c>
      <c r="BF513">
        <f t="shared" si="400"/>
        <v>-65.469260899795955</v>
      </c>
      <c r="BG513">
        <f t="shared" si="401"/>
        <v>-213.87039567486141</v>
      </c>
      <c r="BH513">
        <f t="shared" si="412"/>
        <v>-33.870395674861413</v>
      </c>
      <c r="BI513">
        <f t="shared" si="413"/>
        <v>-33.870395674861413</v>
      </c>
      <c r="BJ513">
        <f t="shared" si="402"/>
        <v>0</v>
      </c>
      <c r="BK513">
        <f t="shared" si="414"/>
        <v>0</v>
      </c>
      <c r="BM513">
        <f t="shared" si="415"/>
        <v>-73.399083737511077</v>
      </c>
      <c r="BN513">
        <f t="shared" si="403"/>
        <v>-128.19198939946685</v>
      </c>
      <c r="BQ513" s="56">
        <f t="shared" si="416"/>
        <v>24.831783638000271</v>
      </c>
    </row>
    <row r="514" spans="1:69" x14ac:dyDescent="0.25">
      <c r="A514">
        <f t="shared" si="420"/>
        <v>1500000</v>
      </c>
      <c r="B514">
        <f t="shared" si="404"/>
        <v>1500</v>
      </c>
      <c r="C514">
        <f t="shared" si="373"/>
        <v>1.6182897942547383</v>
      </c>
      <c r="D514">
        <f t="shared" si="374"/>
        <v>0.9046811563653836</v>
      </c>
      <c r="F514">
        <f t="shared" si="375"/>
        <v>8.7678542908798067E-6</v>
      </c>
      <c r="G514">
        <f t="shared" si="376"/>
        <v>1.1581385189876896E-3</v>
      </c>
      <c r="H514">
        <f t="shared" si="377"/>
        <v>-3.1404345114810126</v>
      </c>
      <c r="J514">
        <f t="shared" si="378"/>
        <v>15</v>
      </c>
      <c r="M514">
        <f t="shared" si="379"/>
        <v>1.779778843193733E-3</v>
      </c>
      <c r="N514">
        <f t="shared" si="380"/>
        <v>-1.5707963250000001</v>
      </c>
      <c r="O514">
        <f t="shared" si="381"/>
        <v>404.32421068825477</v>
      </c>
      <c r="P514">
        <f t="shared" si="382"/>
        <v>1.5683230615461861</v>
      </c>
      <c r="Q514">
        <f t="shared" si="383"/>
        <v>382.96773281554846</v>
      </c>
      <c r="R514">
        <f t="shared" si="384"/>
        <v>1.5681851377815725</v>
      </c>
      <c r="S514">
        <f t="shared" si="385"/>
        <v>0.10207838484876441</v>
      </c>
      <c r="T514">
        <f t="shared" si="386"/>
        <v>-1.468539829434929</v>
      </c>
      <c r="U514">
        <f t="shared" si="387"/>
        <v>0.56379028249673158</v>
      </c>
      <c r="V514">
        <f t="shared" si="388"/>
        <v>-0.97182850116577912</v>
      </c>
      <c r="X514">
        <f t="shared" si="405"/>
        <v>-49.432995499572947</v>
      </c>
      <c r="Y514">
        <f t="shared" si="389"/>
        <v>-178.21335495228638</v>
      </c>
      <c r="Z514">
        <f t="shared" si="406"/>
        <v>1.7866450477136198</v>
      </c>
      <c r="AC514">
        <v>1</v>
      </c>
      <c r="AD514">
        <f t="shared" si="390"/>
        <v>404.32297405499997</v>
      </c>
      <c r="AE514">
        <f t="shared" si="391"/>
        <v>-4.572785100662384E-2</v>
      </c>
      <c r="AF514">
        <f t="shared" si="392"/>
        <v>3.1214864570399996E-2</v>
      </c>
      <c r="AG514">
        <f t="shared" si="421"/>
        <v>4102.2842347751575</v>
      </c>
      <c r="AH514">
        <f t="shared" si="422"/>
        <v>-6041.6293605660094</v>
      </c>
      <c r="AJ514">
        <f t="shared" si="393"/>
        <v>18000</v>
      </c>
      <c r="AK514">
        <f t="shared" si="394"/>
        <v>175413.96720540003</v>
      </c>
      <c r="AL514">
        <v>1</v>
      </c>
      <c r="AM514">
        <f t="shared" si="395"/>
        <v>382.96642722029998</v>
      </c>
      <c r="AN514">
        <f t="shared" si="423"/>
        <v>458.1596711852556</v>
      </c>
      <c r="AO514">
        <f t="shared" si="424"/>
        <v>-45.805164844708088</v>
      </c>
      <c r="AQ514">
        <f t="shared" si="396"/>
        <v>1.1111109876543346E-3</v>
      </c>
      <c r="AR514">
        <f t="shared" si="397"/>
        <v>-3.333332962963004</v>
      </c>
      <c r="AT514">
        <f t="shared" si="418"/>
        <v>-20134.204204492034</v>
      </c>
      <c r="AU514">
        <f t="shared" si="419"/>
        <v>-13680.992183985356</v>
      </c>
      <c r="AV514">
        <f t="shared" si="407"/>
        <v>-2.5447647598883987</v>
      </c>
      <c r="AW514">
        <f t="shared" si="408"/>
        <v>4886.8720563184625</v>
      </c>
      <c r="AX514">
        <f t="shared" si="409"/>
        <v>-8497.3597046807081</v>
      </c>
      <c r="AY514">
        <f t="shared" si="417"/>
        <v>-1.0488833168461134</v>
      </c>
      <c r="BA514">
        <f t="shared" si="398"/>
        <v>2.4833223377907823</v>
      </c>
      <c r="BB514">
        <f t="shared" si="410"/>
        <v>7.9006619016676893</v>
      </c>
      <c r="BC514">
        <f t="shared" si="411"/>
        <v>-1.4958814430422853</v>
      </c>
      <c r="BD514">
        <f t="shared" si="399"/>
        <v>-265.70769343619753</v>
      </c>
      <c r="BF514">
        <f t="shared" si="400"/>
        <v>-65.538520535016971</v>
      </c>
      <c r="BG514">
        <f t="shared" si="401"/>
        <v>-213.80692486291133</v>
      </c>
      <c r="BH514">
        <f t="shared" si="412"/>
        <v>-33.80692486291133</v>
      </c>
      <c r="BI514">
        <f t="shared" si="413"/>
        <v>-33.80692486291133</v>
      </c>
      <c r="BJ514">
        <f t="shared" si="402"/>
        <v>0</v>
      </c>
      <c r="BK514">
        <f t="shared" si="414"/>
        <v>0</v>
      </c>
      <c r="BM514">
        <f t="shared" si="415"/>
        <v>-73.439182436684661</v>
      </c>
      <c r="BN514">
        <f t="shared" si="403"/>
        <v>-128.09923142671386</v>
      </c>
      <c r="BQ514" s="56">
        <f t="shared" si="416"/>
        <v>24.802622701952828</v>
      </c>
    </row>
    <row r="515" spans="1:69" x14ac:dyDescent="0.25">
      <c r="A515">
        <f t="shared" si="420"/>
        <v>1505000</v>
      </c>
      <c r="B515">
        <f t="shared" si="404"/>
        <v>1505</v>
      </c>
      <c r="C515">
        <f t="shared" si="373"/>
        <v>1.6216264236657438</v>
      </c>
      <c r="D515">
        <f t="shared" si="374"/>
        <v>0.90629728796562548</v>
      </c>
      <c r="F515">
        <f t="shared" si="375"/>
        <v>8.7096924174591314E-6</v>
      </c>
      <c r="G515">
        <f t="shared" si="376"/>
        <v>1.1542908174205118E-3</v>
      </c>
      <c r="H515">
        <f t="shared" si="377"/>
        <v>-3.1404383591825797</v>
      </c>
      <c r="J515">
        <f t="shared" si="378"/>
        <v>15</v>
      </c>
      <c r="M515">
        <f t="shared" si="379"/>
        <v>1.773865956671495E-3</v>
      </c>
      <c r="N515">
        <f t="shared" si="380"/>
        <v>-1.5707963250000001</v>
      </c>
      <c r="O515">
        <f t="shared" si="381"/>
        <v>405.67194982670111</v>
      </c>
      <c r="P515">
        <f t="shared" si="382"/>
        <v>1.5683312783409133</v>
      </c>
      <c r="Q515">
        <f t="shared" si="383"/>
        <v>384.24428323543844</v>
      </c>
      <c r="R515">
        <f t="shared" si="384"/>
        <v>1.5681938127888921</v>
      </c>
      <c r="S515">
        <f t="shared" si="385"/>
        <v>0.10174277033615849</v>
      </c>
      <c r="T515">
        <f t="shared" si="386"/>
        <v>-1.4688772004499104</v>
      </c>
      <c r="U515">
        <f t="shared" si="387"/>
        <v>0.56251056894228324</v>
      </c>
      <c r="V515">
        <f t="shared" si="388"/>
        <v>-0.97337712710291935</v>
      </c>
      <c r="X515">
        <f t="shared" si="405"/>
        <v>-49.492353431394136</v>
      </c>
      <c r="Y515">
        <f t="shared" si="389"/>
        <v>-178.22806972609769</v>
      </c>
      <c r="Z515">
        <f t="shared" si="406"/>
        <v>1.7719302739023135</v>
      </c>
      <c r="AC515">
        <v>1</v>
      </c>
      <c r="AD515">
        <f t="shared" si="390"/>
        <v>405.67071730185</v>
      </c>
      <c r="AE515">
        <f t="shared" si="391"/>
        <v>-4.6033211433901412E-2</v>
      </c>
      <c r="AF515">
        <f t="shared" si="392"/>
        <v>3.1318914118967998E-2</v>
      </c>
      <c r="AG515">
        <f t="shared" si="421"/>
        <v>4083.6823153798105</v>
      </c>
      <c r="AH515">
        <f t="shared" si="422"/>
        <v>-6034.2134064701149</v>
      </c>
      <c r="AJ515">
        <f t="shared" si="393"/>
        <v>18000</v>
      </c>
      <c r="AK515">
        <f t="shared" si="394"/>
        <v>175998.68042941802</v>
      </c>
      <c r="AL515">
        <v>1</v>
      </c>
      <c r="AM515">
        <f t="shared" si="395"/>
        <v>384.24298197770099</v>
      </c>
      <c r="AN515">
        <f t="shared" si="423"/>
        <v>458.15887778509034</v>
      </c>
      <c r="AO515">
        <f t="shared" si="424"/>
        <v>-45.652990282156736</v>
      </c>
      <c r="AQ515">
        <f t="shared" si="396"/>
        <v>1.1037404549905129E-3</v>
      </c>
      <c r="AR515">
        <f t="shared" si="397"/>
        <v>-3.3222587695214436</v>
      </c>
      <c r="AT515">
        <f t="shared" si="418"/>
        <v>-20042.71108143239</v>
      </c>
      <c r="AU515">
        <f t="shared" si="419"/>
        <v>-13573.709589660977</v>
      </c>
      <c r="AV515">
        <f t="shared" si="407"/>
        <v>-2.5463062764504008</v>
      </c>
      <c r="AW515">
        <f t="shared" si="408"/>
        <v>4867.1084947228337</v>
      </c>
      <c r="AX515">
        <f t="shared" si="409"/>
        <v>-8483.2586653767721</v>
      </c>
      <c r="AY515">
        <f t="shared" si="417"/>
        <v>-1.0499162555873003</v>
      </c>
      <c r="BA515">
        <f t="shared" si="398"/>
        <v>2.4750268992317443</v>
      </c>
      <c r="BB515">
        <f t="shared" si="410"/>
        <v>7.8715984663972556</v>
      </c>
      <c r="BC515">
        <f t="shared" si="411"/>
        <v>-1.4963900208631005</v>
      </c>
      <c r="BD515">
        <f t="shared" si="399"/>
        <v>-265.73683279891748</v>
      </c>
      <c r="BF515">
        <f t="shared" si="400"/>
        <v>-65.607503741388939</v>
      </c>
      <c r="BG515">
        <f t="shared" si="401"/>
        <v>-213.74368716275478</v>
      </c>
      <c r="BH515">
        <f t="shared" si="412"/>
        <v>-33.743687162754782</v>
      </c>
      <c r="BI515">
        <f t="shared" si="413"/>
        <v>-33.743687162754782</v>
      </c>
      <c r="BJ515">
        <f t="shared" si="402"/>
        <v>0</v>
      </c>
      <c r="BK515">
        <f t="shared" si="414"/>
        <v>0</v>
      </c>
      <c r="BM515">
        <f t="shared" si="415"/>
        <v>-73.479102207786184</v>
      </c>
      <c r="BN515">
        <f t="shared" si="403"/>
        <v>-128.00685436383733</v>
      </c>
      <c r="BQ515" s="56">
        <f t="shared" si="416"/>
        <v>24.773559266682391</v>
      </c>
    </row>
    <row r="516" spans="1:69" x14ac:dyDescent="0.25">
      <c r="A516">
        <f t="shared" si="420"/>
        <v>1510000</v>
      </c>
      <c r="B516">
        <f t="shared" si="404"/>
        <v>1510</v>
      </c>
      <c r="C516">
        <f t="shared" si="373"/>
        <v>1.6249672711721972</v>
      </c>
      <c r="D516">
        <f t="shared" si="374"/>
        <v>0.90790677839162026</v>
      </c>
      <c r="F516">
        <f t="shared" si="375"/>
        <v>8.6521073602068685E-6</v>
      </c>
      <c r="G516">
        <f t="shared" si="376"/>
        <v>1.1504685979660451E-3</v>
      </c>
      <c r="H516">
        <f t="shared" si="377"/>
        <v>-3.140442181402034</v>
      </c>
      <c r="J516">
        <f t="shared" si="378"/>
        <v>15</v>
      </c>
      <c r="M516">
        <f t="shared" si="379"/>
        <v>1.7679922283381456E-3</v>
      </c>
      <c r="N516">
        <f t="shared" si="380"/>
        <v>-1.5707963250000001</v>
      </c>
      <c r="O516">
        <f t="shared" si="381"/>
        <v>407.01968899235538</v>
      </c>
      <c r="P516">
        <f t="shared" si="382"/>
        <v>1.568339440720111</v>
      </c>
      <c r="Q516">
        <f t="shared" si="383"/>
        <v>385.52083368405357</v>
      </c>
      <c r="R516">
        <f t="shared" si="384"/>
        <v>1.5682024303462196</v>
      </c>
      <c r="S516">
        <f t="shared" si="385"/>
        <v>0.10140934403711037</v>
      </c>
      <c r="T516">
        <f t="shared" si="386"/>
        <v>-1.4692123602721254</v>
      </c>
      <c r="U516">
        <f t="shared" si="387"/>
        <v>0.56123531487479128</v>
      </c>
      <c r="V516">
        <f t="shared" si="388"/>
        <v>-0.97491873501865634</v>
      </c>
      <c r="X516">
        <f t="shared" si="405"/>
        <v>-49.551512735396663</v>
      </c>
      <c r="Y516">
        <f t="shared" si="389"/>
        <v>-178.24264116554883</v>
      </c>
      <c r="Z516">
        <f t="shared" si="406"/>
        <v>1.7573588344511677</v>
      </c>
      <c r="AC516">
        <v>1</v>
      </c>
      <c r="AD516">
        <f t="shared" si="390"/>
        <v>407.01846054869998</v>
      </c>
      <c r="AE516">
        <f t="shared" si="391"/>
        <v>-4.6339588035645786E-2</v>
      </c>
      <c r="AF516">
        <f t="shared" si="392"/>
        <v>3.1422963667535997E-2</v>
      </c>
      <c r="AG516">
        <f t="shared" si="421"/>
        <v>4065.1872697460426</v>
      </c>
      <c r="AH516">
        <f t="shared" si="422"/>
        <v>-6026.774093349969</v>
      </c>
      <c r="AJ516">
        <f t="shared" si="393"/>
        <v>18000</v>
      </c>
      <c r="AK516">
        <f t="shared" si="394"/>
        <v>176583.39365343601</v>
      </c>
      <c r="AL516">
        <v>1</v>
      </c>
      <c r="AM516">
        <f t="shared" si="395"/>
        <v>385.51953673510201</v>
      </c>
      <c r="AN516">
        <f t="shared" si="423"/>
        <v>458.158092253257</v>
      </c>
      <c r="AO516">
        <f t="shared" si="424"/>
        <v>-45.501823477755643</v>
      </c>
      <c r="AQ516">
        <f t="shared" si="396"/>
        <v>1.096443018240097E-3</v>
      </c>
      <c r="AR516">
        <f t="shared" si="397"/>
        <v>-3.3112579150850934</v>
      </c>
      <c r="AT516">
        <f t="shared" si="418"/>
        <v>-19951.746172835119</v>
      </c>
      <c r="AU516">
        <f t="shared" si="419"/>
        <v>-13467.491537626907</v>
      </c>
      <c r="AV516">
        <f t="shared" si="407"/>
        <v>-2.5478408220726259</v>
      </c>
      <c r="AW516">
        <f t="shared" si="408"/>
        <v>4847.4542735756359</v>
      </c>
      <c r="AX516">
        <f t="shared" si="409"/>
        <v>-8469.1701138732151</v>
      </c>
      <c r="AY516">
        <f t="shared" si="417"/>
        <v>-1.0509447768928399</v>
      </c>
      <c r="BA516">
        <f t="shared" si="398"/>
        <v>2.466786675314399</v>
      </c>
      <c r="BB516">
        <f t="shared" si="410"/>
        <v>7.8426318771912387</v>
      </c>
      <c r="BC516">
        <f t="shared" si="411"/>
        <v>-1.4968960451797859</v>
      </c>
      <c r="BD516">
        <f t="shared" si="399"/>
        <v>-265.76582585662766</v>
      </c>
      <c r="BF516">
        <f t="shared" si="400"/>
        <v>-65.676212582667532</v>
      </c>
      <c r="BG516">
        <f t="shared" si="401"/>
        <v>-213.68068220882674</v>
      </c>
      <c r="BH516">
        <f t="shared" si="412"/>
        <v>-33.680682208826738</v>
      </c>
      <c r="BI516">
        <f t="shared" si="413"/>
        <v>-33.680682208826738</v>
      </c>
      <c r="BJ516">
        <f t="shared" si="402"/>
        <v>0</v>
      </c>
      <c r="BK516">
        <f t="shared" si="414"/>
        <v>0</v>
      </c>
      <c r="BM516">
        <f t="shared" si="415"/>
        <v>-73.518844459858769</v>
      </c>
      <c r="BN516">
        <f t="shared" si="403"/>
        <v>-127.9148563521991</v>
      </c>
      <c r="BQ516" s="56">
        <f t="shared" si="416"/>
        <v>24.744592677476373</v>
      </c>
    </row>
    <row r="517" spans="1:69" x14ac:dyDescent="0.25">
      <c r="A517">
        <f t="shared" si="420"/>
        <v>1515000</v>
      </c>
      <c r="B517">
        <f t="shared" si="404"/>
        <v>1515</v>
      </c>
      <c r="C517">
        <f t="shared" si="373"/>
        <v>1.6283123108109951</v>
      </c>
      <c r="D517">
        <f t="shared" si="374"/>
        <v>0.90950966020788271</v>
      </c>
      <c r="F517">
        <f t="shared" si="375"/>
        <v>8.595091516864128E-6</v>
      </c>
      <c r="G517">
        <f t="shared" si="376"/>
        <v>1.1466716083176666E-3</v>
      </c>
      <c r="H517">
        <f t="shared" si="377"/>
        <v>-3.1404459783916825</v>
      </c>
      <c r="J517">
        <f t="shared" si="378"/>
        <v>15</v>
      </c>
      <c r="M517">
        <f t="shared" si="379"/>
        <v>1.7621572704888447E-3</v>
      </c>
      <c r="N517">
        <f t="shared" si="380"/>
        <v>-1.5707963250000001</v>
      </c>
      <c r="O517">
        <f t="shared" si="381"/>
        <v>408.36742818494804</v>
      </c>
      <c r="P517">
        <f t="shared" si="382"/>
        <v>1.5683475492225423</v>
      </c>
      <c r="Q517">
        <f t="shared" si="383"/>
        <v>386.79738416110928</v>
      </c>
      <c r="R517">
        <f t="shared" si="384"/>
        <v>1.5682109910223625</v>
      </c>
      <c r="S517">
        <f t="shared" si="385"/>
        <v>0.10107808473221669</v>
      </c>
      <c r="T517">
        <f t="shared" si="386"/>
        <v>-1.4695453304948596</v>
      </c>
      <c r="U517">
        <f t="shared" si="387"/>
        <v>0.55996450815568755</v>
      </c>
      <c r="V517">
        <f t="shared" si="388"/>
        <v>-0.97645336523340864</v>
      </c>
      <c r="X517">
        <f t="shared" si="405"/>
        <v>-49.610474689172804</v>
      </c>
      <c r="Y517">
        <f t="shared" si="389"/>
        <v>-178.25707090322143</v>
      </c>
      <c r="Z517">
        <f t="shared" si="406"/>
        <v>1.7429290967785676</v>
      </c>
      <c r="AC517">
        <v>1</v>
      </c>
      <c r="AD517">
        <f t="shared" si="390"/>
        <v>408.36620379555001</v>
      </c>
      <c r="AE517">
        <f t="shared" si="391"/>
        <v>-4.6646980811856982E-2</v>
      </c>
      <c r="AF517">
        <f t="shared" si="392"/>
        <v>3.1527013216103995E-2</v>
      </c>
      <c r="AG517">
        <f t="shared" si="421"/>
        <v>4046.7984820500078</v>
      </c>
      <c r="AH517">
        <f t="shared" si="422"/>
        <v>-6019.3120686961784</v>
      </c>
      <c r="AJ517">
        <f t="shared" si="393"/>
        <v>18000</v>
      </c>
      <c r="AK517">
        <f t="shared" si="394"/>
        <v>177168.106877454</v>
      </c>
      <c r="AL517">
        <v>1</v>
      </c>
      <c r="AM517">
        <f t="shared" si="395"/>
        <v>386.79609149250297</v>
      </c>
      <c r="AN517">
        <f t="shared" si="423"/>
        <v>458.15731448605595</v>
      </c>
      <c r="AO517">
        <f t="shared" si="424"/>
        <v>-45.351654453969438</v>
      </c>
      <c r="AQ517">
        <f t="shared" si="396"/>
        <v>1.0892177140348208E-3</v>
      </c>
      <c r="AR517">
        <f t="shared" si="397"/>
        <v>-3.300329673525507</v>
      </c>
      <c r="AT517">
        <f t="shared" si="418"/>
        <v>-19861.306389936424</v>
      </c>
      <c r="AU517">
        <f t="shared" si="419"/>
        <v>-13362.325454419146</v>
      </c>
      <c r="AV517">
        <f t="shared" si="407"/>
        <v>-2.5493684366093419</v>
      </c>
      <c r="AW517">
        <f t="shared" si="408"/>
        <v>4827.9088370214813</v>
      </c>
      <c r="AX517">
        <f t="shared" si="409"/>
        <v>-8455.0943909121524</v>
      </c>
      <c r="AY517">
        <f t="shared" si="417"/>
        <v>-1.0519688949094128</v>
      </c>
      <c r="BA517">
        <f t="shared" si="398"/>
        <v>2.4586011153022453</v>
      </c>
      <c r="BB517">
        <f t="shared" si="410"/>
        <v>7.8137614859160269</v>
      </c>
      <c r="BC517">
        <f t="shared" si="411"/>
        <v>-1.4973995416999291</v>
      </c>
      <c r="BD517">
        <f t="shared" si="399"/>
        <v>-265.79467408226435</v>
      </c>
      <c r="BF517">
        <f t="shared" si="400"/>
        <v>-65.744649101171348</v>
      </c>
      <c r="BG517">
        <f t="shared" si="401"/>
        <v>-213.61790962271036</v>
      </c>
      <c r="BH517">
        <f t="shared" si="412"/>
        <v>-33.617909622710357</v>
      </c>
      <c r="BI517">
        <f t="shared" si="413"/>
        <v>-33.617909622710357</v>
      </c>
      <c r="BJ517">
        <f t="shared" si="402"/>
        <v>0</v>
      </c>
      <c r="BK517">
        <f t="shared" si="414"/>
        <v>0</v>
      </c>
      <c r="BM517">
        <f t="shared" si="415"/>
        <v>-73.558410587087366</v>
      </c>
      <c r="BN517">
        <f t="shared" si="403"/>
        <v>-127.82323554044602</v>
      </c>
      <c r="BQ517" s="56">
        <f t="shared" si="416"/>
        <v>24.715722286201164</v>
      </c>
    </row>
    <row r="518" spans="1:69" x14ac:dyDescent="0.25">
      <c r="A518">
        <f>A517+5000</f>
        <v>1520000</v>
      </c>
      <c r="B518">
        <f t="shared" si="404"/>
        <v>1520</v>
      </c>
      <c r="C518">
        <f t="shared" si="373"/>
        <v>1.631661516799495</v>
      </c>
      <c r="D518">
        <f t="shared" si="374"/>
        <v>0.9111059658478905</v>
      </c>
      <c r="F518">
        <f t="shared" si="375"/>
        <v>8.5386374100052099E-6</v>
      </c>
      <c r="G518">
        <f t="shared" si="376"/>
        <v>1.1428995994887151E-3</v>
      </c>
      <c r="H518">
        <f t="shared" si="377"/>
        <v>-3.1404497504005113</v>
      </c>
      <c r="J518">
        <f t="shared" si="378"/>
        <v>15</v>
      </c>
      <c r="M518">
        <f t="shared" si="379"/>
        <v>1.7563607005201313E-3</v>
      </c>
      <c r="N518">
        <f t="shared" si="380"/>
        <v>-1.5707963250000001</v>
      </c>
      <c r="O518">
        <f t="shared" si="381"/>
        <v>409.71516740421339</v>
      </c>
      <c r="P518">
        <f t="shared" si="382"/>
        <v>1.5683556043798819</v>
      </c>
      <c r="Q518">
        <f t="shared" si="383"/>
        <v>388.07393466632504</v>
      </c>
      <c r="R518">
        <f t="shared" si="384"/>
        <v>1.5682194953786424</v>
      </c>
      <c r="S518">
        <f t="shared" si="385"/>
        <v>0.10074897147408778</v>
      </c>
      <c r="T518">
        <f t="shared" si="386"/>
        <v>-1.4698761324321212</v>
      </c>
      <c r="U518">
        <f t="shared" si="387"/>
        <v>0.5586981365393614</v>
      </c>
      <c r="V518">
        <f t="shared" si="388"/>
        <v>-0.97798105783488809</v>
      </c>
      <c r="X518">
        <f t="shared" si="405"/>
        <v>-49.669240558411182</v>
      </c>
      <c r="Y518">
        <f t="shared" si="389"/>
        <v>-178.2713605505154</v>
      </c>
      <c r="Z518">
        <f t="shared" si="406"/>
        <v>1.7286394494846036</v>
      </c>
      <c r="AC518">
        <v>1</v>
      </c>
      <c r="AD518">
        <f t="shared" si="390"/>
        <v>409.71394704240004</v>
      </c>
      <c r="AE518">
        <f t="shared" si="391"/>
        <v>-4.6955389762534994E-2</v>
      </c>
      <c r="AF518">
        <f t="shared" si="392"/>
        <v>3.1631062764672001E-2</v>
      </c>
      <c r="AG518">
        <f t="shared" si="421"/>
        <v>4028.5153380512616</v>
      </c>
      <c r="AH518">
        <f t="shared" si="422"/>
        <v>-6011.8279704130991</v>
      </c>
      <c r="AJ518">
        <f t="shared" si="393"/>
        <v>18000</v>
      </c>
      <c r="AK518">
        <f t="shared" si="394"/>
        <v>177752.82010147203</v>
      </c>
      <c r="AL518">
        <v>1</v>
      </c>
      <c r="AM518">
        <f t="shared" si="395"/>
        <v>388.07264624990398</v>
      </c>
      <c r="AN518">
        <f t="shared" si="423"/>
        <v>458.15654438149039</v>
      </c>
      <c r="AO518">
        <f t="shared" si="424"/>
        <v>-45.202473364541738</v>
      </c>
      <c r="AQ518">
        <f t="shared" si="396"/>
        <v>1.0820635948251822E-3</v>
      </c>
      <c r="AR518">
        <f t="shared" si="397"/>
        <v>-3.2894733282685542</v>
      </c>
      <c r="AT518">
        <f t="shared" si="418"/>
        <v>-19771.388653024263</v>
      </c>
      <c r="AU518">
        <f t="shared" si="419"/>
        <v>-13258.198937225538</v>
      </c>
      <c r="AV518">
        <f t="shared" si="407"/>
        <v>-2.5508891596882433</v>
      </c>
      <c r="AW518">
        <f t="shared" si="408"/>
        <v>4808.4716288087666</v>
      </c>
      <c r="AX518">
        <f t="shared" si="409"/>
        <v>-8441.0318315674886</v>
      </c>
      <c r="AY518">
        <f t="shared" si="417"/>
        <v>-1.0529886239026545</v>
      </c>
      <c r="BA518">
        <f t="shared" si="398"/>
        <v>2.4504696757693147</v>
      </c>
      <c r="BB518">
        <f t="shared" si="410"/>
        <v>7.7849866509289729</v>
      </c>
      <c r="BC518">
        <f t="shared" si="411"/>
        <v>-1.4979005357855888</v>
      </c>
      <c r="BD518">
        <f t="shared" si="399"/>
        <v>-265.82337892896646</v>
      </c>
      <c r="BF518">
        <f t="shared" si="400"/>
        <v>-65.812815318062206</v>
      </c>
      <c r="BG518">
        <f t="shared" si="401"/>
        <v>-213.55536901350899</v>
      </c>
      <c r="BH518">
        <f t="shared" si="412"/>
        <v>-33.555369013508994</v>
      </c>
      <c r="BI518">
        <f t="shared" si="413"/>
        <v>-33.555369013508994</v>
      </c>
      <c r="BJ518">
        <f t="shared" si="402"/>
        <v>0</v>
      </c>
      <c r="BK518">
        <f t="shared" si="414"/>
        <v>0</v>
      </c>
      <c r="BM518">
        <f t="shared" si="415"/>
        <v>-73.597801968991192</v>
      </c>
      <c r="BN518">
        <f t="shared" si="403"/>
        <v>-127.73199008454255</v>
      </c>
      <c r="BQ518" s="56">
        <f t="shared" si="416"/>
        <v>24.68694745121411</v>
      </c>
    </row>
    <row r="519" spans="1:69" x14ac:dyDescent="0.25">
      <c r="A519">
        <f t="shared" si="420"/>
        <v>1525000</v>
      </c>
      <c r="B519">
        <f t="shared" si="404"/>
        <v>1525</v>
      </c>
      <c r="C519">
        <f t="shared" si="373"/>
        <v>1.6350148635343276</v>
      </c>
      <c r="D519">
        <f t="shared" si="374"/>
        <v>0.91269572761359752</v>
      </c>
      <c r="F519">
        <f t="shared" si="375"/>
        <v>8.4827376845858487E-6</v>
      </c>
      <c r="G519">
        <f t="shared" si="376"/>
        <v>1.1391523257580647E-3</v>
      </c>
      <c r="H519">
        <f t="shared" si="377"/>
        <v>-3.1404534976742422</v>
      </c>
      <c r="J519">
        <f t="shared" si="378"/>
        <v>15</v>
      </c>
      <c r="M519">
        <f t="shared" si="379"/>
        <v>1.7506021408462947E-3</v>
      </c>
      <c r="N519">
        <f t="shared" si="380"/>
        <v>-1.5707963250000001</v>
      </c>
      <c r="O519">
        <f t="shared" si="381"/>
        <v>411.06290664988893</v>
      </c>
      <c r="P519">
        <f t="shared" si="382"/>
        <v>1.5683636067168309</v>
      </c>
      <c r="Q519">
        <f t="shared" si="383"/>
        <v>389.35048519942387</v>
      </c>
      <c r="R519">
        <f t="shared" si="384"/>
        <v>1.568227943969021</v>
      </c>
      <c r="S519">
        <f t="shared" si="385"/>
        <v>0.10042198358302695</v>
      </c>
      <c r="T519">
        <f t="shared" si="386"/>
        <v>-1.4702047871231267</v>
      </c>
      <c r="U519">
        <f t="shared" si="387"/>
        <v>0.55743618767677527</v>
      </c>
      <c r="V519">
        <f t="shared" si="388"/>
        <v>-0.97950185267870959</v>
      </c>
      <c r="X519">
        <f t="shared" si="405"/>
        <v>-49.727811597042297</v>
      </c>
      <c r="Y519">
        <f t="shared" si="389"/>
        <v>-178.28551169795779</v>
      </c>
      <c r="Z519">
        <f t="shared" si="406"/>
        <v>1.7144883020422128</v>
      </c>
      <c r="AC519">
        <v>1</v>
      </c>
      <c r="AD519">
        <f t="shared" si="390"/>
        <v>411.06169028925001</v>
      </c>
      <c r="AE519">
        <f t="shared" si="391"/>
        <v>-4.7264814887679814E-2</v>
      </c>
      <c r="AF519">
        <f t="shared" si="392"/>
        <v>3.1735112313239999E-2</v>
      </c>
      <c r="AG519">
        <f t="shared" si="421"/>
        <v>4010.337225148287</v>
      </c>
      <c r="AH519">
        <f t="shared" si="422"/>
        <v>-6004.3224269386965</v>
      </c>
      <c r="AJ519">
        <f t="shared" si="393"/>
        <v>18000</v>
      </c>
      <c r="AK519">
        <f t="shared" si="394"/>
        <v>178337.53332549002</v>
      </c>
      <c r="AL519">
        <v>1</v>
      </c>
      <c r="AM519">
        <f t="shared" si="395"/>
        <v>389.349201007305</v>
      </c>
      <c r="AN519">
        <f t="shared" si="423"/>
        <v>458.15578183923265</v>
      </c>
      <c r="AO519">
        <f t="shared" si="424"/>
        <v>-45.054270492343058</v>
      </c>
      <c r="AQ519">
        <f t="shared" si="396"/>
        <v>1.0749797285697685E-3</v>
      </c>
      <c r="AR519">
        <f t="shared" si="397"/>
        <v>-3.2786881721377941</v>
      </c>
      <c r="AT519">
        <f t="shared" si="418"/>
        <v>-19681.989891683836</v>
      </c>
      <c r="AU519">
        <f t="shared" si="419"/>
        <v>-13155.099751270345</v>
      </c>
      <c r="AV519">
        <f t="shared" si="407"/>
        <v>-2.5524030307109613</v>
      </c>
      <c r="AW519">
        <f t="shared" si="408"/>
        <v>4789.1420923941696</v>
      </c>
      <c r="AX519">
        <f t="shared" si="409"/>
        <v>-8426.982765296063</v>
      </c>
      <c r="AY519">
        <f t="shared" si="417"/>
        <v>-1.0540039782518609</v>
      </c>
      <c r="BA519">
        <f t="shared" si="398"/>
        <v>2.4423918204791355</v>
      </c>
      <c r="BB519">
        <f t="shared" si="410"/>
        <v>7.7563067369918945</v>
      </c>
      <c r="BC519">
        <f t="shared" si="411"/>
        <v>-1.4983990524591004</v>
      </c>
      <c r="BD519">
        <f t="shared" si="399"/>
        <v>-265.85194183040824</v>
      </c>
      <c r="BF519">
        <f t="shared" si="400"/>
        <v>-65.880713233621137</v>
      </c>
      <c r="BG519">
        <f t="shared" si="401"/>
        <v>-213.49305997821011</v>
      </c>
      <c r="BH519">
        <f t="shared" si="412"/>
        <v>-33.493059978210113</v>
      </c>
      <c r="BI519">
        <f t="shared" si="413"/>
        <v>-33.493059978210113</v>
      </c>
      <c r="BJ519">
        <f t="shared" si="402"/>
        <v>0</v>
      </c>
      <c r="BK519">
        <f t="shared" si="414"/>
        <v>0</v>
      </c>
      <c r="BM519">
        <f t="shared" si="415"/>
        <v>-73.637019970613025</v>
      </c>
      <c r="BN519">
        <f t="shared" si="403"/>
        <v>-127.64111814780188</v>
      </c>
      <c r="BQ519" s="56">
        <f t="shared" si="416"/>
        <v>24.658267537277034</v>
      </c>
    </row>
    <row r="520" spans="1:69" x14ac:dyDescent="0.25">
      <c r="A520">
        <f t="shared" si="420"/>
        <v>1530000</v>
      </c>
      <c r="B520">
        <f t="shared" si="404"/>
        <v>1530</v>
      </c>
      <c r="C520">
        <f t="shared" si="373"/>
        <v>1.6383723255902123</v>
      </c>
      <c r="D520">
        <f t="shared" si="374"/>
        <v>0.91427897767497557</v>
      </c>
      <c r="F520">
        <f t="shared" si="375"/>
        <v>8.4273851055474785E-6</v>
      </c>
      <c r="G520">
        <f t="shared" si="376"/>
        <v>1.1354295446167621E-3</v>
      </c>
      <c r="H520">
        <f t="shared" si="377"/>
        <v>-3.1404572204553833</v>
      </c>
      <c r="J520">
        <f t="shared" si="378"/>
        <v>15</v>
      </c>
      <c r="M520">
        <f t="shared" si="379"/>
        <v>1.7448812188173856E-3</v>
      </c>
      <c r="N520">
        <f t="shared" si="380"/>
        <v>-1.5707963250000001</v>
      </c>
      <c r="O520">
        <f t="shared" si="381"/>
        <v>412.41064592171585</v>
      </c>
      <c r="P520">
        <f t="shared" si="382"/>
        <v>1.5683715567512329</v>
      </c>
      <c r="Q520">
        <f t="shared" si="383"/>
        <v>390.6270357601324</v>
      </c>
      <c r="R520">
        <f t="shared" si="384"/>
        <v>1.5682363373402175</v>
      </c>
      <c r="S520">
        <f t="shared" si="385"/>
        <v>0.10009710064279088</v>
      </c>
      <c r="T520">
        <f t="shared" si="386"/>
        <v>-1.4705313153366988</v>
      </c>
      <c r="U520">
        <f t="shared" si="387"/>
        <v>0.5561786491190096</v>
      </c>
      <c r="V520">
        <f t="shared" si="388"/>
        <v>-0.98101578938902145</v>
      </c>
      <c r="X520">
        <f t="shared" si="405"/>
        <v>-49.786189047381953</v>
      </c>
      <c r="Y520">
        <f t="shared" si="389"/>
        <v>-178.29952591550725</v>
      </c>
      <c r="Z520">
        <f t="shared" si="406"/>
        <v>1.7004740844927539</v>
      </c>
      <c r="AC520">
        <v>1</v>
      </c>
      <c r="AD520">
        <f t="shared" si="390"/>
        <v>412.40943353610004</v>
      </c>
      <c r="AE520">
        <f t="shared" si="391"/>
        <v>-4.757525618729145E-2</v>
      </c>
      <c r="AF520">
        <f t="shared" si="392"/>
        <v>3.1839161861808005E-2</v>
      </c>
      <c r="AG520">
        <f t="shared" si="421"/>
        <v>3992.2635324321832</v>
      </c>
      <c r="AH520">
        <f t="shared" si="422"/>
        <v>-5996.7960573633027</v>
      </c>
      <c r="AJ520">
        <f t="shared" si="393"/>
        <v>18000</v>
      </c>
      <c r="AK520">
        <f t="shared" si="394"/>
        <v>178922.24654950801</v>
      </c>
      <c r="AL520">
        <v>1</v>
      </c>
      <c r="AM520">
        <f t="shared" si="395"/>
        <v>390.62575576470601</v>
      </c>
      <c r="AN520">
        <f t="shared" si="423"/>
        <v>458.15502676059185</v>
      </c>
      <c r="AO520">
        <f t="shared" si="424"/>
        <v>-44.907036247261082</v>
      </c>
      <c r="AQ520">
        <f t="shared" si="396"/>
        <v>1.0679651984316718E-3</v>
      </c>
      <c r="AR520">
        <f t="shared" si="397"/>
        <v>-3.2679735072009155</v>
      </c>
      <c r="AT520">
        <f t="shared" si="418"/>
        <v>-19593.107045034569</v>
      </c>
      <c r="AU520">
        <f t="shared" si="419"/>
        <v>-13053.015827244073</v>
      </c>
      <c r="AV520">
        <f t="shared" si="407"/>
        <v>-2.5539100888535944</v>
      </c>
      <c r="AW520">
        <f t="shared" si="408"/>
        <v>4769.9196710441474</v>
      </c>
      <c r="AX520">
        <f t="shared" si="409"/>
        <v>-8412.9475159892154</v>
      </c>
      <c r="AY520">
        <f t="shared" si="417"/>
        <v>-1.0550149724448312</v>
      </c>
      <c r="BA520">
        <f t="shared" si="398"/>
        <v>2.4343670202660821</v>
      </c>
      <c r="BB520">
        <f t="shared" si="410"/>
        <v>7.7277211151859548</v>
      </c>
      <c r="BC520">
        <f t="shared" si="411"/>
        <v>-1.4988951164087632</v>
      </c>
      <c r="BD520">
        <f t="shared" si="399"/>
        <v>-265.88036420112496</v>
      </c>
      <c r="BF520">
        <f t="shared" si="400"/>
        <v>-65.948344827519875</v>
      </c>
      <c r="BG520">
        <f t="shared" si="401"/>
        <v>-213.43098210204008</v>
      </c>
      <c r="BH520">
        <f t="shared" si="412"/>
        <v>-33.430982102040076</v>
      </c>
      <c r="BI520">
        <f t="shared" si="413"/>
        <v>-33.430982102040076</v>
      </c>
      <c r="BJ520">
        <f t="shared" si="402"/>
        <v>0</v>
      </c>
      <c r="BK520">
        <f t="shared" si="414"/>
        <v>0</v>
      </c>
      <c r="BM520">
        <f t="shared" si="415"/>
        <v>-73.676065942705833</v>
      </c>
      <c r="BN520">
        <f t="shared" si="403"/>
        <v>-127.55061790091511</v>
      </c>
      <c r="BQ520" s="56">
        <f t="shared" si="416"/>
        <v>24.629681915471092</v>
      </c>
    </row>
    <row r="521" spans="1:69" x14ac:dyDescent="0.25">
      <c r="A521">
        <f t="shared" si="420"/>
        <v>1535000</v>
      </c>
      <c r="B521">
        <f t="shared" si="404"/>
        <v>1535</v>
      </c>
      <c r="C521">
        <f t="shared" ref="C521:C584" si="425">SQRT((A521/Fesr)^2+1)</f>
        <v>1.6417338777187811</v>
      </c>
      <c r="D521">
        <f t="shared" ref="D521:D584" si="426">ATAN(A521/Fesr)</f>
        <v>0.9158557480695827</v>
      </c>
      <c r="F521">
        <f t="shared" ref="F521:F584" si="427">(Ro/(Ro+Rdcr))/SQRT((A521/(Q*Fo))^2+(1-(A521^2/Fo^2))^2)</f>
        <v>8.3725725554760009E-6</v>
      </c>
      <c r="G521">
        <f t="shared" ref="G521:G584" si="428">-ATAN(A521*Fo/(Q*(Fo^2-A521^2)))</f>
        <v>1.1317310167157099E-3</v>
      </c>
      <c r="H521">
        <f t="shared" ref="H521:H584" si="429">IF(G521&gt;0,G521-Pi,G521)</f>
        <v>-3.1404609189832846</v>
      </c>
      <c r="J521">
        <f t="shared" ref="J521:J584" si="430">Vin/Vramp</f>
        <v>15</v>
      </c>
      <c r="M521">
        <f t="shared" ref="M521:M584" si="431">1/(2*Pi*_Rfb1*(Cc1ea_u+Cc2ea_u)*A521)</f>
        <v>1.7391975666388273E-3</v>
      </c>
      <c r="N521">
        <f t="shared" ref="N521:N584" si="432">-Pi/2</f>
        <v>-1.5707963250000001</v>
      </c>
      <c r="O521">
        <f t="shared" ref="O521:O584" si="433">SQRT(1+(A521/Fz1_u)^2)</f>
        <v>413.75838521943859</v>
      </c>
      <c r="P521">
        <f t="shared" ref="P521:P584" si="434">ATAN2(Fz1_u,A521)</f>
        <v>1.5683794549941832</v>
      </c>
      <c r="Q521">
        <f t="shared" ref="Q521:Q584" si="435">SQRT(1+(A521/Fz2_u)^2)</f>
        <v>391.90358634818074</v>
      </c>
      <c r="R521">
        <f t="shared" ref="R521:R584" si="436">ATAN2(Fz2_u,A521)</f>
        <v>1.5682446760318287</v>
      </c>
      <c r="S521">
        <f t="shared" ref="S521:S584" si="437">1/SQRT(1+(A521/Fp1_u)^2)</f>
        <v>9.9774302496430267E-2</v>
      </c>
      <c r="T521">
        <f t="shared" ref="T521:T584" si="438">-ATAN2(Fp1_u,A521)</f>
        <v>-1.4708557375755822</v>
      </c>
      <c r="U521">
        <f t="shared" ref="U521:U584" si="439">1/SQRT(1+(A521/Fp2_u)^2)</f>
        <v>0.55492550832073928</v>
      </c>
      <c r="V521">
        <f t="shared" ref="V521:V584" si="440">-ATAN2(Fp2_u,A521)</f>
        <v>-0.98252290735915571</v>
      </c>
      <c r="X521">
        <f t="shared" si="405"/>
        <v>-49.844374140272421</v>
      </c>
      <c r="Y521">
        <f t="shared" ref="Y521:Y584" si="441">(180/Pi)*(D521+H521+N521+P521+R521+T521+V521)</f>
        <v>-178.31340475285268</v>
      </c>
      <c r="Z521">
        <f t="shared" si="406"/>
        <v>1.6865952471473236</v>
      </c>
      <c r="AC521">
        <v>1</v>
      </c>
      <c r="AD521">
        <f t="shared" ref="AD521:AD584" si="442">Rcea1_u*Cc1ea_u*A521*2*Pi</f>
        <v>413.75717678295001</v>
      </c>
      <c r="AE521">
        <f t="shared" ref="AE521:AE584" si="443">-Rcea1_u*Cc1ea_u*Cc2ea_u*(A521*2*Pi)^2</f>
        <v>-4.7886713661369901E-2</v>
      </c>
      <c r="AF521">
        <f t="shared" ref="AF521:AF584" si="444">(Cc2ea_u+Cc1ea_u)*A521*2*Pi</f>
        <v>3.1943211410375996E-2</v>
      </c>
      <c r="AG521">
        <f t="shared" si="421"/>
        <v>3974.2936507385311</v>
      </c>
      <c r="AH521">
        <f t="shared" si="422"/>
        <v>-5989.2494715472476</v>
      </c>
      <c r="AJ521">
        <f t="shared" ref="AJ521:AJ584" si="445">_Rfb1</f>
        <v>18000</v>
      </c>
      <c r="AK521">
        <f t="shared" ref="AK521:AK584" si="446">_Rfb1*Rcea2_u*Cc3ea_u*A521*2*Pi</f>
        <v>179506.95977352603</v>
      </c>
      <c r="AL521">
        <v>1</v>
      </c>
      <c r="AM521">
        <f t="shared" ref="AM521:AM584" si="447">(_Rfb1+Rcea2_u)*Cc3ea_u*A521*2*Pi</f>
        <v>391.90231052210697</v>
      </c>
      <c r="AN521">
        <f t="shared" si="423"/>
        <v>458.15427904848184</v>
      </c>
      <c r="AO521">
        <f t="shared" si="424"/>
        <v>-44.760761164131985</v>
      </c>
      <c r="AQ521">
        <f t="shared" ref="AQ521:AQ584" si="448">Eadcg/(1+(Eadcg*A521/GBP)^2)</f>
        <v>1.0610191024818191E-3</v>
      </c>
      <c r="AR521">
        <f t="shared" ref="AR521:AR584" si="449">-(A521*Eadcg*Eadcg/GBP)/(1+(Eadcg*A521/GBP)^2)</f>
        <v>-3.2573286446191849</v>
      </c>
      <c r="AT521">
        <f t="shared" si="418"/>
        <v>-19504.737061958858</v>
      </c>
      <c r="AU521">
        <f t="shared" si="419"/>
        <v>-12951.935258777612</v>
      </c>
      <c r="AV521">
        <f t="shared" si="407"/>
        <v>-2.5554103730672635</v>
      </c>
      <c r="AW521">
        <f t="shared" si="408"/>
        <v>4750.8038079334428</v>
      </c>
      <c r="AX521">
        <f t="shared" si="409"/>
        <v>-8398.9264020246519</v>
      </c>
      <c r="AY521">
        <f t="shared" si="417"/>
        <v>-1.0560216210728477</v>
      </c>
      <c r="BA521">
        <f t="shared" ref="BA521:BA584" si="450">SQRT(AT521^2+AU521^2)/SQRT(AW521^2+AX521^2)</f>
        <v>2.4263947529190819</v>
      </c>
      <c r="BB521">
        <f t="shared" si="410"/>
        <v>7.6992291628280007</v>
      </c>
      <c r="BC521">
        <f t="shared" si="411"/>
        <v>-1.4993887519944158</v>
      </c>
      <c r="BD521">
        <f t="shared" ref="BD521:BD584" si="451">BC521*180/Pi-180</f>
        <v>-265.90864743683267</v>
      </c>
      <c r="BF521">
        <f t="shared" ref="BF521:BF584" si="452">20*LOG(BA521*J521*F521*C521)</f>
        <v>-66.01571205908823</v>
      </c>
      <c r="BG521">
        <f t="shared" ref="BG521:BG584" si="453">(180/Pi)*(D521+H521+BC521)</f>
        <v>-213.36913495881177</v>
      </c>
      <c r="BH521">
        <f t="shared" si="412"/>
        <v>-33.36913495881177</v>
      </c>
      <c r="BI521">
        <f t="shared" si="413"/>
        <v>-33.36913495881177</v>
      </c>
      <c r="BJ521">
        <f t="shared" ref="BJ521:BJ584" si="454">SUM((BF522&lt;0)*(BF521&gt;0))*A521</f>
        <v>0</v>
      </c>
      <c r="BK521">
        <f t="shared" si="414"/>
        <v>0</v>
      </c>
      <c r="BM521">
        <f t="shared" si="415"/>
        <v>-73.714941221916234</v>
      </c>
      <c r="BN521">
        <f t="shared" ref="BN521:BN584" si="455">(H521+D521)*180/Pi</f>
        <v>-127.4604875219791</v>
      </c>
      <c r="BQ521" s="56">
        <f t="shared" si="416"/>
        <v>24.601189963113139</v>
      </c>
    </row>
    <row r="522" spans="1:69" x14ac:dyDescent="0.25">
      <c r="A522">
        <f t="shared" si="420"/>
        <v>1540000</v>
      </c>
      <c r="B522">
        <f t="shared" ref="B522:B585" si="456">A522/1000</f>
        <v>1540</v>
      </c>
      <c r="C522">
        <f t="shared" si="425"/>
        <v>1.6450994948474003</v>
      </c>
      <c r="D522">
        <f t="shared" si="426"/>
        <v>0.91742607070215842</v>
      </c>
      <c r="F522">
        <f t="shared" si="427"/>
        <v>8.318293032313706E-6</v>
      </c>
      <c r="G522">
        <f t="shared" si="428"/>
        <v>1.1280565058143662E-3</v>
      </c>
      <c r="H522">
        <f t="shared" si="429"/>
        <v>-3.1404645934941859</v>
      </c>
      <c r="J522">
        <f t="shared" si="430"/>
        <v>15</v>
      </c>
      <c r="M522">
        <f t="shared" si="431"/>
        <v>1.7335508212925972E-3</v>
      </c>
      <c r="N522">
        <f t="shared" si="432"/>
        <v>-1.5707963250000001</v>
      </c>
      <c r="O522">
        <f t="shared" si="433"/>
        <v>415.10612454280493</v>
      </c>
      <c r="P522">
        <f t="shared" si="434"/>
        <v>1.5683873019501404</v>
      </c>
      <c r="Q522">
        <f t="shared" si="435"/>
        <v>393.18013696330269</v>
      </c>
      <c r="R522">
        <f t="shared" si="436"/>
        <v>1.568252960576443</v>
      </c>
      <c r="S522">
        <f t="shared" si="437"/>
        <v>9.9453569242208259E-2</v>
      </c>
      <c r="T522">
        <f t="shared" si="438"/>
        <v>-1.4711780740806764</v>
      </c>
      <c r="U522">
        <f t="shared" si="439"/>
        <v>0.55367675264364224</v>
      </c>
      <c r="V522">
        <f t="shared" si="440"/>
        <v>-0.98402324575229794</v>
      </c>
      <c r="X522">
        <f t="shared" ref="X522:X585" si="457">20*LOG(C522*J522*O522*Q522*F522*M522*S522*U522)</f>
        <v>-49.902368095221448</v>
      </c>
      <c r="Y522">
        <f t="shared" si="441"/>
        <v>-178.32714973970769</v>
      </c>
      <c r="Z522">
        <f t="shared" ref="Z522:Z585" si="458">Y522+180</f>
        <v>1.6728502602923072</v>
      </c>
      <c r="AC522">
        <v>1</v>
      </c>
      <c r="AD522">
        <f t="shared" si="442"/>
        <v>415.10492002980004</v>
      </c>
      <c r="AE522">
        <f t="shared" si="443"/>
        <v>-4.819918730991514E-2</v>
      </c>
      <c r="AF522">
        <f t="shared" si="444"/>
        <v>3.2047260958943995E-2</v>
      </c>
      <c r="AG522">
        <f t="shared" si="421"/>
        <v>3956.4269726975049</v>
      </c>
      <c r="AH522">
        <f t="shared" si="422"/>
        <v>-5981.6832702374031</v>
      </c>
      <c r="AJ522">
        <f t="shared" si="445"/>
        <v>18000</v>
      </c>
      <c r="AK522">
        <f t="shared" si="446"/>
        <v>180091.672997544</v>
      </c>
      <c r="AL522">
        <v>1</v>
      </c>
      <c r="AM522">
        <f t="shared" si="447"/>
        <v>393.17886527950799</v>
      </c>
      <c r="AN522">
        <f t="shared" si="423"/>
        <v>458.15353860738958</v>
      </c>
      <c r="AO522">
        <f t="shared" si="424"/>
        <v>-44.615435900712107</v>
      </c>
      <c r="AQ522">
        <f t="shared" si="448"/>
        <v>1.0541405534090326E-3</v>
      </c>
      <c r="AR522">
        <f t="shared" si="449"/>
        <v>-3.2467529044998202</v>
      </c>
      <c r="AT522">
        <f t="shared" si="418"/>
        <v>-19416.87690132275</v>
      </c>
      <c r="AU522">
        <f t="shared" si="419"/>
        <v>-12851.846299959861</v>
      </c>
      <c r="AV522">
        <f t="shared" ref="AV522:AV585" si="459">ATAN2(AT522,AU522)</f>
        <v>-2.5569039220786838</v>
      </c>
      <c r="AW522">
        <f t="shared" ref="AW522:AW585" si="460">AG522-AH522*AO522/_Rfb2+AG522*AN522/_Rfb2+AN522-AO522*AR522+AQ522*AN522</f>
        <v>4731.793946240703</v>
      </c>
      <c r="AX522">
        <f t="shared" ref="AX522:AX585" si="461">AH522+AH522*AN522/_Rfb2+AG522*AO522/_Rfb2+AO522+AO522*AQ522+AN522*AR522</f>
        <v>-8384.9197363186595</v>
      </c>
      <c r="AY522">
        <f t="shared" si="417"/>
        <v>-1.057023938825788</v>
      </c>
      <c r="BA522">
        <f t="shared" si="450"/>
        <v>2.4184745030676074</v>
      </c>
      <c r="BB522">
        <f t="shared" ref="BB522:BB585" si="462">20*LOG(BA522)</f>
        <v>7.6708302633882752</v>
      </c>
      <c r="BC522">
        <f t="shared" ref="BC522:BC585" si="463">AV522-AY522</f>
        <v>-1.4998799832528957</v>
      </c>
      <c r="BD522">
        <f t="shared" si="451"/>
        <v>-265.93679291474064</v>
      </c>
      <c r="BF522">
        <f t="shared" si="452"/>
        <v>-66.082816867577122</v>
      </c>
      <c r="BG522">
        <f t="shared" si="453"/>
        <v>-213.30751811126311</v>
      </c>
      <c r="BH522">
        <f t="shared" ref="BH522:BH585" si="464">IF(BG522&gt;180,BG522-180,BG522+180)</f>
        <v>-33.307518111263107</v>
      </c>
      <c r="BI522">
        <f t="shared" ref="BI522:BI585" si="465">IF(BH522&gt;180,BH522-360,BH522)</f>
        <v>-33.307518111263107</v>
      </c>
      <c r="BJ522">
        <f t="shared" si="454"/>
        <v>0</v>
      </c>
      <c r="BK522">
        <f t="shared" ref="BK522:BK585" si="466">IF(BJ522&gt;0,BI522,0)</f>
        <v>0</v>
      </c>
      <c r="BM522">
        <f t="shared" ref="BM522:BM585" si="467">20*LOG(J522*F522*C522)</f>
        <v>-73.753647130965405</v>
      </c>
      <c r="BN522">
        <f t="shared" si="455"/>
        <v>-127.3707251965225</v>
      </c>
      <c r="BQ522" s="56">
        <f t="shared" ref="BQ522:BQ585" si="468">20*LOG(BA522*7)</f>
        <v>24.572791063673414</v>
      </c>
    </row>
    <row r="523" spans="1:69" x14ac:dyDescent="0.25">
      <c r="A523">
        <f t="shared" si="420"/>
        <v>1545000</v>
      </c>
      <c r="B523">
        <f t="shared" si="456"/>
        <v>1545</v>
      </c>
      <c r="C523">
        <f t="shared" si="425"/>
        <v>1.6484691520779988</v>
      </c>
      <c r="D523">
        <f t="shared" si="426"/>
        <v>0.9189899773442437</v>
      </c>
      <c r="F523">
        <f t="shared" si="427"/>
        <v>8.2645396471229415E-6</v>
      </c>
      <c r="G523">
        <f t="shared" si="428"/>
        <v>1.1244057787304443E-3</v>
      </c>
      <c r="H523">
        <f t="shared" si="429"/>
        <v>-3.1404682442212697</v>
      </c>
      <c r="J523">
        <f t="shared" si="430"/>
        <v>15</v>
      </c>
      <c r="M523">
        <f t="shared" si="431"/>
        <v>1.727940624459935E-3</v>
      </c>
      <c r="N523">
        <f t="shared" si="432"/>
        <v>-1.5707963250000001</v>
      </c>
      <c r="O523">
        <f t="shared" si="433"/>
        <v>416.45386389156585</v>
      </c>
      <c r="P523">
        <f t="shared" si="434"/>
        <v>1.5683950981170323</v>
      </c>
      <c r="Q523">
        <f t="shared" si="435"/>
        <v>394.45668760523546</v>
      </c>
      <c r="R523">
        <f t="shared" si="436"/>
        <v>1.5682611914997551</v>
      </c>
      <c r="S523">
        <f t="shared" si="437"/>
        <v>9.9134881229595587E-2</v>
      </c>
      <c r="T523">
        <f t="shared" si="438"/>
        <v>-1.4714983448351879</v>
      </c>
      <c r="U523">
        <f t="shared" si="439"/>
        <v>0.5524323693597416</v>
      </c>
      <c r="V523">
        <f t="shared" si="440"/>
        <v>-0.98551684350217483</v>
      </c>
      <c r="X523">
        <f t="shared" si="457"/>
        <v>-49.960172120539106</v>
      </c>
      <c r="Y523">
        <f t="shared" si="441"/>
        <v>-178.34076238610001</v>
      </c>
      <c r="Z523">
        <f t="shared" si="458"/>
        <v>1.6592376138999896</v>
      </c>
      <c r="AC523">
        <v>1</v>
      </c>
      <c r="AD523">
        <f t="shared" si="442"/>
        <v>416.45266327665007</v>
      </c>
      <c r="AE523">
        <f t="shared" si="443"/>
        <v>-4.8512677132927229E-2</v>
      </c>
      <c r="AF523">
        <f t="shared" si="444"/>
        <v>3.2151310507512E-2</v>
      </c>
      <c r="AG523">
        <f t="shared" si="421"/>
        <v>3938.6628927822212</v>
      </c>
      <c r="AH523">
        <f t="shared" si="422"/>
        <v>-5974.0980451825635</v>
      </c>
      <c r="AJ523">
        <f t="shared" si="445"/>
        <v>18000</v>
      </c>
      <c r="AK523">
        <f t="shared" si="446"/>
        <v>180676.38622156202</v>
      </c>
      <c r="AL523">
        <v>1</v>
      </c>
      <c r="AM523">
        <f t="shared" si="447"/>
        <v>394.455420036909</v>
      </c>
      <c r="AN523">
        <f t="shared" si="423"/>
        <v>458.15280534334579</v>
      </c>
      <c r="AO523">
        <f t="shared" si="424"/>
        <v>-44.471051235689117</v>
      </c>
      <c r="AQ523">
        <f t="shared" si="448"/>
        <v>1.0473286782366462E-3</v>
      </c>
      <c r="AR523">
        <f t="shared" si="449"/>
        <v>-3.2362456157512369</v>
      </c>
      <c r="AT523">
        <f t="shared" si="418"/>
        <v>-19329.523532188588</v>
      </c>
      <c r="AU523">
        <f t="shared" si="419"/>
        <v>-12752.737362897866</v>
      </c>
      <c r="AV523">
        <f t="shared" si="459"/>
        <v>-2.5583907743907641</v>
      </c>
      <c r="AW523">
        <f t="shared" si="460"/>
        <v>4712.8895292412517</v>
      </c>
      <c r="AX523">
        <f t="shared" si="461"/>
        <v>-8370.9278263785491</v>
      </c>
      <c r="AY523">
        <f t="shared" ref="AY523:AY586" si="469">ATAN2(AW523,AX523)</f>
        <v>-1.0580219404873679</v>
      </c>
      <c r="BA523">
        <f t="shared" si="450"/>
        <v>2.4106057620698982</v>
      </c>
      <c r="BB523">
        <f t="shared" si="462"/>
        <v>7.6425238064094483</v>
      </c>
      <c r="BC523">
        <f t="shared" si="463"/>
        <v>-1.5003688339033963</v>
      </c>
      <c r="BD523">
        <f t="shared" si="451"/>
        <v>-265.96480199385854</v>
      </c>
      <c r="BF523">
        <f t="shared" si="452"/>
        <v>-66.149661172417623</v>
      </c>
      <c r="BG523">
        <f t="shared" si="453"/>
        <v>-213.24613111138899</v>
      </c>
      <c r="BH523">
        <f t="shared" si="464"/>
        <v>-33.246131111388991</v>
      </c>
      <c r="BI523">
        <f t="shared" si="465"/>
        <v>-33.246131111388991</v>
      </c>
      <c r="BJ523">
        <f t="shared" si="454"/>
        <v>0</v>
      </c>
      <c r="BK523">
        <f t="shared" si="466"/>
        <v>0</v>
      </c>
      <c r="BM523">
        <f t="shared" si="467"/>
        <v>-73.792184978827066</v>
      </c>
      <c r="BN523">
        <f t="shared" si="455"/>
        <v>-127.28132911753046</v>
      </c>
      <c r="BQ523" s="56">
        <f t="shared" si="468"/>
        <v>24.544484606694581</v>
      </c>
    </row>
    <row r="524" spans="1:69" x14ac:dyDescent="0.25">
      <c r="A524">
        <f t="shared" si="420"/>
        <v>1550000</v>
      </c>
      <c r="B524">
        <f t="shared" si="456"/>
        <v>1550</v>
      </c>
      <c r="C524">
        <f t="shared" si="425"/>
        <v>1.6518428246859023</v>
      </c>
      <c r="D524">
        <f t="shared" si="426"/>
        <v>0.92054749963382776</v>
      </c>
      <c r="F524">
        <f t="shared" si="427"/>
        <v>8.2113056219001695E-6</v>
      </c>
      <c r="G524">
        <f t="shared" si="428"/>
        <v>1.1207786052905803E-3</v>
      </c>
      <c r="H524">
        <f t="shared" si="429"/>
        <v>-3.1404718713947095</v>
      </c>
      <c r="J524">
        <f t="shared" si="430"/>
        <v>15</v>
      </c>
      <c r="M524">
        <f t="shared" si="431"/>
        <v>1.7223666224455484E-3</v>
      </c>
      <c r="N524">
        <f t="shared" si="432"/>
        <v>-1.5707963250000001</v>
      </c>
      <c r="O524">
        <f t="shared" si="433"/>
        <v>417.80160326547565</v>
      </c>
      <c r="P524">
        <f t="shared" si="434"/>
        <v>1.5684028439863624</v>
      </c>
      <c r="Q524">
        <f t="shared" si="435"/>
        <v>395.73323827371939</v>
      </c>
      <c r="R524">
        <f t="shared" si="436"/>
        <v>1.5682693693206764</v>
      </c>
      <c r="S524">
        <f t="shared" si="437"/>
        <v>9.881821905534037E-2</v>
      </c>
      <c r="T524">
        <f t="shared" si="438"/>
        <v>-1.4718165695687053</v>
      </c>
      <c r="U524">
        <f t="shared" si="439"/>
        <v>0.55119234565468256</v>
      </c>
      <c r="V524">
        <f t="shared" si="440"/>
        <v>-0.98700373931376084</v>
      </c>
      <c r="X524">
        <f t="shared" si="457"/>
        <v>-50.017787413472647</v>
      </c>
      <c r="Y524">
        <f t="shared" si="441"/>
        <v>-178.35424418265546</v>
      </c>
      <c r="Z524">
        <f t="shared" si="458"/>
        <v>1.6457558173445364</v>
      </c>
      <c r="AC524">
        <v>1</v>
      </c>
      <c r="AD524">
        <f t="shared" si="442"/>
        <v>417.80040652350004</v>
      </c>
      <c r="AE524">
        <f t="shared" si="443"/>
        <v>-4.8827183130406113E-2</v>
      </c>
      <c r="AF524">
        <f t="shared" si="444"/>
        <v>3.2255360056079999E-2</v>
      </c>
      <c r="AG524">
        <f t="shared" si="421"/>
        <v>3921.0008073554441</v>
      </c>
      <c r="AH524">
        <f t="shared" si="422"/>
        <v>-5966.4943792477743</v>
      </c>
      <c r="AJ524">
        <f t="shared" si="445"/>
        <v>18000</v>
      </c>
      <c r="AK524">
        <f t="shared" si="446"/>
        <v>181261.09944558001</v>
      </c>
      <c r="AL524">
        <v>1</v>
      </c>
      <c r="AM524">
        <f t="shared" si="447"/>
        <v>395.73197479430996</v>
      </c>
      <c r="AN524">
        <f t="shared" si="423"/>
        <v>458.15207916389386</v>
      </c>
      <c r="AO524">
        <f t="shared" si="424"/>
        <v>-44.327598066731532</v>
      </c>
      <c r="AQ524">
        <f t="shared" si="448"/>
        <v>1.0405826180455132E-3</v>
      </c>
      <c r="AR524">
        <f t="shared" si="449"/>
        <v>-3.2258061159410909</v>
      </c>
      <c r="AT524">
        <f t="shared" si="418"/>
        <v>-19242.673934020138</v>
      </c>
      <c r="AU524">
        <f t="shared" si="419"/>
        <v>-12654.597015318857</v>
      </c>
      <c r="AV524">
        <f t="shared" si="459"/>
        <v>-2.5598709682832195</v>
      </c>
      <c r="AW524">
        <f t="shared" si="460"/>
        <v>4694.0900003971356</v>
      </c>
      <c r="AX524">
        <f t="shared" si="461"/>
        <v>-8356.9509743553808</v>
      </c>
      <c r="AY524">
        <f t="shared" si="469"/>
        <v>-1.0590156409305085</v>
      </c>
      <c r="BA524">
        <f t="shared" si="450"/>
        <v>2.4027880279033837</v>
      </c>
      <c r="BB524">
        <f t="shared" si="462"/>
        <v>7.6143091874270237</v>
      </c>
      <c r="BC524">
        <f t="shared" si="463"/>
        <v>-1.500855327352711</v>
      </c>
      <c r="BD524">
        <f t="shared" si="451"/>
        <v>-265.99267601529687</v>
      </c>
      <c r="BF524">
        <f t="shared" si="452"/>
        <v>-66.216246873475853</v>
      </c>
      <c r="BG524">
        <f t="shared" si="453"/>
        <v>-213.18497350076456</v>
      </c>
      <c r="BH524">
        <f t="shared" si="464"/>
        <v>-33.184973500764556</v>
      </c>
      <c r="BI524">
        <f t="shared" si="465"/>
        <v>-33.184973500764556</v>
      </c>
      <c r="BJ524">
        <f t="shared" si="454"/>
        <v>0</v>
      </c>
      <c r="BK524">
        <f t="shared" si="466"/>
        <v>0</v>
      </c>
      <c r="BM524">
        <f t="shared" si="467"/>
        <v>-73.830556060902865</v>
      </c>
      <c r="BN524">
        <f t="shared" si="455"/>
        <v>-127.19229748546768</v>
      </c>
      <c r="BQ524" s="56">
        <f t="shared" si="468"/>
        <v>24.51626998771216</v>
      </c>
    </row>
    <row r="525" spans="1:69" x14ac:dyDescent="0.25">
      <c r="A525">
        <f t="shared" si="420"/>
        <v>1555000</v>
      </c>
      <c r="B525">
        <f t="shared" si="456"/>
        <v>1555</v>
      </c>
      <c r="C525">
        <f t="shared" si="425"/>
        <v>1.6552204881186692</v>
      </c>
      <c r="D525">
        <f t="shared" si="426"/>
        <v>0.92209866907501847</v>
      </c>
      <c r="F525">
        <f t="shared" si="427"/>
        <v>8.1585842874391904E-6</v>
      </c>
      <c r="G525">
        <f t="shared" si="428"/>
        <v>1.1171747582819592E-3</v>
      </c>
      <c r="H525">
        <f t="shared" si="429"/>
        <v>-3.1404754752417183</v>
      </c>
      <c r="J525">
        <f t="shared" si="430"/>
        <v>15</v>
      </c>
      <c r="M525">
        <f t="shared" si="431"/>
        <v>1.7168284661032798E-3</v>
      </c>
      <c r="N525">
        <f t="shared" si="432"/>
        <v>-1.5707963250000001</v>
      </c>
      <c r="O525">
        <f t="shared" si="433"/>
        <v>419.14934266429162</v>
      </c>
      <c r="P525">
        <f t="shared" si="434"/>
        <v>1.5684105400433124</v>
      </c>
      <c r="Q525">
        <f t="shared" si="435"/>
        <v>397.00978896849858</v>
      </c>
      <c r="R525">
        <f t="shared" si="436"/>
        <v>1.5682774945514442</v>
      </c>
      <c r="S525">
        <f t="shared" si="437"/>
        <v>9.8503563559610957E-2</v>
      </c>
      <c r="T525">
        <f t="shared" si="438"/>
        <v>-1.4721327677611957</v>
      </c>
      <c r="U525">
        <f t="shared" si="439"/>
        <v>0.54995666863094328</v>
      </c>
      <c r="V525">
        <f t="shared" si="440"/>
        <v>-0.98848397166400181</v>
      </c>
      <c r="X525">
        <f t="shared" si="457"/>
        <v>-50.075215160339255</v>
      </c>
      <c r="Y525">
        <f t="shared" si="441"/>
        <v>-178.36759660087861</v>
      </c>
      <c r="Z525">
        <f t="shared" si="458"/>
        <v>1.6324033991213867</v>
      </c>
      <c r="AC525">
        <v>1</v>
      </c>
      <c r="AD525">
        <f t="shared" si="442"/>
        <v>419.14814977035007</v>
      </c>
      <c r="AE525">
        <f t="shared" si="443"/>
        <v>-4.9142705302351819E-2</v>
      </c>
      <c r="AF525">
        <f t="shared" si="444"/>
        <v>3.2359409604648004E-2</v>
      </c>
      <c r="AG525">
        <f t="shared" si="421"/>
        <v>3903.4401147145923</v>
      </c>
      <c r="AH525">
        <f t="shared" si="422"/>
        <v>-5958.8728465274817</v>
      </c>
      <c r="AJ525">
        <f t="shared" si="445"/>
        <v>18000</v>
      </c>
      <c r="AK525">
        <f t="shared" si="446"/>
        <v>181845.812669598</v>
      </c>
      <c r="AL525">
        <v>1</v>
      </c>
      <c r="AM525">
        <f t="shared" si="447"/>
        <v>397.00852955171098</v>
      </c>
      <c r="AN525">
        <f t="shared" si="423"/>
        <v>458.15135997806095</v>
      </c>
      <c r="AO525">
        <f t="shared" si="424"/>
        <v>-44.185067408575883</v>
      </c>
      <c r="AQ525">
        <f t="shared" si="448"/>
        <v>1.0339015277032364E-3</v>
      </c>
      <c r="AR525">
        <f t="shared" si="449"/>
        <v>-3.215433751157065</v>
      </c>
      <c r="AT525">
        <f t="shared" si="418"/>
        <v>-19156.325096879937</v>
      </c>
      <c r="AU525">
        <f t="shared" si="419"/>
        <v>-12557.413978213119</v>
      </c>
      <c r="AV525">
        <f t="shared" si="459"/>
        <v>-2.5613445418132041</v>
      </c>
      <c r="AW525">
        <f t="shared" si="460"/>
        <v>4675.3948034444256</v>
      </c>
      <c r="AX525">
        <f t="shared" si="461"/>
        <v>-8342.9894770968385</v>
      </c>
      <c r="AY525">
        <f t="shared" si="469"/>
        <v>-1.0600050551128279</v>
      </c>
      <c r="BA525">
        <f t="shared" si="450"/>
        <v>2.3950208050572286</v>
      </c>
      <c r="BB525">
        <f t="shared" si="462"/>
        <v>7.5861858078910149</v>
      </c>
      <c r="BC525">
        <f t="shared" si="463"/>
        <v>-1.5013394867003762</v>
      </c>
      <c r="BD525">
        <f t="shared" si="451"/>
        <v>-266.02041630256161</v>
      </c>
      <c r="BF525">
        <f t="shared" si="452"/>
        <v>-66.282575851304003</v>
      </c>
      <c r="BG525">
        <f t="shared" si="453"/>
        <v>-213.12404481086165</v>
      </c>
      <c r="BH525">
        <f t="shared" si="464"/>
        <v>-33.124044810861648</v>
      </c>
      <c r="BI525">
        <f t="shared" si="465"/>
        <v>-33.124044810861648</v>
      </c>
      <c r="BJ525">
        <f t="shared" si="454"/>
        <v>0</v>
      </c>
      <c r="BK525">
        <f t="shared" si="466"/>
        <v>0</v>
      </c>
      <c r="BM525">
        <f t="shared" si="467"/>
        <v>-73.868761659195016</v>
      </c>
      <c r="BN525">
        <f t="shared" si="455"/>
        <v>-127.10362850830006</v>
      </c>
      <c r="BQ525" s="56">
        <f t="shared" si="468"/>
        <v>24.488146608176152</v>
      </c>
    </row>
    <row r="526" spans="1:69" x14ac:dyDescent="0.25">
      <c r="A526">
        <f t="shared" si="420"/>
        <v>1560000</v>
      </c>
      <c r="B526">
        <f t="shared" si="456"/>
        <v>1560</v>
      </c>
      <c r="C526">
        <f t="shared" si="425"/>
        <v>1.6586021179949306</v>
      </c>
      <c r="D526">
        <f t="shared" si="426"/>
        <v>0.92364351703773673</v>
      </c>
      <c r="F526">
        <f t="shared" si="427"/>
        <v>8.1063690812421938E-6</v>
      </c>
      <c r="G526">
        <f t="shared" si="428"/>
        <v>1.113594013404865E-3</v>
      </c>
      <c r="H526">
        <f t="shared" si="429"/>
        <v>-3.1404790559865954</v>
      </c>
      <c r="J526">
        <f t="shared" si="430"/>
        <v>15</v>
      </c>
      <c r="M526">
        <f t="shared" si="431"/>
        <v>1.7113258107632049E-3</v>
      </c>
      <c r="N526">
        <f t="shared" si="432"/>
        <v>-1.5707963250000001</v>
      </c>
      <c r="O526">
        <f t="shared" si="433"/>
        <v>420.49708208777452</v>
      </c>
      <c r="P526">
        <f t="shared" si="434"/>
        <v>1.5684181867668439</v>
      </c>
      <c r="Q526">
        <f t="shared" si="435"/>
        <v>398.28633968932007</v>
      </c>
      <c r="R526">
        <f t="shared" si="436"/>
        <v>1.5682855676977288</v>
      </c>
      <c r="S526">
        <f t="shared" si="437"/>
        <v>9.819089582221055E-2</v>
      </c>
      <c r="T526">
        <f t="shared" si="438"/>
        <v>-1.4724469586469275</v>
      </c>
      <c r="U526">
        <f t="shared" si="439"/>
        <v>0.54872532531098472</v>
      </c>
      <c r="V526">
        <f t="shared" si="440"/>
        <v>-0.98995757880255497</v>
      </c>
      <c r="X526">
        <f t="shared" si="457"/>
        <v>-50.132456536656832</v>
      </c>
      <c r="Y526">
        <f t="shared" si="441"/>
        <v>-178.38082109342793</v>
      </c>
      <c r="Z526">
        <f t="shared" si="458"/>
        <v>1.6191789065720741</v>
      </c>
      <c r="AC526">
        <v>1</v>
      </c>
      <c r="AD526">
        <f t="shared" si="442"/>
        <v>420.49589301719999</v>
      </c>
      <c r="AE526">
        <f t="shared" si="443"/>
        <v>-4.9459243648764341E-2</v>
      </c>
      <c r="AF526">
        <f t="shared" si="444"/>
        <v>3.2463459153216002E-2</v>
      </c>
      <c r="AG526">
        <f t="shared" si="421"/>
        <v>3885.9802151351564</v>
      </c>
      <c r="AH526">
        <f t="shared" si="422"/>
        <v>-5951.2340124576085</v>
      </c>
      <c r="AJ526">
        <f t="shared" si="445"/>
        <v>18000</v>
      </c>
      <c r="AK526">
        <f t="shared" si="446"/>
        <v>182430.52589361602</v>
      </c>
      <c r="AL526">
        <v>1</v>
      </c>
      <c r="AM526">
        <f t="shared" si="447"/>
        <v>398.28508430911199</v>
      </c>
      <c r="AN526">
        <f t="shared" si="423"/>
        <v>458.15064769633028</v>
      </c>
      <c r="AO526">
        <f t="shared" si="424"/>
        <v>-44.043450391150749</v>
      </c>
      <c r="AQ526">
        <f t="shared" si="448"/>
        <v>1.0272845755994642E-3</v>
      </c>
      <c r="AR526">
        <f t="shared" si="449"/>
        <v>-3.2051278758703283</v>
      </c>
      <c r="AT526">
        <f t="shared" si="418"/>
        <v>-19070.474021619411</v>
      </c>
      <c r="AU526">
        <f t="shared" si="419"/>
        <v>-12461.177123517047</v>
      </c>
      <c r="AV526">
        <f t="shared" si="459"/>
        <v>-2.5628115328159664</v>
      </c>
      <c r="AW526">
        <f t="shared" si="460"/>
        <v>4656.8033824779222</v>
      </c>
      <c r="AX526">
        <f t="shared" si="461"/>
        <v>-8329.0436262003186</v>
      </c>
      <c r="AY526">
        <f t="shared" si="469"/>
        <v>-1.0609901980722531</v>
      </c>
      <c r="BA526">
        <f t="shared" si="450"/>
        <v>2.3873036044269771</v>
      </c>
      <c r="BB526">
        <f t="shared" si="462"/>
        <v>7.5581530750889101</v>
      </c>
      <c r="BC526">
        <f t="shared" si="463"/>
        <v>-1.5018213347437133</v>
      </c>
      <c r="BD526">
        <f t="shared" si="451"/>
        <v>-266.04802416184299</v>
      </c>
      <c r="BF526">
        <f t="shared" si="452"/>
        <v>-66.348649967387487</v>
      </c>
      <c r="BG526">
        <f t="shared" si="453"/>
        <v>-213.06334456335796</v>
      </c>
      <c r="BH526">
        <f t="shared" si="464"/>
        <v>-33.063344563357958</v>
      </c>
      <c r="BI526">
        <f t="shared" si="465"/>
        <v>-33.063344563357958</v>
      </c>
      <c r="BJ526">
        <f t="shared" si="454"/>
        <v>0</v>
      </c>
      <c r="BK526">
        <f t="shared" si="466"/>
        <v>0</v>
      </c>
      <c r="BM526">
        <f t="shared" si="467"/>
        <v>-73.906803042476398</v>
      </c>
      <c r="BN526">
        <f t="shared" si="455"/>
        <v>-127.01532040151498</v>
      </c>
      <c r="BQ526" s="56">
        <f t="shared" si="468"/>
        <v>24.460113875374049</v>
      </c>
    </row>
    <row r="527" spans="1:69" x14ac:dyDescent="0.25">
      <c r="A527">
        <f t="shared" si="420"/>
        <v>1565000</v>
      </c>
      <c r="B527">
        <f t="shared" si="456"/>
        <v>1565</v>
      </c>
      <c r="C527">
        <f t="shared" si="425"/>
        <v>1.6619876901032369</v>
      </c>
      <c r="D527">
        <f t="shared" si="426"/>
        <v>0.9251820747574363</v>
      </c>
      <c r="F527">
        <f t="shared" si="427"/>
        <v>8.0546535454774772E-6</v>
      </c>
      <c r="G527">
        <f t="shared" si="428"/>
        <v>1.110036149226146E-3</v>
      </c>
      <c r="H527">
        <f t="shared" si="429"/>
        <v>-3.1404826138507742</v>
      </c>
      <c r="J527">
        <f t="shared" si="430"/>
        <v>15</v>
      </c>
      <c r="M527">
        <f t="shared" si="431"/>
        <v>1.7058583161601276E-3</v>
      </c>
      <c r="N527">
        <f t="shared" si="432"/>
        <v>-1.5707963250000001</v>
      </c>
      <c r="O527">
        <f t="shared" si="433"/>
        <v>421.84482153568763</v>
      </c>
      <c r="P527">
        <f t="shared" si="434"/>
        <v>1.5684257846297978</v>
      </c>
      <c r="Q527">
        <f t="shared" si="435"/>
        <v>399.56289043593426</v>
      </c>
      <c r="R527">
        <f t="shared" si="436"/>
        <v>1.5682935892587382</v>
      </c>
      <c r="S527">
        <f t="shared" si="437"/>
        <v>9.7880197158861787E-2</v>
      </c>
      <c r="T527">
        <f t="shared" si="438"/>
        <v>-1.4727591612183195</v>
      </c>
      <c r="U527">
        <f t="shared" si="439"/>
        <v>0.54749830264033483</v>
      </c>
      <c r="V527">
        <f t="shared" si="440"/>
        <v>-0.99142459875254541</v>
      </c>
      <c r="X527">
        <f t="shared" si="457"/>
        <v>-50.189512707272748</v>
      </c>
      <c r="Y527">
        <f t="shared" si="441"/>
        <v>-178.39391909438672</v>
      </c>
      <c r="Z527">
        <f t="shared" si="458"/>
        <v>1.6060809056132825</v>
      </c>
      <c r="AC527">
        <v>1</v>
      </c>
      <c r="AD527">
        <f t="shared" si="442"/>
        <v>421.84363626404996</v>
      </c>
      <c r="AE527">
        <f t="shared" si="443"/>
        <v>-4.9776798169643671E-2</v>
      </c>
      <c r="AF527">
        <f t="shared" si="444"/>
        <v>3.2567508701784001E-2</v>
      </c>
      <c r="AG527">
        <f t="shared" si="421"/>
        <v>3868.6205109125322</v>
      </c>
      <c r="AH527">
        <f t="shared" si="422"/>
        <v>-5943.5784339264974</v>
      </c>
      <c r="AJ527">
        <f t="shared" si="445"/>
        <v>18000</v>
      </c>
      <c r="AK527">
        <f t="shared" si="446"/>
        <v>183015.23911763402</v>
      </c>
      <c r="AL527">
        <v>1</v>
      </c>
      <c r="AM527">
        <f t="shared" si="447"/>
        <v>399.56163906651301</v>
      </c>
      <c r="AN527">
        <f t="shared" si="423"/>
        <v>458.1499422306124</v>
      </c>
      <c r="AO527">
        <f t="shared" si="424"/>
        <v>-43.902738257736708</v>
      </c>
      <c r="AQ527">
        <f t="shared" si="448"/>
        <v>1.0207309433870977E-3</v>
      </c>
      <c r="AR527">
        <f t="shared" si="449"/>
        <v>-3.1948878528016156</v>
      </c>
      <c r="AT527">
        <f t="shared" si="418"/>
        <v>-18985.117720061706</v>
      </c>
      <c r="AU527">
        <f t="shared" si="419"/>
        <v>-12365.875471835585</v>
      </c>
      <c r="AV527">
        <f t="shared" si="459"/>
        <v>-2.5642719789055199</v>
      </c>
      <c r="AW527">
        <f t="shared" si="460"/>
        <v>4638.3151820332723</v>
      </c>
      <c r="AX527">
        <f t="shared" si="461"/>
        <v>-8315.1137080661338</v>
      </c>
      <c r="AY527">
        <f t="shared" si="469"/>
        <v>-1.0619710849227473</v>
      </c>
      <c r="BA527">
        <f t="shared" si="450"/>
        <v>2.3796359432112308</v>
      </c>
      <c r="BB527">
        <f t="shared" si="462"/>
        <v>7.5302104020698852</v>
      </c>
      <c r="BC527">
        <f t="shared" si="463"/>
        <v>-1.5023008939827727</v>
      </c>
      <c r="BD527">
        <f t="shared" si="451"/>
        <v>-266.07550088229902</v>
      </c>
      <c r="BF527">
        <f t="shared" si="452"/>
        <v>-66.414471064388124</v>
      </c>
      <c r="BG527">
        <f t="shared" si="453"/>
        <v>-213.00287227043896</v>
      </c>
      <c r="BH527">
        <f t="shared" si="464"/>
        <v>-33.002872270438957</v>
      </c>
      <c r="BI527">
        <f t="shared" si="465"/>
        <v>-33.002872270438957</v>
      </c>
      <c r="BJ527">
        <f t="shared" si="454"/>
        <v>0</v>
      </c>
      <c r="BK527">
        <f t="shared" si="466"/>
        <v>0</v>
      </c>
      <c r="BM527">
        <f t="shared" si="467"/>
        <v>-73.944681466458007</v>
      </c>
      <c r="BN527">
        <f t="shared" si="455"/>
        <v>-126.92737138813996</v>
      </c>
      <c r="BQ527" s="56">
        <f t="shared" si="468"/>
        <v>24.432171202355022</v>
      </c>
    </row>
    <row r="528" spans="1:69" x14ac:dyDescent="0.25">
      <c r="A528">
        <f t="shared" si="420"/>
        <v>1570000</v>
      </c>
      <c r="B528">
        <f t="shared" si="456"/>
        <v>1570</v>
      </c>
      <c r="C528">
        <f t="shared" si="425"/>
        <v>1.6653771804009074</v>
      </c>
      <c r="D528">
        <f t="shared" si="426"/>
        <v>0.92671437333484441</v>
      </c>
      <c r="F528">
        <f t="shared" si="427"/>
        <v>8.0034313249826065E-6</v>
      </c>
      <c r="G528">
        <f t="shared" si="428"/>
        <v>1.1065009471335646E-3</v>
      </c>
      <c r="H528">
        <f t="shared" si="429"/>
        <v>-3.1404861490528666</v>
      </c>
      <c r="J528">
        <f t="shared" si="430"/>
        <v>15</v>
      </c>
      <c r="M528">
        <f t="shared" si="431"/>
        <v>1.7004256463634393E-3</v>
      </c>
      <c r="N528">
        <f t="shared" si="432"/>
        <v>-1.5707963250000001</v>
      </c>
      <c r="O528">
        <f t="shared" si="433"/>
        <v>423.19256100779774</v>
      </c>
      <c r="P528">
        <f t="shared" si="434"/>
        <v>1.5684333340989911</v>
      </c>
      <c r="Q528">
        <f t="shared" si="435"/>
        <v>400.83944120809474</v>
      </c>
      <c r="R528">
        <f t="shared" si="436"/>
        <v>1.5683015597273213</v>
      </c>
      <c r="S528">
        <f t="shared" si="437"/>
        <v>9.7571449117559717E-2</v>
      </c>
      <c r="T528">
        <f t="shared" si="438"/>
        <v>-1.4730693942297168</v>
      </c>
      <c r="U528">
        <f t="shared" si="439"/>
        <v>0.54627558749061422</v>
      </c>
      <c r="V528">
        <f t="shared" si="440"/>
        <v>-0.99288506931133802</v>
      </c>
      <c r="X528">
        <f t="shared" si="457"/>
        <v>-50.246384826490768</v>
      </c>
      <c r="Y528">
        <f t="shared" si="441"/>
        <v>-178.40689201952958</v>
      </c>
      <c r="Z528">
        <f t="shared" si="458"/>
        <v>1.5931079804704211</v>
      </c>
      <c r="AC528">
        <v>1</v>
      </c>
      <c r="AD528">
        <f t="shared" si="442"/>
        <v>423.19137951089999</v>
      </c>
      <c r="AE528">
        <f t="shared" si="443"/>
        <v>-5.0095368864989817E-2</v>
      </c>
      <c r="AF528">
        <f t="shared" si="444"/>
        <v>3.2671558250351999E-2</v>
      </c>
      <c r="AG528">
        <f t="shared" si="421"/>
        <v>3851.3604064023066</v>
      </c>
      <c r="AH528">
        <f t="shared" si="422"/>
        <v>-5935.9066593847338</v>
      </c>
      <c r="AJ528">
        <f t="shared" si="445"/>
        <v>18000</v>
      </c>
      <c r="AK528">
        <f t="shared" si="446"/>
        <v>183599.95234165201</v>
      </c>
      <c r="AL528">
        <v>1</v>
      </c>
      <c r="AM528">
        <f t="shared" si="447"/>
        <v>400.83819382391397</v>
      </c>
      <c r="AN528">
        <f t="shared" si="423"/>
        <v>458.14924349421864</v>
      </c>
      <c r="AO528">
        <f t="shared" si="424"/>
        <v>-43.762922363161387</v>
      </c>
      <c r="AQ528">
        <f t="shared" si="448"/>
        <v>1.0142398257292561E-3</v>
      </c>
      <c r="AR528">
        <f t="shared" si="449"/>
        <v>-3.1847130527898644</v>
      </c>
      <c r="AT528">
        <f t="shared" si="418"/>
        <v>-18900.253215177432</v>
      </c>
      <c r="AU528">
        <f t="shared" si="419"/>
        <v>-12271.498190203263</v>
      </c>
      <c r="AV528">
        <f t="shared" si="459"/>
        <v>-2.5657259174753273</v>
      </c>
      <c r="AW528">
        <f t="shared" si="460"/>
        <v>4619.9296471665793</v>
      </c>
      <c r="AX528">
        <f t="shared" si="461"/>
        <v>-8301.2000039508184</v>
      </c>
      <c r="AY528">
        <f t="shared" si="469"/>
        <v>-1.0629477308501529</v>
      </c>
      <c r="BA528">
        <f t="shared" si="450"/>
        <v>2.3720173448103252</v>
      </c>
      <c r="BB528">
        <f t="shared" si="462"/>
        <v>7.5023572075702427</v>
      </c>
      <c r="BC528">
        <f t="shared" si="463"/>
        <v>-1.5027781866251744</v>
      </c>
      <c r="BD528">
        <f t="shared" si="451"/>
        <v>-266.10284773633254</v>
      </c>
      <c r="BF528">
        <f t="shared" si="452"/>
        <v>-66.480040966383726</v>
      </c>
      <c r="BG528">
        <f t="shared" si="453"/>
        <v>-212.94262743509262</v>
      </c>
      <c r="BH528">
        <f t="shared" si="464"/>
        <v>-32.942627435092618</v>
      </c>
      <c r="BI528">
        <f t="shared" si="465"/>
        <v>-32.942627435092618</v>
      </c>
      <c r="BJ528">
        <f t="shared" si="454"/>
        <v>0</v>
      </c>
      <c r="BK528">
        <f t="shared" si="466"/>
        <v>0</v>
      </c>
      <c r="BM528">
        <f t="shared" si="467"/>
        <v>-73.982398173953953</v>
      </c>
      <c r="BN528">
        <f t="shared" si="455"/>
        <v>-126.83977969876011</v>
      </c>
      <c r="BQ528" s="56">
        <f t="shared" si="468"/>
        <v>24.40431800785538</v>
      </c>
    </row>
    <row r="529" spans="1:69" x14ac:dyDescent="0.25">
      <c r="A529">
        <f t="shared" si="420"/>
        <v>1575000</v>
      </c>
      <c r="B529">
        <f t="shared" si="456"/>
        <v>1575</v>
      </c>
      <c r="C529">
        <f t="shared" si="425"/>
        <v>1.6687705650128841</v>
      </c>
      <c r="D529">
        <f t="shared" si="426"/>
        <v>0.92824044373572689</v>
      </c>
      <c r="F529">
        <f t="shared" si="427"/>
        <v>7.9526961653118899E-6</v>
      </c>
      <c r="G529">
        <f t="shared" si="428"/>
        <v>1.1029881912910202E-3</v>
      </c>
      <c r="H529">
        <f t="shared" si="429"/>
        <v>-3.1404896618087093</v>
      </c>
      <c r="J529">
        <f t="shared" si="430"/>
        <v>15</v>
      </c>
      <c r="M529">
        <f t="shared" si="431"/>
        <v>1.6950274697083174E-3</v>
      </c>
      <c r="N529">
        <f t="shared" si="432"/>
        <v>-1.5707963250000001</v>
      </c>
      <c r="O529">
        <f t="shared" si="433"/>
        <v>424.54030050387433</v>
      </c>
      <c r="P529">
        <f t="shared" si="434"/>
        <v>1.5684408356353134</v>
      </c>
      <c r="Q529">
        <f t="shared" si="435"/>
        <v>402.11599200555821</v>
      </c>
      <c r="R529">
        <f t="shared" si="436"/>
        <v>1.5683094795900687</v>
      </c>
      <c r="S529">
        <f t="shared" si="437"/>
        <v>9.7264633474992188E-2</v>
      </c>
      <c r="T529">
        <f t="shared" si="438"/>
        <v>-1.4733776762010979</v>
      </c>
      <c r="U529">
        <f t="shared" si="439"/>
        <v>0.54505716666249981</v>
      </c>
      <c r="V529">
        <f t="shared" si="440"/>
        <v>-0.99433902805132435</v>
      </c>
      <c r="X529">
        <f t="shared" si="457"/>
        <v>-50.303074038195973</v>
      </c>
      <c r="Y529">
        <f t="shared" si="441"/>
        <v>-178.41974126658465</v>
      </c>
      <c r="Z529">
        <f t="shared" si="458"/>
        <v>1.5802587334153486</v>
      </c>
      <c r="AC529">
        <v>1</v>
      </c>
      <c r="AD529">
        <f t="shared" si="442"/>
        <v>424.53912275775002</v>
      </c>
      <c r="AE529">
        <f t="shared" si="443"/>
        <v>-5.0414955734802779E-2</v>
      </c>
      <c r="AF529">
        <f t="shared" si="444"/>
        <v>3.2775607798919998E-2</v>
      </c>
      <c r="AG529">
        <f t="shared" si="421"/>
        <v>3834.1993080590451</v>
      </c>
      <c r="AH529">
        <f t="shared" si="422"/>
        <v>-5928.2192289538771</v>
      </c>
      <c r="AJ529">
        <f t="shared" si="445"/>
        <v>18000</v>
      </c>
      <c r="AK529">
        <f t="shared" si="446"/>
        <v>184184.66556567003</v>
      </c>
      <c r="AL529">
        <v>1</v>
      </c>
      <c r="AM529">
        <f t="shared" si="447"/>
        <v>402.11474858131498</v>
      </c>
      <c r="AN529">
        <f t="shared" si="423"/>
        <v>458.14855140183386</v>
      </c>
      <c r="AO529">
        <f t="shared" si="424"/>
        <v>-43.623994172028944</v>
      </c>
      <c r="AQ529">
        <f t="shared" si="448"/>
        <v>1.007810430051859E-3</v>
      </c>
      <c r="AR529">
        <f t="shared" si="449"/>
        <v>-3.1746028546633553</v>
      </c>
      <c r="AT529">
        <f t="shared" si="418"/>
        <v>-18815.877541253616</v>
      </c>
      <c r="AU529">
        <f t="shared" si="419"/>
        <v>-12178.03458988308</v>
      </c>
      <c r="AV529">
        <f t="shared" si="459"/>
        <v>-2.5671733856990082</v>
      </c>
      <c r="AW529">
        <f t="shared" si="460"/>
        <v>4601.6462235315648</v>
      </c>
      <c r="AX529">
        <f t="shared" si="461"/>
        <v>-8287.3027900205416</v>
      </c>
      <c r="AY529">
        <f t="shared" si="469"/>
        <v>-1.0639201511081453</v>
      </c>
      <c r="BA529">
        <f t="shared" si="450"/>
        <v>2.3644473387269547</v>
      </c>
      <c r="BB529">
        <f t="shared" si="462"/>
        <v>7.4745929159400539</v>
      </c>
      <c r="BC529">
        <f t="shared" si="463"/>
        <v>-1.5032532345908629</v>
      </c>
      <c r="BD529">
        <f t="shared" si="451"/>
        <v>-266.13006597986384</v>
      </c>
      <c r="BF529">
        <f t="shared" si="452"/>
        <v>-66.545361479103988</v>
      </c>
      <c r="BG529">
        <f t="shared" si="453"/>
        <v>-212.88260955139808</v>
      </c>
      <c r="BH529">
        <f t="shared" si="464"/>
        <v>-32.882609551398076</v>
      </c>
      <c r="BI529">
        <f t="shared" si="465"/>
        <v>-32.882609551398076</v>
      </c>
      <c r="BJ529">
        <f t="shared" si="454"/>
        <v>0</v>
      </c>
      <c r="BK529">
        <f t="shared" si="466"/>
        <v>0</v>
      </c>
      <c r="BM529">
        <f t="shared" si="467"/>
        <v>-74.019954395044039</v>
      </c>
      <c r="BN529">
        <f t="shared" si="455"/>
        <v>-126.75254357153426</v>
      </c>
      <c r="BQ529" s="56">
        <f t="shared" si="468"/>
        <v>24.376553716225189</v>
      </c>
    </row>
    <row r="530" spans="1:69" x14ac:dyDescent="0.25">
      <c r="A530">
        <f t="shared" si="420"/>
        <v>1580000</v>
      </c>
      <c r="B530">
        <f t="shared" si="456"/>
        <v>1580</v>
      </c>
      <c r="C530">
        <f t="shared" si="425"/>
        <v>1.6721678202305901</v>
      </c>
      <c r="D530">
        <f t="shared" si="426"/>
        <v>0.92976031679067461</v>
      </c>
      <c r="F530">
        <f t="shared" si="427"/>
        <v>7.9024419108270401E-6</v>
      </c>
      <c r="G530">
        <f t="shared" si="428"/>
        <v>1.0994976685946198E-3</v>
      </c>
      <c r="H530">
        <f t="shared" si="429"/>
        <v>-3.1404931523314055</v>
      </c>
      <c r="J530">
        <f t="shared" si="430"/>
        <v>15</v>
      </c>
      <c r="M530">
        <f t="shared" si="431"/>
        <v>1.6896634587282278E-3</v>
      </c>
      <c r="N530">
        <f t="shared" si="432"/>
        <v>-1.5707963250000001</v>
      </c>
      <c r="O530">
        <f t="shared" si="433"/>
        <v>425.88804002369</v>
      </c>
      <c r="P530">
        <f t="shared" si="434"/>
        <v>1.5684482896938203</v>
      </c>
      <c r="Q530">
        <f t="shared" si="435"/>
        <v>403.39254282808452</v>
      </c>
      <c r="R530">
        <f t="shared" si="436"/>
        <v>1.5683173493274116</v>
      </c>
      <c r="S530">
        <f t="shared" si="437"/>
        <v>9.6959732233025619E-2</v>
      </c>
      <c r="T530">
        <f t="shared" si="438"/>
        <v>-1.4736840254217134</v>
      </c>
      <c r="U530">
        <f t="shared" si="439"/>
        <v>0.5438430268886284</v>
      </c>
      <c r="V530">
        <f t="shared" si="440"/>
        <v>-0.99578651232072379</v>
      </c>
      <c r="X530">
        <f t="shared" si="457"/>
        <v>-50.35958147597789</v>
      </c>
      <c r="Y530">
        <f t="shared" si="441"/>
        <v>-178.43246821549207</v>
      </c>
      <c r="Z530">
        <f t="shared" si="458"/>
        <v>1.5675317845079348</v>
      </c>
      <c r="AC530">
        <v>1</v>
      </c>
      <c r="AD530">
        <f t="shared" si="442"/>
        <v>425.88686600459999</v>
      </c>
      <c r="AE530">
        <f t="shared" si="443"/>
        <v>-5.0735558779082555E-2</v>
      </c>
      <c r="AF530">
        <f t="shared" si="444"/>
        <v>3.2879657347487996E-2</v>
      </c>
      <c r="AG530">
        <f t="shared" si="421"/>
        <v>3817.1366244735968</v>
      </c>
      <c r="AH530">
        <f t="shared" si="422"/>
        <v>-5920.5166745340584</v>
      </c>
      <c r="AJ530">
        <f t="shared" si="445"/>
        <v>18000</v>
      </c>
      <c r="AK530">
        <f t="shared" si="446"/>
        <v>184769.37878968799</v>
      </c>
      <c r="AL530">
        <v>1</v>
      </c>
      <c r="AM530">
        <f t="shared" si="447"/>
        <v>403.391303338716</v>
      </c>
      <c r="AN530">
        <f t="shared" si="423"/>
        <v>458.14786586949032</v>
      </c>
      <c r="AO530">
        <f t="shared" si="424"/>
        <v>-43.485945256983207</v>
      </c>
      <c r="AQ530">
        <f t="shared" si="448"/>
        <v>1.0014419763016767E-3</v>
      </c>
      <c r="AR530">
        <f t="shared" si="449"/>
        <v>-3.1645566451132985</v>
      </c>
      <c r="AT530">
        <f t="shared" si="418"/>
        <v>-18731.987744055819</v>
      </c>
      <c r="AU530">
        <f t="shared" si="419"/>
        <v>-12085.474124202537</v>
      </c>
      <c r="AV530">
        <f t="shared" si="459"/>
        <v>-2.5686144205310582</v>
      </c>
      <c r="AW530">
        <f t="shared" si="460"/>
        <v>4583.4643574543252</v>
      </c>
      <c r="AX530">
        <f t="shared" si="461"/>
        <v>-8273.4223374045378</v>
      </c>
      <c r="AY530">
        <f t="shared" si="469"/>
        <v>-1.0648883610142954</v>
      </c>
      <c r="BA530">
        <f t="shared" si="450"/>
        <v>2.3569254604687075</v>
      </c>
      <c r="BB530">
        <f t="shared" si="462"/>
        <v>7.446916957070993</v>
      </c>
      <c r="BC530">
        <f t="shared" si="463"/>
        <v>-1.5037260595167627</v>
      </c>
      <c r="BD530">
        <f t="shared" si="451"/>
        <v>-266.15715685259744</v>
      </c>
      <c r="BF530">
        <f t="shared" si="452"/>
        <v>-66.610434390162695</v>
      </c>
      <c r="BG530">
        <f t="shared" si="453"/>
        <v>-212.82281810480706</v>
      </c>
      <c r="BH530">
        <f t="shared" si="464"/>
        <v>-32.822818104807055</v>
      </c>
      <c r="BI530">
        <f t="shared" si="465"/>
        <v>-32.822818104807055</v>
      </c>
      <c r="BJ530">
        <f t="shared" si="454"/>
        <v>0</v>
      </c>
      <c r="BK530">
        <f t="shared" si="466"/>
        <v>0</v>
      </c>
      <c r="BM530">
        <f t="shared" si="467"/>
        <v>-74.057351347233691</v>
      </c>
      <c r="BN530">
        <f t="shared" si="455"/>
        <v>-126.66566125220963</v>
      </c>
      <c r="BQ530" s="56">
        <f t="shared" si="468"/>
        <v>24.348877757356128</v>
      </c>
    </row>
    <row r="531" spans="1:69" x14ac:dyDescent="0.25">
      <c r="A531">
        <f t="shared" si="420"/>
        <v>1585000</v>
      </c>
      <c r="B531">
        <f t="shared" si="456"/>
        <v>1585</v>
      </c>
      <c r="C531">
        <f t="shared" si="425"/>
        <v>1.675568922510795</v>
      </c>
      <c r="D531">
        <f t="shared" si="426"/>
        <v>0.9312740231949117</v>
      </c>
      <c r="F531">
        <f t="shared" si="427"/>
        <v>7.8526625028299093E-6</v>
      </c>
      <c r="G531">
        <f t="shared" si="428"/>
        <v>1.0960291686295824E-3</v>
      </c>
      <c r="H531">
        <f t="shared" si="429"/>
        <v>-3.1404966208313705</v>
      </c>
      <c r="J531">
        <f t="shared" si="430"/>
        <v>15</v>
      </c>
      <c r="M531">
        <f t="shared" si="431"/>
        <v>1.6843332900887064E-3</v>
      </c>
      <c r="N531">
        <f t="shared" si="432"/>
        <v>-1.5707963250000001</v>
      </c>
      <c r="O531">
        <f t="shared" si="433"/>
        <v>427.23577956701985</v>
      </c>
      <c r="P531">
        <f t="shared" si="434"/>
        <v>1.5684556967238255</v>
      </c>
      <c r="Q531">
        <f t="shared" si="435"/>
        <v>404.66909367543639</v>
      </c>
      <c r="R531">
        <f t="shared" si="436"/>
        <v>1.568325169413719</v>
      </c>
      <c r="S531">
        <f t="shared" si="437"/>
        <v>9.6656727615255025E-2</v>
      </c>
      <c r="T531">
        <f t="shared" si="438"/>
        <v>-1.4739884599536546</v>
      </c>
      <c r="U531">
        <f t="shared" si="439"/>
        <v>0.54263315483644348</v>
      </c>
      <c r="V531">
        <f t="shared" si="440"/>
        <v>-0.9972275592443991</v>
      </c>
      <c r="X531">
        <f t="shared" si="457"/>
        <v>-50.415908263251836</v>
      </c>
      <c r="Y531">
        <f t="shared" si="441"/>
        <v>-178.44507422865729</v>
      </c>
      <c r="Z531">
        <f t="shared" si="458"/>
        <v>1.5549257713427096</v>
      </c>
      <c r="AC531">
        <v>1</v>
      </c>
      <c r="AD531">
        <f t="shared" si="442"/>
        <v>427.23460925145002</v>
      </c>
      <c r="AE531">
        <f t="shared" si="443"/>
        <v>-5.1057177997829141E-2</v>
      </c>
      <c r="AF531">
        <f t="shared" si="444"/>
        <v>3.2983706896056002E-2</v>
      </c>
      <c r="AG531">
        <f t="shared" si="421"/>
        <v>3800.1717664089842</v>
      </c>
      <c r="AH531">
        <f t="shared" si="422"/>
        <v>-5912.7995199104917</v>
      </c>
      <c r="AJ531">
        <f t="shared" si="445"/>
        <v>18000</v>
      </c>
      <c r="AK531">
        <f t="shared" si="446"/>
        <v>185354.09201370602</v>
      </c>
      <c r="AL531">
        <v>1</v>
      </c>
      <c r="AM531">
        <f t="shared" si="447"/>
        <v>404.66785809611702</v>
      </c>
      <c r="AN531">
        <f t="shared" si="423"/>
        <v>458.14718681454389</v>
      </c>
      <c r="AO531">
        <f t="shared" si="424"/>
        <v>-43.348767297003612</v>
      </c>
      <c r="AQ531">
        <f t="shared" si="448"/>
        <v>9.9513369670971991E-4</v>
      </c>
      <c r="AR531">
        <f t="shared" si="449"/>
        <v>-3.1545738185698116</v>
      </c>
      <c r="AT531">
        <f t="shared" si="418"/>
        <v>-18648.580880983751</v>
      </c>
      <c r="AU531">
        <f t="shared" si="419"/>
        <v>-11993.806386426128</v>
      </c>
      <c r="AV531">
        <f t="shared" si="459"/>
        <v>-2.5700490587075819</v>
      </c>
      <c r="AW531">
        <f t="shared" si="460"/>
        <v>4565.3834960057884</v>
      </c>
      <c r="AX531">
        <f t="shared" si="461"/>
        <v>-8259.5589122486126</v>
      </c>
      <c r="AY531">
        <f t="shared" si="469"/>
        <v>-1.0658523759462377</v>
      </c>
      <c r="BA531">
        <f t="shared" si="450"/>
        <v>2.3494512514524577</v>
      </c>
      <c r="BB531">
        <f t="shared" si="462"/>
        <v>7.419328766325302</v>
      </c>
      <c r="BC531">
        <f t="shared" si="463"/>
        <v>-1.5041966827613442</v>
      </c>
      <c r="BD531">
        <f t="shared" si="451"/>
        <v>-266.18412157828357</v>
      </c>
      <c r="BF531">
        <f t="shared" si="452"/>
        <v>-66.675261469286397</v>
      </c>
      <c r="BG531">
        <f t="shared" si="453"/>
        <v>-212.76325257241879</v>
      </c>
      <c r="BH531">
        <f t="shared" si="464"/>
        <v>-32.763252572418793</v>
      </c>
      <c r="BI531">
        <f t="shared" si="465"/>
        <v>-32.763252572418793</v>
      </c>
      <c r="BJ531">
        <f t="shared" si="454"/>
        <v>0</v>
      </c>
      <c r="BK531">
        <f t="shared" si="466"/>
        <v>0</v>
      </c>
      <c r="BM531">
        <f t="shared" si="467"/>
        <v>-74.094590235611705</v>
      </c>
      <c r="BN531">
        <f t="shared" si="455"/>
        <v>-126.57913099413528</v>
      </c>
      <c r="BQ531" s="56">
        <f t="shared" si="468"/>
        <v>24.321289566610439</v>
      </c>
    </row>
    <row r="532" spans="1:69" x14ac:dyDescent="0.25">
      <c r="A532">
        <f t="shared" si="420"/>
        <v>1590000</v>
      </c>
      <c r="B532">
        <f t="shared" si="456"/>
        <v>1590</v>
      </c>
      <c r="C532">
        <f t="shared" si="425"/>
        <v>1.6789738484744809</v>
      </c>
      <c r="D532">
        <f t="shared" si="426"/>
        <v>0.93278159350812484</v>
      </c>
      <c r="F532">
        <f t="shared" si="427"/>
        <v>7.8033519777362989E-6</v>
      </c>
      <c r="G532">
        <f t="shared" si="428"/>
        <v>1.0925824836279547E-3</v>
      </c>
      <c r="H532">
        <f t="shared" si="429"/>
        <v>-3.1405000675163723</v>
      </c>
      <c r="J532">
        <f t="shared" si="430"/>
        <v>15</v>
      </c>
      <c r="M532">
        <f t="shared" si="431"/>
        <v>1.6790366445223897E-3</v>
      </c>
      <c r="N532">
        <f t="shared" si="432"/>
        <v>-1.5707963250000001</v>
      </c>
      <c r="O532">
        <f t="shared" si="433"/>
        <v>428.58351913364231</v>
      </c>
      <c r="P532">
        <f t="shared" si="434"/>
        <v>1.5684630571689906</v>
      </c>
      <c r="Q532">
        <f t="shared" si="435"/>
        <v>405.94564454737957</v>
      </c>
      <c r="R532">
        <f t="shared" si="436"/>
        <v>1.5683329403173929</v>
      </c>
      <c r="S532">
        <f t="shared" si="437"/>
        <v>9.6355602063617221E-2</v>
      </c>
      <c r="T532">
        <f t="shared" si="438"/>
        <v>-1.4742909976353598</v>
      </c>
      <c r="U532">
        <f t="shared" si="439"/>
        <v>0.54142753711098257</v>
      </c>
      <c r="V532">
        <f t="shared" si="440"/>
        <v>-0.99866220572468445</v>
      </c>
      <c r="X532">
        <f t="shared" si="457"/>
        <v>-50.472055513378336</v>
      </c>
      <c r="Y532">
        <f t="shared" si="441"/>
        <v>-178.45756065120133</v>
      </c>
      <c r="Z532">
        <f t="shared" si="458"/>
        <v>1.5424393487986663</v>
      </c>
      <c r="AC532">
        <v>1</v>
      </c>
      <c r="AD532">
        <f t="shared" si="442"/>
        <v>428.5823524983</v>
      </c>
      <c r="AE532">
        <f t="shared" si="443"/>
        <v>-5.1379813391042542E-2</v>
      </c>
      <c r="AF532">
        <f t="shared" si="444"/>
        <v>3.3087756444624E-2</v>
      </c>
      <c r="AG532">
        <f t="shared" si="421"/>
        <v>3783.3041468348561</v>
      </c>
      <c r="AH532">
        <f t="shared" si="422"/>
        <v>-5905.0682808588526</v>
      </c>
      <c r="AJ532">
        <f t="shared" si="445"/>
        <v>18000</v>
      </c>
      <c r="AK532">
        <f t="shared" si="446"/>
        <v>185938.80523772401</v>
      </c>
      <c r="AL532">
        <v>1</v>
      </c>
      <c r="AM532">
        <f t="shared" si="447"/>
        <v>405.94441285351797</v>
      </c>
      <c r="AN532">
        <f t="shared" si="423"/>
        <v>458.14651415564612</v>
      </c>
      <c r="AO532">
        <f t="shared" si="424"/>
        <v>-43.212452075733339</v>
      </c>
      <c r="AQ532">
        <f t="shared" si="448"/>
        <v>9.8888483555982401E-4</v>
      </c>
      <c r="AR532">
        <f t="shared" si="449"/>
        <v>-3.1446537770802405</v>
      </c>
      <c r="AT532">
        <f t="shared" si="418"/>
        <v>-18565.654021220398</v>
      </c>
      <c r="AU532">
        <f t="shared" si="419"/>
        <v>-11903.021107663453</v>
      </c>
      <c r="AV532">
        <f t="shared" si="459"/>
        <v>-2.5714773367470474</v>
      </c>
      <c r="AW532">
        <f t="shared" si="460"/>
        <v>4547.4030870718434</v>
      </c>
      <c r="AX532">
        <f t="shared" si="461"/>
        <v>-8245.7127757685848</v>
      </c>
      <c r="AY532">
        <f t="shared" si="469"/>
        <v>-1.0668122113379415</v>
      </c>
      <c r="BA532">
        <f t="shared" si="450"/>
        <v>2.342024258910588</v>
      </c>
      <c r="BB532">
        <f t="shared" si="462"/>
        <v>7.3918277844659226</v>
      </c>
      <c r="BC532">
        <f t="shared" si="463"/>
        <v>-1.5046651254091059</v>
      </c>
      <c r="BD532">
        <f t="shared" si="451"/>
        <v>-266.21096136497488</v>
      </c>
      <c r="BF532">
        <f t="shared" si="452"/>
        <v>-66.739844468539744</v>
      </c>
      <c r="BG532">
        <f t="shared" si="453"/>
        <v>-212.70391242324925</v>
      </c>
      <c r="BH532">
        <f t="shared" si="464"/>
        <v>-32.70391242324925</v>
      </c>
      <c r="BI532">
        <f t="shared" si="465"/>
        <v>-32.70391242324925</v>
      </c>
      <c r="BJ532">
        <f t="shared" si="454"/>
        <v>0</v>
      </c>
      <c r="BK532">
        <f t="shared" si="466"/>
        <v>0</v>
      </c>
      <c r="BM532">
        <f t="shared" si="467"/>
        <v>-74.131672253005661</v>
      </c>
      <c r="BN532">
        <f t="shared" si="455"/>
        <v>-126.4929510582744</v>
      </c>
      <c r="BQ532" s="56">
        <f t="shared" si="468"/>
        <v>24.293788584751059</v>
      </c>
    </row>
    <row r="533" spans="1:69" x14ac:dyDescent="0.25">
      <c r="A533">
        <f t="shared" si="420"/>
        <v>1595000</v>
      </c>
      <c r="B533">
        <f t="shared" si="456"/>
        <v>1595</v>
      </c>
      <c r="C533">
        <f t="shared" si="425"/>
        <v>1.6823825749057175</v>
      </c>
      <c r="D533">
        <f t="shared" si="426"/>
        <v>0.93428305815431367</v>
      </c>
      <c r="F533">
        <f t="shared" si="427"/>
        <v>7.754504465289751E-6</v>
      </c>
      <c r="G533">
        <f t="shared" si="428"/>
        <v>1.0891574084271225E-3</v>
      </c>
      <c r="H533">
        <f t="shared" si="429"/>
        <v>-3.1405034925915731</v>
      </c>
      <c r="J533">
        <f t="shared" si="430"/>
        <v>15</v>
      </c>
      <c r="M533">
        <f t="shared" si="431"/>
        <v>1.6737732067652661E-3</v>
      </c>
      <c r="N533">
        <f t="shared" si="432"/>
        <v>-1.5707963250000001</v>
      </c>
      <c r="O533">
        <f t="shared" si="433"/>
        <v>429.93125872333809</v>
      </c>
      <c r="P533">
        <f t="shared" si="434"/>
        <v>1.5684703714674146</v>
      </c>
      <c r="Q533">
        <f t="shared" si="435"/>
        <v>407.22219544368295</v>
      </c>
      <c r="R533">
        <f t="shared" si="436"/>
        <v>1.5683406625009624</v>
      </c>
      <c r="S533">
        <f t="shared" si="437"/>
        <v>9.6056338235065306E-2</v>
      </c>
      <c r="T533">
        <f t="shared" si="438"/>
        <v>-1.4745916560850529</v>
      </c>
      <c r="U533">
        <f t="shared" si="439"/>
        <v>0.54022616025760917</v>
      </c>
      <c r="V533">
        <f t="shared" si="440"/>
        <v>-1.0000904884422266</v>
      </c>
      <c r="X533">
        <f t="shared" si="457"/>
        <v>-50.528024329780898</v>
      </c>
      <c r="Y533">
        <f t="shared" si="441"/>
        <v>-178.46992881120633</v>
      </c>
      <c r="Z533">
        <f t="shared" si="458"/>
        <v>1.53007118879367</v>
      </c>
      <c r="AC533">
        <v>1</v>
      </c>
      <c r="AD533">
        <f t="shared" si="442"/>
        <v>429.93009574515003</v>
      </c>
      <c r="AE533">
        <f t="shared" si="443"/>
        <v>-5.1703464958722758E-2</v>
      </c>
      <c r="AF533">
        <f t="shared" si="444"/>
        <v>3.3191805993191999E-2</v>
      </c>
      <c r="AG533">
        <f t="shared" si="421"/>
        <v>3766.5331809606014</v>
      </c>
      <c r="AH533">
        <f t="shared" si="422"/>
        <v>-5897.3234652495858</v>
      </c>
      <c r="AJ533">
        <f t="shared" si="445"/>
        <v>18000</v>
      </c>
      <c r="AK533">
        <f t="shared" si="446"/>
        <v>186523.518461742</v>
      </c>
      <c r="AL533">
        <v>1</v>
      </c>
      <c r="AM533">
        <f t="shared" si="447"/>
        <v>407.22096761091899</v>
      </c>
      <c r="AN533">
        <f t="shared" si="423"/>
        <v>458.14584781272282</v>
      </c>
      <c r="AO533">
        <f t="shared" si="424"/>
        <v>-43.076991479838817</v>
      </c>
      <c r="AQ533">
        <f t="shared" si="448"/>
        <v>9.8269464896230891E-4</v>
      </c>
      <c r="AR533">
        <f t="shared" si="449"/>
        <v>-3.1347959301897652</v>
      </c>
      <c r="AT533">
        <f t="shared" si="418"/>
        <v>-18483.204245874935</v>
      </c>
      <c r="AU533">
        <f t="shared" si="419"/>
        <v>-11813.108154812506</v>
      </c>
      <c r="AV533">
        <f t="shared" si="459"/>
        <v>-2.5728992909510491</v>
      </c>
      <c r="AW533">
        <f t="shared" si="460"/>
        <v>4529.5225794212911</v>
      </c>
      <c r="AX533">
        <f t="shared" si="461"/>
        <v>-8231.884184303779</v>
      </c>
      <c r="AY533">
        <f t="shared" si="469"/>
        <v>-1.067767882676083</v>
      </c>
      <c r="BA533">
        <f t="shared" si="450"/>
        <v>2.3346440357989842</v>
      </c>
      <c r="BB533">
        <f t="shared" si="462"/>
        <v>7.3644134575877107</v>
      </c>
      <c r="BC533">
        <f t="shared" si="463"/>
        <v>-1.5051314082749661</v>
      </c>
      <c r="BD533">
        <f t="shared" si="451"/>
        <v>-266.23767740527848</v>
      </c>
      <c r="BF533">
        <f t="shared" si="452"/>
        <v>-66.804185122547096</v>
      </c>
      <c r="BG533">
        <f t="shared" si="453"/>
        <v>-212.64479711849356</v>
      </c>
      <c r="BH533">
        <f t="shared" si="464"/>
        <v>-32.644797118493557</v>
      </c>
      <c r="BI533">
        <f t="shared" si="465"/>
        <v>-32.644797118493557</v>
      </c>
      <c r="BJ533">
        <f t="shared" si="454"/>
        <v>0</v>
      </c>
      <c r="BK533">
        <f t="shared" si="466"/>
        <v>0</v>
      </c>
      <c r="BM533">
        <f t="shared" si="467"/>
        <v>-74.168598580134812</v>
      </c>
      <c r="BN533">
        <f t="shared" si="455"/>
        <v>-126.40711971321511</v>
      </c>
      <c r="BQ533" s="56">
        <f t="shared" si="468"/>
        <v>24.266374257872847</v>
      </c>
    </row>
    <row r="534" spans="1:69" x14ac:dyDescent="0.25">
      <c r="A534">
        <f t="shared" si="420"/>
        <v>1600000</v>
      </c>
      <c r="B534">
        <f t="shared" si="456"/>
        <v>1600</v>
      </c>
      <c r="C534">
        <f t="shared" si="425"/>
        <v>1.6857950787505382</v>
      </c>
      <c r="D534">
        <f t="shared" si="426"/>
        <v>0.93577844742166083</v>
      </c>
      <c r="F534">
        <f t="shared" si="427"/>
        <v>7.7061141868143589E-6</v>
      </c>
      <c r="G534">
        <f t="shared" si="428"/>
        <v>1.0857537404291026E-3</v>
      </c>
      <c r="H534">
        <f t="shared" si="429"/>
        <v>-3.1405068962595712</v>
      </c>
      <c r="J534">
        <f t="shared" si="430"/>
        <v>15</v>
      </c>
      <c r="M534">
        <f t="shared" si="431"/>
        <v>1.6685426654941249E-3</v>
      </c>
      <c r="N534">
        <f t="shared" si="432"/>
        <v>-1.5707963250000001</v>
      </c>
      <c r="O534">
        <f t="shared" si="433"/>
        <v>431.27899833589106</v>
      </c>
      <c r="P534">
        <f t="shared" si="434"/>
        <v>1.56847764005172</v>
      </c>
      <c r="Q534">
        <f t="shared" si="435"/>
        <v>408.49874636411812</v>
      </c>
      <c r="R534">
        <f t="shared" si="436"/>
        <v>1.5683483364211748</v>
      </c>
      <c r="S534">
        <f t="shared" si="437"/>
        <v>9.5758918998303522E-2</v>
      </c>
      <c r="T534">
        <f t="shared" si="438"/>
        <v>-1.4748904527041222</v>
      </c>
      <c r="U534">
        <f t="shared" si="439"/>
        <v>0.53902901076468868</v>
      </c>
      <c r="V534">
        <f t="shared" si="440"/>
        <v>-1.0015124438568386</v>
      </c>
      <c r="X534">
        <f t="shared" si="457"/>
        <v>-50.583815806061992</v>
      </c>
      <c r="Y534">
        <f t="shared" si="441"/>
        <v>-178.48218001995761</v>
      </c>
      <c r="Z534">
        <f t="shared" si="458"/>
        <v>1.5178199800423897</v>
      </c>
      <c r="AC534">
        <v>1</v>
      </c>
      <c r="AD534">
        <f t="shared" si="442"/>
        <v>431.27783899200006</v>
      </c>
      <c r="AE534">
        <f t="shared" si="443"/>
        <v>-5.2028132700869791E-2</v>
      </c>
      <c r="AF534">
        <f t="shared" si="444"/>
        <v>3.3295855541759997E-2</v>
      </c>
      <c r="AG534">
        <f t="shared" si="421"/>
        <v>3749.8582862671087</v>
      </c>
      <c r="AH534">
        <f t="shared" si="422"/>
        <v>-5889.5655731510806</v>
      </c>
      <c r="AJ534">
        <f t="shared" si="445"/>
        <v>18000</v>
      </c>
      <c r="AK534">
        <f t="shared" si="446"/>
        <v>187108.23168576002</v>
      </c>
      <c r="AL534">
        <v>1</v>
      </c>
      <c r="AM534">
        <f t="shared" si="447"/>
        <v>408.49752236832001</v>
      </c>
      <c r="AN534">
        <f t="shared" si="423"/>
        <v>458.14518770694872</v>
      </c>
      <c r="AO534">
        <f t="shared" si="424"/>
        <v>-42.94237749740013</v>
      </c>
      <c r="AQ534">
        <f t="shared" si="448"/>
        <v>9.7656240463257771E-4</v>
      </c>
      <c r="AR534">
        <f t="shared" si="449"/>
        <v>-3.1249996948242487</v>
      </c>
      <c r="AT534">
        <f t="shared" ref="AT534:AT597" si="470">-AR534*AH534+AG534*AQ534</f>
        <v>-18401.228648119461</v>
      </c>
      <c r="AU534">
        <f t="shared" ref="AU534:AU597" si="471">AQ534*AH534+AG534*AR534</f>
        <v>-11724.057528537252</v>
      </c>
      <c r="AV534">
        <f t="shared" si="459"/>
        <v>-2.5743149574050843</v>
      </c>
      <c r="AW534">
        <f t="shared" si="460"/>
        <v>4511.7414227715917</v>
      </c>
      <c r="AX534">
        <f t="shared" si="461"/>
        <v>-8218.0733893704055</v>
      </c>
      <c r="AY534">
        <f t="shared" si="469"/>
        <v>-1.0687194054965163</v>
      </c>
      <c r="BA534">
        <f t="shared" si="450"/>
        <v>2.3273101407067838</v>
      </c>
      <c r="BB534">
        <f t="shared" si="462"/>
        <v>7.3370852370497639</v>
      </c>
      <c r="BC534">
        <f t="shared" si="463"/>
        <v>-1.505595551908568</v>
      </c>
      <c r="BD534">
        <f t="shared" si="451"/>
        <v>-266.2642708766021</v>
      </c>
      <c r="BF534">
        <f t="shared" si="452"/>
        <v>-66.868285148711195</v>
      </c>
      <c r="BG534">
        <f t="shared" si="453"/>
        <v>-212.58590611178252</v>
      </c>
      <c r="BH534">
        <f t="shared" si="464"/>
        <v>-32.585906111782521</v>
      </c>
      <c r="BI534">
        <f t="shared" si="465"/>
        <v>-32.585906111782521</v>
      </c>
      <c r="BJ534">
        <f t="shared" si="454"/>
        <v>0</v>
      </c>
      <c r="BK534">
        <f t="shared" si="466"/>
        <v>0</v>
      </c>
      <c r="BM534">
        <f t="shared" si="467"/>
        <v>-74.205370385760958</v>
      </c>
      <c r="BN534">
        <f t="shared" si="455"/>
        <v>-126.32163523518041</v>
      </c>
      <c r="BQ534" s="56">
        <f t="shared" si="468"/>
        <v>24.239046037334901</v>
      </c>
    </row>
    <row r="535" spans="1:69" x14ac:dyDescent="0.25">
      <c r="A535">
        <f t="shared" si="420"/>
        <v>1605000</v>
      </c>
      <c r="B535">
        <f t="shared" si="456"/>
        <v>1605</v>
      </c>
      <c r="C535">
        <f t="shared" si="425"/>
        <v>1.6892113371158257</v>
      </c>
      <c r="D535">
        <f t="shared" si="426"/>
        <v>0.93726779146242234</v>
      </c>
      <c r="F535">
        <f t="shared" si="427"/>
        <v>7.6581754535056384E-6</v>
      </c>
      <c r="G535">
        <f t="shared" si="428"/>
        <v>1.0823712795605892E-3</v>
      </c>
      <c r="H535">
        <f t="shared" si="429"/>
        <v>-3.1405102787204395</v>
      </c>
      <c r="J535">
        <f t="shared" si="430"/>
        <v>15</v>
      </c>
      <c r="M535">
        <f t="shared" si="431"/>
        <v>1.6633447132651713E-3</v>
      </c>
      <c r="N535">
        <f t="shared" si="432"/>
        <v>-1.5707963250000001</v>
      </c>
      <c r="O535">
        <f t="shared" si="433"/>
        <v>432.62673797108749</v>
      </c>
      <c r="P535">
        <f t="shared" si="434"/>
        <v>1.5684848633491384</v>
      </c>
      <c r="Q535">
        <f t="shared" si="435"/>
        <v>409.77529730845941</v>
      </c>
      <c r="R535">
        <f t="shared" si="436"/>
        <v>1.5683559625290857</v>
      </c>
      <c r="S535">
        <f t="shared" si="437"/>
        <v>9.546332743058121E-2</v>
      </c>
      <c r="T535">
        <f t="shared" si="438"/>
        <v>-1.4751874046804334</v>
      </c>
      <c r="U535">
        <f t="shared" si="439"/>
        <v>0.53783607506620923</v>
      </c>
      <c r="V535">
        <f t="shared" si="440"/>
        <v>-1.0029281082083648</v>
      </c>
      <c r="X535">
        <f t="shared" si="457"/>
        <v>-50.639431026117435</v>
      </c>
      <c r="Y535">
        <f t="shared" si="441"/>
        <v>-178.49431557218165</v>
      </c>
      <c r="Z535">
        <f t="shared" si="458"/>
        <v>1.5056844278183519</v>
      </c>
      <c r="AC535">
        <v>1</v>
      </c>
      <c r="AD535">
        <f t="shared" si="442"/>
        <v>432.62558223885003</v>
      </c>
      <c r="AE535">
        <f t="shared" si="443"/>
        <v>-5.2353816617483638E-2</v>
      </c>
      <c r="AF535">
        <f t="shared" si="444"/>
        <v>3.3399905090327996E-2</v>
      </c>
      <c r="AG535">
        <f t="shared" si="421"/>
        <v>3733.2788825372245</v>
      </c>
      <c r="AH535">
        <f t="shared" si="422"/>
        <v>-5881.7950969317835</v>
      </c>
      <c r="AJ535">
        <f t="shared" si="445"/>
        <v>18000</v>
      </c>
      <c r="AK535">
        <f t="shared" si="446"/>
        <v>187692.94490977802</v>
      </c>
      <c r="AL535">
        <v>1</v>
      </c>
      <c r="AM535">
        <f t="shared" si="447"/>
        <v>409.77407712572102</v>
      </c>
      <c r="AN535">
        <f t="shared" si="423"/>
        <v>458.14453376072379</v>
      </c>
      <c r="AO535">
        <f t="shared" si="424"/>
        <v>-42.808602216331359</v>
      </c>
      <c r="AQ535">
        <f t="shared" si="448"/>
        <v>9.7048738167453911E-4</v>
      </c>
      <c r="AR535">
        <f t="shared" si="449"/>
        <v>-3.1152644951752704</v>
      </c>
      <c r="AT535">
        <f t="shared" si="470"/>
        <v>-18319.724333319798</v>
      </c>
      <c r="AU535">
        <f t="shared" si="471"/>
        <v>-11635.859361278992</v>
      </c>
      <c r="AV535">
        <f t="shared" si="459"/>
        <v>-2.5757243719793466</v>
      </c>
      <c r="AW535">
        <f t="shared" si="460"/>
        <v>4494.059067852515</v>
      </c>
      <c r="AX535">
        <f t="shared" si="461"/>
        <v>-8204.2806377149336</v>
      </c>
      <c r="AY535">
        <f t="shared" si="469"/>
        <v>-1.0696667953808383</v>
      </c>
      <c r="BA535">
        <f t="shared" si="450"/>
        <v>2.3200221377678214</v>
      </c>
      <c r="BB535">
        <f t="shared" si="462"/>
        <v>7.3098425794088229</v>
      </c>
      <c r="BC535">
        <f t="shared" si="463"/>
        <v>-1.5060575765985083</v>
      </c>
      <c r="BD535">
        <f t="shared" si="451"/>
        <v>-266.29074294139673</v>
      </c>
      <c r="BF535">
        <f t="shared" si="452"/>
        <v>-66.932146247428093</v>
      </c>
      <c r="BG535">
        <f t="shared" si="453"/>
        <v>-212.52723884943345</v>
      </c>
      <c r="BH535">
        <f t="shared" si="464"/>
        <v>-32.527238849433445</v>
      </c>
      <c r="BI535">
        <f t="shared" si="465"/>
        <v>-32.527238849433445</v>
      </c>
      <c r="BJ535">
        <f t="shared" si="454"/>
        <v>0</v>
      </c>
      <c r="BK535">
        <f t="shared" si="466"/>
        <v>0</v>
      </c>
      <c r="BM535">
        <f t="shared" si="467"/>
        <v>-74.241988826836916</v>
      </c>
      <c r="BN535">
        <f t="shared" si="455"/>
        <v>-126.23649590803667</v>
      </c>
      <c r="BQ535" s="56">
        <f t="shared" si="468"/>
        <v>24.211803379693961</v>
      </c>
    </row>
    <row r="536" spans="1:69" x14ac:dyDescent="0.25">
      <c r="A536">
        <f t="shared" si="420"/>
        <v>1610000</v>
      </c>
      <c r="B536">
        <f t="shared" si="456"/>
        <v>1610</v>
      </c>
      <c r="C536">
        <f t="shared" si="425"/>
        <v>1.6926313272681968</v>
      </c>
      <c r="D536">
        <f t="shared" si="426"/>
        <v>0.93875112029283692</v>
      </c>
      <c r="F536">
        <f t="shared" si="427"/>
        <v>7.6106826647584719E-6</v>
      </c>
      <c r="G536">
        <f t="shared" si="428"/>
        <v>1.0790098282337547E-3</v>
      </c>
      <c r="H536">
        <f t="shared" si="429"/>
        <v>-3.1405136401717666</v>
      </c>
      <c r="J536">
        <f t="shared" si="430"/>
        <v>15</v>
      </c>
      <c r="M536">
        <f t="shared" si="431"/>
        <v>1.6581790464537886E-3</v>
      </c>
      <c r="N536">
        <f t="shared" si="432"/>
        <v>-1.5707963250000001</v>
      </c>
      <c r="O536">
        <f t="shared" si="433"/>
        <v>433.9744776287165</v>
      </c>
      <c r="P536">
        <f t="shared" si="434"/>
        <v>1.5684920417815946</v>
      </c>
      <c r="Q536">
        <f t="shared" si="435"/>
        <v>411.05184827648429</v>
      </c>
      <c r="R536">
        <f t="shared" si="436"/>
        <v>1.5683635412701478</v>
      </c>
      <c r="S536">
        <f t="shared" si="437"/>
        <v>9.5169546814544523E-2</v>
      </c>
      <c r="T536">
        <f t="shared" si="438"/>
        <v>-1.4754825289915863</v>
      </c>
      <c r="U536">
        <f t="shared" si="439"/>
        <v>0.53664733954434862</v>
      </c>
      <c r="V536">
        <f t="shared" si="440"/>
        <v>-1.0043375175175577</v>
      </c>
      <c r="X536">
        <f t="shared" si="457"/>
        <v>-50.694871064248915</v>
      </c>
      <c r="Y536">
        <f t="shared" si="441"/>
        <v>-178.50633674628043</v>
      </c>
      <c r="Z536">
        <f t="shared" si="458"/>
        <v>1.4936632537195749</v>
      </c>
      <c r="AC536">
        <v>1</v>
      </c>
      <c r="AD536">
        <f t="shared" si="442"/>
        <v>433.97332548570006</v>
      </c>
      <c r="AE536">
        <f t="shared" si="443"/>
        <v>-5.2680516708564287E-2</v>
      </c>
      <c r="AF536">
        <f t="shared" si="444"/>
        <v>3.3503954638896001E-2</v>
      </c>
      <c r="AG536">
        <f t="shared" si="421"/>
        <v>3716.7943918849373</v>
      </c>
      <c r="AH536">
        <f t="shared" si="422"/>
        <v>-5874.0125213611909</v>
      </c>
      <c r="AJ536">
        <f t="shared" si="445"/>
        <v>18000</v>
      </c>
      <c r="AK536">
        <f t="shared" si="446"/>
        <v>188277.65813379601</v>
      </c>
      <c r="AL536">
        <v>1</v>
      </c>
      <c r="AM536">
        <f t="shared" si="447"/>
        <v>411.05063188312198</v>
      </c>
      <c r="AN536">
        <f t="shared" si="423"/>
        <v>458.14388589765218</v>
      </c>
      <c r="AO536">
        <f t="shared" si="424"/>
        <v>-42.675657822830438</v>
      </c>
      <c r="AQ536">
        <f t="shared" si="448"/>
        <v>9.6446887036872903E-4</v>
      </c>
      <c r="AR536">
        <f t="shared" si="449"/>
        <v>-3.1055897625873072</v>
      </c>
      <c r="AT536">
        <f t="shared" si="470"/>
        <v>-18238.688419160437</v>
      </c>
      <c r="AU536">
        <f t="shared" si="471"/>
        <v>-11548.503915300786</v>
      </c>
      <c r="AV536">
        <f t="shared" si="459"/>
        <v>-2.5771275703295293</v>
      </c>
      <c r="AW536">
        <f t="shared" si="460"/>
        <v>4476.4749664677174</v>
      </c>
      <c r="AX536">
        <f t="shared" si="461"/>
        <v>-8190.5061713673449</v>
      </c>
      <c r="AY536">
        <f t="shared" si="469"/>
        <v>-1.0706100679530497</v>
      </c>
      <c r="BA536">
        <f t="shared" si="450"/>
        <v>2.312779596573741</v>
      </c>
      <c r="BB536">
        <f t="shared" si="462"/>
        <v>7.2826849463537009</v>
      </c>
      <c r="BC536">
        <f t="shared" si="463"/>
        <v>-1.5065175023764796</v>
      </c>
      <c r="BD536">
        <f t="shared" si="451"/>
        <v>-266.31709474739392</v>
      </c>
      <c r="BF536">
        <f t="shared" si="452"/>
        <v>-66.99577010229919</v>
      </c>
      <c r="BG536">
        <f t="shared" si="453"/>
        <v>-212.46879477069493</v>
      </c>
      <c r="BH536">
        <f t="shared" si="464"/>
        <v>-32.468794770694927</v>
      </c>
      <c r="BI536">
        <f t="shared" si="465"/>
        <v>-32.468794770694927</v>
      </c>
      <c r="BJ536">
        <f t="shared" si="454"/>
        <v>0</v>
      </c>
      <c r="BK536">
        <f t="shared" si="466"/>
        <v>0</v>
      </c>
      <c r="BM536">
        <f t="shared" si="467"/>
        <v>-74.278455048652901</v>
      </c>
      <c r="BN536">
        <f t="shared" si="455"/>
        <v>-126.15170002330102</v>
      </c>
      <c r="BQ536" s="56">
        <f t="shared" si="468"/>
        <v>24.184645746638836</v>
      </c>
    </row>
    <row r="537" spans="1:69" x14ac:dyDescent="0.25">
      <c r="A537">
        <f t="shared" si="420"/>
        <v>1615000</v>
      </c>
      <c r="B537">
        <f t="shared" si="456"/>
        <v>1615</v>
      </c>
      <c r="C537">
        <f t="shared" si="425"/>
        <v>1.6960550266328975</v>
      </c>
      <c r="D537">
        <f t="shared" si="426"/>
        <v>0.94022846379305403</v>
      </c>
      <c r="F537">
        <f t="shared" si="427"/>
        <v>7.5636303065312484E-6</v>
      </c>
      <c r="G537">
        <f t="shared" si="428"/>
        <v>1.0756691913077676E-3</v>
      </c>
      <c r="H537">
        <f t="shared" si="429"/>
        <v>-3.1405169808086923</v>
      </c>
      <c r="J537">
        <f t="shared" si="430"/>
        <v>15</v>
      </c>
      <c r="M537">
        <f t="shared" si="431"/>
        <v>1.6530453651954176E-3</v>
      </c>
      <c r="N537">
        <f t="shared" si="432"/>
        <v>-1.5707963250000001</v>
      </c>
      <c r="O537">
        <f t="shared" si="433"/>
        <v>435.32221730856969</v>
      </c>
      <c r="P537">
        <f t="shared" si="434"/>
        <v>1.5684991757657878</v>
      </c>
      <c r="Q537">
        <f t="shared" si="435"/>
        <v>412.32839926797266</v>
      </c>
      <c r="R537">
        <f t="shared" si="436"/>
        <v>1.5683710730842977</v>
      </c>
      <c r="S537">
        <f t="shared" si="437"/>
        <v>9.487756063514452E-2</v>
      </c>
      <c r="T537">
        <f t="shared" si="438"/>
        <v>-1.4757758424081096</v>
      </c>
      <c r="U537">
        <f t="shared" si="439"/>
        <v>0.53546279053198909</v>
      </c>
      <c r="V537">
        <f t="shared" si="440"/>
        <v>-1.0057407075869653</v>
      </c>
      <c r="X537">
        <f t="shared" si="457"/>
        <v>-50.75013698527512</v>
      </c>
      <c r="Y537">
        <f t="shared" si="441"/>
        <v>-178.5182448045621</v>
      </c>
      <c r="Z537">
        <f t="shared" si="458"/>
        <v>1.4817551954378985</v>
      </c>
      <c r="AC537">
        <v>1</v>
      </c>
      <c r="AD537">
        <f t="shared" si="442"/>
        <v>435.32106873255003</v>
      </c>
      <c r="AE537">
        <f t="shared" si="443"/>
        <v>-5.3008232974111759E-2</v>
      </c>
      <c r="AF537">
        <f t="shared" si="444"/>
        <v>3.3608004187464E-2</v>
      </c>
      <c r="AG537">
        <f t="shared" si="421"/>
        <v>3700.4042387833065</v>
      </c>
      <c r="AH537">
        <f t="shared" si="422"/>
        <v>-5866.2183237097761</v>
      </c>
      <c r="AJ537">
        <f t="shared" si="445"/>
        <v>18000</v>
      </c>
      <c r="AK537">
        <f t="shared" si="446"/>
        <v>188862.37135781403</v>
      </c>
      <c r="AL537">
        <v>1</v>
      </c>
      <c r="AM537">
        <f t="shared" si="447"/>
        <v>412.327186640523</v>
      </c>
      <c r="AN537">
        <f t="shared" si="423"/>
        <v>458.14324404251772</v>
      </c>
      <c r="AO537">
        <f t="shared" si="424"/>
        <v>-42.543536599857788</v>
      </c>
      <c r="AQ537">
        <f t="shared" si="448"/>
        <v>9.5850617196501723E-4</v>
      </c>
      <c r="AR537">
        <f t="shared" si="449"/>
        <v>-3.0959749354470056</v>
      </c>
      <c r="AT537">
        <f t="shared" si="470"/>
        <v>-18158.118035763779</v>
      </c>
      <c r="AU537">
        <f t="shared" si="471"/>
        <v>-11461.981580764343</v>
      </c>
      <c r="AV537">
        <f t="shared" si="459"/>
        <v>-2.5785245878976428</v>
      </c>
      <c r="AW537">
        <f t="shared" si="460"/>
        <v>4458.9885715542887</v>
      </c>
      <c r="AX537">
        <f t="shared" si="461"/>
        <v>-8176.7502276942732</v>
      </c>
      <c r="AY537">
        <f t="shared" si="469"/>
        <v>-1.0715492388763046</v>
      </c>
      <c r="BA537">
        <f t="shared" si="450"/>
        <v>2.3055820920887427</v>
      </c>
      <c r="BB537">
        <f t="shared" si="462"/>
        <v>7.2556118046407745</v>
      </c>
      <c r="BC537">
        <f t="shared" si="463"/>
        <v>-1.5069753490213382</v>
      </c>
      <c r="BD537">
        <f t="shared" si="451"/>
        <v>-266.34332742783852</v>
      </c>
      <c r="BF537">
        <f t="shared" si="452"/>
        <v>-67.059158380339966</v>
      </c>
      <c r="BG537">
        <f t="shared" si="453"/>
        <v>-212.41057330798623</v>
      </c>
      <c r="BH537">
        <f t="shared" si="464"/>
        <v>-32.410573307986226</v>
      </c>
      <c r="BI537">
        <f t="shared" si="465"/>
        <v>-32.410573307986226</v>
      </c>
      <c r="BJ537">
        <f t="shared" si="454"/>
        <v>0</v>
      </c>
      <c r="BK537">
        <f t="shared" si="466"/>
        <v>0</v>
      </c>
      <c r="BM537">
        <f t="shared" si="467"/>
        <v>-74.314770184980745</v>
      </c>
      <c r="BN537">
        <f t="shared" si="455"/>
        <v>-126.06724588014772</v>
      </c>
      <c r="BQ537" s="56">
        <f t="shared" si="468"/>
        <v>24.15757260492591</v>
      </c>
    </row>
    <row r="538" spans="1:69" x14ac:dyDescent="0.25">
      <c r="A538">
        <f t="shared" ref="A538:A591" si="472">A537+5000</f>
        <v>1620000</v>
      </c>
      <c r="B538">
        <f t="shared" si="456"/>
        <v>1620</v>
      </c>
      <c r="C538">
        <f t="shared" si="425"/>
        <v>1.6994824127927008</v>
      </c>
      <c r="D538">
        <f t="shared" si="426"/>
        <v>0.94169985170708093</v>
      </c>
      <c r="F538">
        <f t="shared" si="427"/>
        <v>7.5170129497452785E-6</v>
      </c>
      <c r="G538">
        <f t="shared" si="428"/>
        <v>1.0723491760510329E-3</v>
      </c>
      <c r="H538">
        <f t="shared" si="429"/>
        <v>-3.1405203008239493</v>
      </c>
      <c r="J538">
        <f t="shared" si="430"/>
        <v>15</v>
      </c>
      <c r="M538">
        <f t="shared" si="431"/>
        <v>1.6479433733275306E-3</v>
      </c>
      <c r="N538">
        <f t="shared" si="432"/>
        <v>-1.5707963250000001</v>
      </c>
      <c r="O538">
        <f t="shared" si="433"/>
        <v>436.66995701044129</v>
      </c>
      <c r="P538">
        <f t="shared" si="434"/>
        <v>1.5685062657132731</v>
      </c>
      <c r="Q538">
        <f t="shared" si="435"/>
        <v>413.60495028270731</v>
      </c>
      <c r="R538">
        <f t="shared" si="436"/>
        <v>1.5683785584060403</v>
      </c>
      <c r="S538">
        <f t="shared" si="437"/>
        <v>9.4587352576601044E-2</v>
      </c>
      <c r="T538">
        <f t="shared" si="438"/>
        <v>-1.4760673614965985</v>
      </c>
      <c r="U538">
        <f t="shared" si="439"/>
        <v>0.53428241431517864</v>
      </c>
      <c r="V538">
        <f t="shared" si="440"/>
        <v>-1.0071377140018283</v>
      </c>
      <c r="X538">
        <f t="shared" si="457"/>
        <v>-50.805229844641019</v>
      </c>
      <c r="Y538">
        <f t="shared" si="441"/>
        <v>-178.53004099346765</v>
      </c>
      <c r="Z538">
        <f t="shared" si="458"/>
        <v>1.4699590065323491</v>
      </c>
      <c r="AC538">
        <v>1</v>
      </c>
      <c r="AD538">
        <f t="shared" si="442"/>
        <v>436.66881197940006</v>
      </c>
      <c r="AE538">
        <f t="shared" si="443"/>
        <v>-5.3336965414126046E-2</v>
      </c>
      <c r="AF538">
        <f t="shared" si="444"/>
        <v>3.3712053736032005E-2</v>
      </c>
      <c r="AG538">
        <f t="shared" si="421"/>
        <v>3684.107850091199</v>
      </c>
      <c r="AH538">
        <f t="shared" si="422"/>
        <v>-5858.4129738478141</v>
      </c>
      <c r="AJ538">
        <f t="shared" si="445"/>
        <v>18000</v>
      </c>
      <c r="AK538">
        <f t="shared" si="446"/>
        <v>189447.08458183199</v>
      </c>
      <c r="AL538">
        <v>1</v>
      </c>
      <c r="AM538">
        <f t="shared" si="447"/>
        <v>413.60374139792401</v>
      </c>
      <c r="AN538">
        <f t="shared" si="423"/>
        <v>458.14260812126378</v>
      </c>
      <c r="AO538">
        <f t="shared" si="424"/>
        <v>-42.412230925643129</v>
      </c>
      <c r="AQ538">
        <f t="shared" si="448"/>
        <v>9.5259859847978605E-4</v>
      </c>
      <c r="AR538">
        <f t="shared" si="449"/>
        <v>-3.0864194590745067</v>
      </c>
      <c r="AT538">
        <f t="shared" si="470"/>
        <v>-18078.010325803796</v>
      </c>
      <c r="AU538">
        <f t="shared" si="471"/>
        <v>-11376.282873838825</v>
      </c>
      <c r="AV538">
        <f t="shared" si="459"/>
        <v>-2.57991545991284</v>
      </c>
      <c r="AW538">
        <f t="shared" si="460"/>
        <v>4441.5993372403627</v>
      </c>
      <c r="AX538">
        <f t="shared" si="461"/>
        <v>-8163.0130394520493</v>
      </c>
      <c r="AY538">
        <f t="shared" si="469"/>
        <v>-1.0724843238497495</v>
      </c>
      <c r="BA538">
        <f t="shared" si="450"/>
        <v>2.2984292045659158</v>
      </c>
      <c r="BB538">
        <f t="shared" si="462"/>
        <v>7.2286226260304467</v>
      </c>
      <c r="BC538">
        <f t="shared" si="463"/>
        <v>-1.5074311360630905</v>
      </c>
      <c r="BD538">
        <f t="shared" si="451"/>
        <v>-266.36944210171748</v>
      </c>
      <c r="BF538">
        <f t="shared" si="452"/>
        <v>-67.122312732185506</v>
      </c>
      <c r="BG538">
        <f t="shared" si="453"/>
        <v>-212.35257388713097</v>
      </c>
      <c r="BH538">
        <f t="shared" si="464"/>
        <v>-32.352573887130973</v>
      </c>
      <c r="BI538">
        <f t="shared" si="465"/>
        <v>-32.352573887130973</v>
      </c>
      <c r="BJ538">
        <f t="shared" si="454"/>
        <v>0</v>
      </c>
      <c r="BK538">
        <f t="shared" si="466"/>
        <v>0</v>
      </c>
      <c r="BM538">
        <f t="shared" si="467"/>
        <v>-74.350935358215949</v>
      </c>
      <c r="BN538">
        <f t="shared" si="455"/>
        <v>-125.98313178541346</v>
      </c>
      <c r="BQ538" s="56">
        <f t="shared" si="468"/>
        <v>24.130583426315582</v>
      </c>
    </row>
    <row r="539" spans="1:69" x14ac:dyDescent="0.25">
      <c r="A539">
        <f t="shared" si="472"/>
        <v>1625000</v>
      </c>
      <c r="B539">
        <f t="shared" si="456"/>
        <v>1625</v>
      </c>
      <c r="C539">
        <f t="shared" si="425"/>
        <v>1.7029134634868095</v>
      </c>
      <c r="D539">
        <f t="shared" si="426"/>
        <v>0.94316531364274736</v>
      </c>
      <c r="F539">
        <f t="shared" si="427"/>
        <v>7.470825248718659E-6</v>
      </c>
      <c r="G539">
        <f t="shared" si="428"/>
        <v>1.0690495921041225E-3</v>
      </c>
      <c r="H539">
        <f t="shared" si="429"/>
        <v>-3.1405236004078962</v>
      </c>
      <c r="J539">
        <f t="shared" si="430"/>
        <v>15</v>
      </c>
      <c r="M539">
        <f t="shared" si="431"/>
        <v>1.6428727783326768E-3</v>
      </c>
      <c r="N539">
        <f t="shared" si="432"/>
        <v>-1.5707963250000001</v>
      </c>
      <c r="O539">
        <f t="shared" si="433"/>
        <v>438.01769673412804</v>
      </c>
      <c r="P539">
        <f t="shared" si="434"/>
        <v>1.5685133120305406</v>
      </c>
      <c r="Q539">
        <f t="shared" si="435"/>
        <v>414.8815013204736</v>
      </c>
      <c r="R539">
        <f t="shared" si="436"/>
        <v>1.5683859976645329</v>
      </c>
      <c r="S539">
        <f t="shared" si="437"/>
        <v>9.4298906519420439E-2</v>
      </c>
      <c r="T539">
        <f t="shared" si="438"/>
        <v>-1.4763571026227962</v>
      </c>
      <c r="U539">
        <f t="shared" si="439"/>
        <v>0.5331061971355423</v>
      </c>
      <c r="V539">
        <f t="shared" si="440"/>
        <v>-1.008528572130988</v>
      </c>
      <c r="X539">
        <f t="shared" si="457"/>
        <v>-50.860150688525778</v>
      </c>
      <c r="Y539">
        <f t="shared" si="441"/>
        <v>-178.54172654379448</v>
      </c>
      <c r="Z539">
        <f t="shared" si="458"/>
        <v>1.458273456205518</v>
      </c>
      <c r="AC539">
        <v>1</v>
      </c>
      <c r="AD539">
        <f t="shared" si="442"/>
        <v>438.01655522625009</v>
      </c>
      <c r="AE539">
        <f t="shared" si="443"/>
        <v>-5.3666714028607142E-2</v>
      </c>
      <c r="AF539">
        <f t="shared" si="444"/>
        <v>3.3816103284599996E-2</v>
      </c>
      <c r="AG539">
        <f t="shared" si="421"/>
        <v>3667.9046550788221</v>
      </c>
      <c r="AH539">
        <f t="shared" si="422"/>
        <v>-5850.5969343431507</v>
      </c>
      <c r="AJ539">
        <f t="shared" si="445"/>
        <v>18000</v>
      </c>
      <c r="AK539">
        <f t="shared" si="446"/>
        <v>190031.79780585002</v>
      </c>
      <c r="AL539">
        <v>1</v>
      </c>
      <c r="AM539">
        <f t="shared" si="447"/>
        <v>414.88029615532497</v>
      </c>
      <c r="AN539">
        <f t="shared" si="423"/>
        <v>458.1419780609715</v>
      </c>
      <c r="AO539">
        <f t="shared" si="424"/>
        <v>-42.281733272219853</v>
      </c>
      <c r="AQ539">
        <f t="shared" si="448"/>
        <v>9.4674547249747011E-4</v>
      </c>
      <c r="AR539">
        <f t="shared" si="449"/>
        <v>-3.0769227856167776</v>
      </c>
      <c r="AT539">
        <f t="shared" si="470"/>
        <v>-17998.362444614359</v>
      </c>
      <c r="AU539">
        <f t="shared" si="471"/>
        <v>-11291.398434840872</v>
      </c>
      <c r="AV539">
        <f t="shared" si="459"/>
        <v>-2.5813002213922589</v>
      </c>
      <c r="AW539">
        <f t="shared" si="460"/>
        <v>4424.3067189007779</v>
      </c>
      <c r="AX539">
        <f t="shared" si="461"/>
        <v>-8149.2948348395821</v>
      </c>
      <c r="AY539">
        <f t="shared" si="469"/>
        <v>-1.0734153386054506</v>
      </c>
      <c r="BA539">
        <f t="shared" si="450"/>
        <v>2.2913205194651449</v>
      </c>
      <c r="BB539">
        <f t="shared" si="462"/>
        <v>7.201716887224654</v>
      </c>
      <c r="BC539">
        <f t="shared" si="463"/>
        <v>-1.5078848827868083</v>
      </c>
      <c r="BD539">
        <f t="shared" si="451"/>
        <v>-266.39543987398412</v>
      </c>
      <c r="BF539">
        <f t="shared" si="452"/>
        <v>-67.185234792293059</v>
      </c>
      <c r="BG539">
        <f t="shared" si="453"/>
        <v>-212.2947959275854</v>
      </c>
      <c r="BH539">
        <f t="shared" si="464"/>
        <v>-32.294795927585398</v>
      </c>
      <c r="BI539">
        <f t="shared" si="465"/>
        <v>-32.294795927585398</v>
      </c>
      <c r="BJ539">
        <f t="shared" si="454"/>
        <v>0</v>
      </c>
      <c r="BK539">
        <f t="shared" si="466"/>
        <v>0</v>
      </c>
      <c r="BM539">
        <f t="shared" si="467"/>
        <v>-74.386951679517722</v>
      </c>
      <c r="BN539">
        <f t="shared" si="455"/>
        <v>-125.89935605360128</v>
      </c>
      <c r="BQ539" s="56">
        <f t="shared" si="468"/>
        <v>24.103677687509794</v>
      </c>
    </row>
    <row r="540" spans="1:69" x14ac:dyDescent="0.25">
      <c r="A540">
        <f t="shared" si="472"/>
        <v>1630000</v>
      </c>
      <c r="B540">
        <f t="shared" si="456"/>
        <v>1630</v>
      </c>
      <c r="C540">
        <f t="shared" si="425"/>
        <v>1.7063481566097647</v>
      </c>
      <c r="D540">
        <f t="shared" si="426"/>
        <v>0.94462487907168713</v>
      </c>
      <c r="F540">
        <f t="shared" si="427"/>
        <v>7.4250619396336759E-6</v>
      </c>
      <c r="G540">
        <f t="shared" si="428"/>
        <v>1.0657702514433921E-3</v>
      </c>
      <c r="H540">
        <f t="shared" si="429"/>
        <v>-3.1405268797485566</v>
      </c>
      <c r="J540">
        <f t="shared" si="430"/>
        <v>15</v>
      </c>
      <c r="M540">
        <f t="shared" si="431"/>
        <v>1.6378332912825766E-3</v>
      </c>
      <c r="N540">
        <f t="shared" si="432"/>
        <v>-1.5707963250000001</v>
      </c>
      <c r="O540">
        <f t="shared" si="433"/>
        <v>439.36543647942921</v>
      </c>
      <c r="P540">
        <f t="shared" si="434"/>
        <v>1.5685203151190923</v>
      </c>
      <c r="Q540">
        <f t="shared" si="435"/>
        <v>416.15805238105969</v>
      </c>
      <c r="R540">
        <f t="shared" si="436"/>
        <v>1.5683933912836672</v>
      </c>
      <c r="S540">
        <f t="shared" si="437"/>
        <v>9.4012206537466655E-2</v>
      </c>
      <c r="T540">
        <f t="shared" si="438"/>
        <v>-1.4766450819546186</v>
      </c>
      <c r="U540">
        <f t="shared" si="439"/>
        <v>0.53193412519264294</v>
      </c>
      <c r="V540">
        <f t="shared" si="440"/>
        <v>-1.0099133171278034</v>
      </c>
      <c r="X540">
        <f t="shared" si="457"/>
        <v>-50.914900553948968</v>
      </c>
      <c r="Y540">
        <f t="shared" si="441"/>
        <v>-178.5533026709162</v>
      </c>
      <c r="Z540">
        <f t="shared" si="458"/>
        <v>1.4466973290838041</v>
      </c>
      <c r="AC540">
        <v>1</v>
      </c>
      <c r="AD540">
        <f t="shared" si="442"/>
        <v>439.36429847310001</v>
      </c>
      <c r="AE540">
        <f t="shared" si="443"/>
        <v>-5.3997478817555053E-2</v>
      </c>
      <c r="AF540">
        <f t="shared" si="444"/>
        <v>3.3920152833167995E-2</v>
      </c>
      <c r="AG540">
        <f t="shared" si="421"/>
        <v>3651.7940854521039</v>
      </c>
      <c r="AH540">
        <f t="shared" si="422"/>
        <v>-5842.7706605578687</v>
      </c>
      <c r="AJ540">
        <f t="shared" si="445"/>
        <v>18000</v>
      </c>
      <c r="AK540">
        <f t="shared" si="446"/>
        <v>190616.51102986801</v>
      </c>
      <c r="AL540">
        <v>1</v>
      </c>
      <c r="AM540">
        <f t="shared" si="447"/>
        <v>416.15685091272599</v>
      </c>
      <c r="AN540">
        <f t="shared" si="423"/>
        <v>458.14135378983781</v>
      </c>
      <c r="AO540">
        <f t="shared" si="424"/>
        <v>-42.15203620398632</v>
      </c>
      <c r="AQ540">
        <f t="shared" si="448"/>
        <v>9.4094612697635143E-4</v>
      </c>
      <c r="AR540">
        <f t="shared" si="449"/>
        <v>-3.0674843739429059</v>
      </c>
      <c r="AT540">
        <f t="shared" si="470"/>
        <v>-17919.17156029211</v>
      </c>
      <c r="AU540">
        <f t="shared" si="471"/>
        <v>-11207.319026405316</v>
      </c>
      <c r="AV540">
        <f t="shared" si="459"/>
        <v>-2.5826789071418679</v>
      </c>
      <c r="AW540">
        <f t="shared" si="460"/>
        <v>4407.11017321087</v>
      </c>
      <c r="AX540">
        <f t="shared" si="461"/>
        <v>-8135.5958375510618</v>
      </c>
      <c r="AY540">
        <f t="shared" si="469"/>
        <v>-1.0743422989054039</v>
      </c>
      <c r="BA540">
        <f t="shared" si="450"/>
        <v>2.284255627372529</v>
      </c>
      <c r="BB540">
        <f t="shared" si="462"/>
        <v>7.1748940698053065</v>
      </c>
      <c r="BC540">
        <f t="shared" si="463"/>
        <v>-1.508336608236464</v>
      </c>
      <c r="BD540">
        <f t="shared" si="451"/>
        <v>-266.42132183577763</v>
      </c>
      <c r="BF540">
        <f t="shared" si="452"/>
        <v>-67.247926179141643</v>
      </c>
      <c r="BG540">
        <f t="shared" si="453"/>
        <v>-212.2372388426615</v>
      </c>
      <c r="BH540">
        <f t="shared" si="464"/>
        <v>-32.237238842661498</v>
      </c>
      <c r="BI540">
        <f t="shared" si="465"/>
        <v>-32.237238842661498</v>
      </c>
      <c r="BJ540">
        <f t="shared" si="454"/>
        <v>0</v>
      </c>
      <c r="BK540">
        <f t="shared" si="466"/>
        <v>0</v>
      </c>
      <c r="BM540">
        <f t="shared" si="467"/>
        <v>-74.422820248946934</v>
      </c>
      <c r="BN540">
        <f t="shared" si="455"/>
        <v>-125.81591700688389</v>
      </c>
      <c r="BQ540" s="56">
        <f t="shared" si="468"/>
        <v>24.07685487009044</v>
      </c>
    </row>
    <row r="541" spans="1:69" x14ac:dyDescent="0.25">
      <c r="A541">
        <f t="shared" si="472"/>
        <v>1635000</v>
      </c>
      <c r="B541">
        <f t="shared" si="456"/>
        <v>1635</v>
      </c>
      <c r="C541">
        <f t="shared" si="425"/>
        <v>1.70978647021036</v>
      </c>
      <c r="D541">
        <f t="shared" si="426"/>
        <v>0.94607857732933864</v>
      </c>
      <c r="F541">
        <f t="shared" si="427"/>
        <v>7.3797178390369983E-6</v>
      </c>
      <c r="G541">
        <f t="shared" si="428"/>
        <v>1.0625109683452634E-3</v>
      </c>
      <c r="H541">
        <f t="shared" si="429"/>
        <v>-3.1405301390316551</v>
      </c>
      <c r="J541">
        <f t="shared" si="430"/>
        <v>15</v>
      </c>
      <c r="M541">
        <f t="shared" si="431"/>
        <v>1.6328246267832414E-3</v>
      </c>
      <c r="N541">
        <f t="shared" si="432"/>
        <v>-1.5707963250000001</v>
      </c>
      <c r="O541">
        <f t="shared" si="433"/>
        <v>440.71317624614647</v>
      </c>
      <c r="P541">
        <f t="shared" si="434"/>
        <v>1.5685272753755193</v>
      </c>
      <c r="Q541">
        <f t="shared" si="435"/>
        <v>417.43460346425621</v>
      </c>
      <c r="R541">
        <f t="shared" si="436"/>
        <v>1.5684007396821498</v>
      </c>
      <c r="S541">
        <f t="shared" si="437"/>
        <v>9.3727236895084415E-2</v>
      </c>
      <c r="T541">
        <f t="shared" si="438"/>
        <v>-1.4769313154651267</v>
      </c>
      <c r="U541">
        <f t="shared" si="439"/>
        <v>0.53076618464629133</v>
      </c>
      <c r="V541">
        <f t="shared" si="440"/>
        <v>-1.0112919839310772</v>
      </c>
      <c r="X541">
        <f t="shared" si="457"/>
        <v>-50.969480468875346</v>
      </c>
      <c r="Y541">
        <f t="shared" si="441"/>
        <v>-178.56477057499899</v>
      </c>
      <c r="Z541">
        <f t="shared" si="458"/>
        <v>1.4352294250010118</v>
      </c>
      <c r="AC541">
        <v>1</v>
      </c>
      <c r="AD541">
        <f t="shared" si="442"/>
        <v>440.71204171994998</v>
      </c>
      <c r="AE541">
        <f t="shared" si="443"/>
        <v>-5.4329259780969787E-2</v>
      </c>
      <c r="AF541">
        <f t="shared" si="444"/>
        <v>3.4024202381736E-2</v>
      </c>
      <c r="AG541">
        <f t="shared" si="421"/>
        <v>3635.7755753759552</v>
      </c>
      <c r="AH541">
        <f t="shared" si="422"/>
        <v>-5834.9346007439226</v>
      </c>
      <c r="AJ541">
        <f t="shared" si="445"/>
        <v>18000</v>
      </c>
      <c r="AK541">
        <f t="shared" si="446"/>
        <v>191201.224253886</v>
      </c>
      <c r="AL541">
        <v>1</v>
      </c>
      <c r="AM541">
        <f t="shared" si="447"/>
        <v>417.433405670127</v>
      </c>
      <c r="AN541">
        <f t="shared" si="423"/>
        <v>458.14073523715672</v>
      </c>
      <c r="AO541">
        <f t="shared" si="424"/>
        <v>-42.023132376293667</v>
      </c>
      <c r="AQ541">
        <f t="shared" si="448"/>
        <v>9.3519990505850563E-4</v>
      </c>
      <c r="AR541">
        <f t="shared" si="449"/>
        <v>-3.0581036895413134</v>
      </c>
      <c r="AT541">
        <f t="shared" si="470"/>
        <v>-17840.434853794355</v>
      </c>
      <c r="AU541">
        <f t="shared" si="471"/>
        <v>-11124.035531686039</v>
      </c>
      <c r="AV541">
        <f t="shared" si="459"/>
        <v>-2.5840515517573306</v>
      </c>
      <c r="AW541">
        <f t="shared" si="460"/>
        <v>4390.0091581984616</v>
      </c>
      <c r="AX541">
        <f t="shared" si="461"/>
        <v>-8121.9162668285353</v>
      </c>
      <c r="AY541">
        <f t="shared" si="469"/>
        <v>-1.0752652205386277</v>
      </c>
      <c r="BA541">
        <f t="shared" si="450"/>
        <v>2.2772341239213025</v>
      </c>
      <c r="BB541">
        <f t="shared" si="462"/>
        <v>7.1481536601737039</v>
      </c>
      <c r="BC541">
        <f t="shared" si="463"/>
        <v>-1.5087863312187029</v>
      </c>
      <c r="BD541">
        <f t="shared" si="451"/>
        <v>-266.44708906463939</v>
      </c>
      <c r="BF541">
        <f t="shared" si="452"/>
        <v>-67.310388495428441</v>
      </c>
      <c r="BG541">
        <f t="shared" si="453"/>
        <v>-212.17990203974517</v>
      </c>
      <c r="BH541">
        <f t="shared" si="464"/>
        <v>-32.179902039745173</v>
      </c>
      <c r="BI541">
        <f t="shared" si="465"/>
        <v>-32.179902039745173</v>
      </c>
      <c r="BJ541">
        <f t="shared" si="454"/>
        <v>0</v>
      </c>
      <c r="BK541">
        <f t="shared" si="466"/>
        <v>0</v>
      </c>
      <c r="BM541">
        <f t="shared" si="467"/>
        <v>-74.458542155602146</v>
      </c>
      <c r="BN541">
        <f t="shared" si="455"/>
        <v>-125.73281297510577</v>
      </c>
      <c r="BQ541" s="56">
        <f t="shared" si="468"/>
        <v>24.050114460458843</v>
      </c>
    </row>
    <row r="542" spans="1:69" x14ac:dyDescent="0.25">
      <c r="A542">
        <f t="shared" si="472"/>
        <v>1640000</v>
      </c>
      <c r="B542">
        <f t="shared" si="456"/>
        <v>1640</v>
      </c>
      <c r="C542">
        <f t="shared" si="425"/>
        <v>1.7132283824905608</v>
      </c>
      <c r="D542">
        <f t="shared" si="426"/>
        <v>0.94752643761496014</v>
      </c>
      <c r="F542">
        <f t="shared" si="427"/>
        <v>7.3347878423718197E-6</v>
      </c>
      <c r="G542">
        <f t="shared" si="428"/>
        <v>1.0592715593511618E-3</v>
      </c>
      <c r="H542">
        <f t="shared" si="429"/>
        <v>-3.1405333784406491</v>
      </c>
      <c r="J542">
        <f t="shared" si="430"/>
        <v>15</v>
      </c>
      <c r="M542">
        <f t="shared" si="431"/>
        <v>1.6278465029210974E-3</v>
      </c>
      <c r="N542">
        <f t="shared" si="432"/>
        <v>-1.5707963250000001</v>
      </c>
      <c r="O542">
        <f t="shared" si="433"/>
        <v>442.06091603408396</v>
      </c>
      <c r="P542">
        <f t="shared" si="434"/>
        <v>1.5685341931915764</v>
      </c>
      <c r="Q542">
        <f t="shared" si="435"/>
        <v>418.71115456985626</v>
      </c>
      <c r="R542">
        <f t="shared" si="436"/>
        <v>1.5684080432735807</v>
      </c>
      <c r="S542">
        <f t="shared" si="437"/>
        <v>9.3443982044273108E-2</v>
      </c>
      <c r="T542">
        <f t="shared" si="438"/>
        <v>-1.4772158189354425</v>
      </c>
      <c r="U542">
        <f t="shared" si="439"/>
        <v>0.52960236161880936</v>
      </c>
      <c r="V542">
        <f t="shared" si="440"/>
        <v>-1.0126646072659899</v>
      </c>
      <c r="X542">
        <f t="shared" si="457"/>
        <v>-51.023891452318033</v>
      </c>
      <c r="Y542">
        <f t="shared" si="441"/>
        <v>-178.57613144121456</v>
      </c>
      <c r="Z542">
        <f t="shared" si="458"/>
        <v>1.4238685587854434</v>
      </c>
      <c r="AC542">
        <v>1</v>
      </c>
      <c r="AD542">
        <f t="shared" si="442"/>
        <v>442.05978496680001</v>
      </c>
      <c r="AE542">
        <f t="shared" si="443"/>
        <v>-5.4662056918851329E-2</v>
      </c>
      <c r="AF542">
        <f t="shared" si="444"/>
        <v>3.4128251930303999E-2</v>
      </c>
      <c r="AG542">
        <f t="shared" si="421"/>
        <v>3619.8485614964202</v>
      </c>
      <c r="AH542">
        <f t="shared" si="422"/>
        <v>-5827.0891961376828</v>
      </c>
      <c r="AJ542">
        <f t="shared" si="445"/>
        <v>18000</v>
      </c>
      <c r="AK542">
        <f t="shared" si="446"/>
        <v>191785.93747790402</v>
      </c>
      <c r="AL542">
        <v>1</v>
      </c>
      <c r="AM542">
        <f t="shared" si="447"/>
        <v>418.70996042752802</v>
      </c>
      <c r="AN542">
        <f t="shared" si="423"/>
        <v>458.14012233329805</v>
      </c>
      <c r="AO542">
        <f t="shared" si="424"/>
        <v>-41.895014534059349</v>
      </c>
      <c r="AQ542">
        <f t="shared" si="448"/>
        <v>9.2950615988379682E-4</v>
      </c>
      <c r="AR542">
        <f t="shared" si="449"/>
        <v>-3.0487802044188537</v>
      </c>
      <c r="AT542">
        <f t="shared" si="470"/>
        <v>-17762.14951903178</v>
      </c>
      <c r="AU542">
        <f t="shared" si="471"/>
        <v>-11041.53895258635</v>
      </c>
      <c r="AV542">
        <f t="shared" si="459"/>
        <v>-2.5854181896248729</v>
      </c>
      <c r="AW542">
        <f t="shared" si="460"/>
        <v>4373.0031332940353</v>
      </c>
      <c r="AX542">
        <f t="shared" si="461"/>
        <v>-8108.2563375142463</v>
      </c>
      <c r="AY542">
        <f t="shared" si="469"/>
        <v>-1.0761841193183375</v>
      </c>
      <c r="BA542">
        <f t="shared" si="450"/>
        <v>2.2702556097142077</v>
      </c>
      <c r="BB542">
        <f t="shared" si="462"/>
        <v>7.1214951494908698</v>
      </c>
      <c r="BC542">
        <f t="shared" si="463"/>
        <v>-1.5092340703065354</v>
      </c>
      <c r="BD542">
        <f t="shared" si="451"/>
        <v>-266.47274262472456</v>
      </c>
      <c r="BF542">
        <f t="shared" si="452"/>
        <v>-67.37262332826262</v>
      </c>
      <c r="BG542">
        <f t="shared" si="453"/>
        <v>-212.12278492050848</v>
      </c>
      <c r="BH542">
        <f t="shared" si="464"/>
        <v>-32.122784920508479</v>
      </c>
      <c r="BI542">
        <f t="shared" si="465"/>
        <v>-32.122784920508479</v>
      </c>
      <c r="BJ542">
        <f t="shared" si="454"/>
        <v>0</v>
      </c>
      <c r="BK542">
        <f t="shared" si="466"/>
        <v>0</v>
      </c>
      <c r="BM542">
        <f t="shared" si="467"/>
        <v>-74.494118477753489</v>
      </c>
      <c r="BN542">
        <f t="shared" si="455"/>
        <v>-125.65004229578395</v>
      </c>
      <c r="BQ542" s="56">
        <f t="shared" si="468"/>
        <v>24.023455949776004</v>
      </c>
    </row>
    <row r="543" spans="1:69" x14ac:dyDescent="0.25">
      <c r="A543">
        <f t="shared" si="472"/>
        <v>1645000</v>
      </c>
      <c r="B543">
        <f t="shared" si="456"/>
        <v>1645</v>
      </c>
      <c r="C543">
        <f t="shared" si="425"/>
        <v>1.7166738718044272</v>
      </c>
      <c r="D543">
        <f t="shared" si="426"/>
        <v>0.9489684889916622</v>
      </c>
      <c r="F543">
        <f t="shared" si="427"/>
        <v>7.2902669225411808E-6</v>
      </c>
      <c r="G543">
        <f t="shared" si="428"/>
        <v>1.0560518432330902E-3</v>
      </c>
      <c r="H543">
        <f t="shared" si="429"/>
        <v>-3.1405365981567672</v>
      </c>
      <c r="J543">
        <f t="shared" si="430"/>
        <v>15</v>
      </c>
      <c r="M543">
        <f t="shared" si="431"/>
        <v>1.6228986412100911E-3</v>
      </c>
      <c r="N543">
        <f t="shared" si="432"/>
        <v>-1.5707963250000001</v>
      </c>
      <c r="O543">
        <f t="shared" si="433"/>
        <v>443.40865584304834</v>
      </c>
      <c r="P543">
        <f t="shared" si="434"/>
        <v>1.5685410689542547</v>
      </c>
      <c r="Q543">
        <f t="shared" si="435"/>
        <v>419.9877056976556</v>
      </c>
      <c r="R543">
        <f t="shared" si="436"/>
        <v>1.5684153024665322</v>
      </c>
      <c r="S543">
        <f t="shared" si="437"/>
        <v>9.3162426621910904E-2</v>
      </c>
      <c r="T543">
        <f t="shared" si="438"/>
        <v>-1.4774986079576171</v>
      </c>
      <c r="U543">
        <f t="shared" si="439"/>
        <v>0.52844264219724402</v>
      </c>
      <c r="V543">
        <f t="shared" si="440"/>
        <v>-1.0140312216450436</v>
      </c>
      <c r="X543">
        <f t="shared" si="457"/>
        <v>-51.078134514440343</v>
      </c>
      <c r="Y543">
        <f t="shared" si="441"/>
        <v>-178.58738643994988</v>
      </c>
      <c r="Z543">
        <f t="shared" si="458"/>
        <v>1.4126135600501186</v>
      </c>
      <c r="AC543">
        <v>1</v>
      </c>
      <c r="AD543">
        <f t="shared" si="442"/>
        <v>443.40752821364998</v>
      </c>
      <c r="AE543">
        <f t="shared" si="443"/>
        <v>-5.4995870231199687E-2</v>
      </c>
      <c r="AF543">
        <f t="shared" si="444"/>
        <v>3.4232301478871997E-2</v>
      </c>
      <c r="AG543">
        <f t="shared" si="421"/>
        <v>3604.0124829617603</v>
      </c>
      <c r="AH543">
        <f t="shared" si="422"/>
        <v>-5819.2348810534268</v>
      </c>
      <c r="AJ543">
        <f t="shared" si="445"/>
        <v>18000</v>
      </c>
      <c r="AK543">
        <f t="shared" si="446"/>
        <v>192370.65070192202</v>
      </c>
      <c r="AL543">
        <v>1</v>
      </c>
      <c r="AM543">
        <f t="shared" si="447"/>
        <v>419.98651518492898</v>
      </c>
      <c r="AN543">
        <f t="shared" si="423"/>
        <v>458.13951500968824</v>
      </c>
      <c r="AO543">
        <f t="shared" si="424"/>
        <v>-41.767675510405986</v>
      </c>
      <c r="AQ543">
        <f t="shared" si="448"/>
        <v>9.2386425440782569E-4</v>
      </c>
      <c r="AR543">
        <f t="shared" si="449"/>
        <v>-3.0395133970017465</v>
      </c>
      <c r="AT543">
        <f t="shared" si="470"/>
        <v>-17684.312762956306</v>
      </c>
      <c r="AU543">
        <f t="shared" si="471"/>
        <v>-10959.820408018406</v>
      </c>
      <c r="AV543">
        <f t="shared" si="459"/>
        <v>-2.5867788549221613</v>
      </c>
      <c r="AW543">
        <f t="shared" si="460"/>
        <v>4356.0915593791906</v>
      </c>
      <c r="AX543">
        <f t="shared" si="461"/>
        <v>-8094.6162601027663</v>
      </c>
      <c r="AY543">
        <f t="shared" si="469"/>
        <v>-1.077099011079196</v>
      </c>
      <c r="BA543">
        <f t="shared" si="450"/>
        <v>2.2633196902473101</v>
      </c>
      <c r="BB543">
        <f t="shared" si="462"/>
        <v>7.09491803361884</v>
      </c>
      <c r="BC543">
        <f t="shared" si="463"/>
        <v>-1.5096798438429653</v>
      </c>
      <c r="BD543">
        <f t="shared" si="451"/>
        <v>-266.49828356700976</v>
      </c>
      <c r="BF543">
        <f t="shared" si="452"/>
        <v>-67.434632249355985</v>
      </c>
      <c r="BG543">
        <f t="shared" si="453"/>
        <v>-212.06588688111827</v>
      </c>
      <c r="BH543">
        <f t="shared" si="464"/>
        <v>-32.065886881118274</v>
      </c>
      <c r="BI543">
        <f t="shared" si="465"/>
        <v>-32.065886881118274</v>
      </c>
      <c r="BJ543">
        <f t="shared" si="454"/>
        <v>0</v>
      </c>
      <c r="BK543">
        <f t="shared" si="466"/>
        <v>0</v>
      </c>
      <c r="BM543">
        <f t="shared" si="467"/>
        <v>-74.529550282974839</v>
      </c>
      <c r="BN543">
        <f t="shared" si="455"/>
        <v>-125.5676033141085</v>
      </c>
      <c r="BQ543" s="56">
        <f t="shared" si="468"/>
        <v>23.996878833903978</v>
      </c>
    </row>
    <row r="544" spans="1:69" x14ac:dyDescent="0.25">
      <c r="A544">
        <f t="shared" si="472"/>
        <v>1650000</v>
      </c>
      <c r="B544">
        <f t="shared" si="456"/>
        <v>1650</v>
      </c>
      <c r="C544">
        <f t="shared" si="425"/>
        <v>1.720122916657046</v>
      </c>
      <c r="D544">
        <f t="shared" si="426"/>
        <v>0.95040476038645694</v>
      </c>
      <c r="F544">
        <f t="shared" si="427"/>
        <v>7.2461501285017185E-6</v>
      </c>
      <c r="G544">
        <f t="shared" si="428"/>
        <v>1.0528516409598345E-3</v>
      </c>
      <c r="H544">
        <f t="shared" si="429"/>
        <v>-3.1405397983590402</v>
      </c>
      <c r="J544">
        <f t="shared" si="430"/>
        <v>15</v>
      </c>
      <c r="M544">
        <f t="shared" si="431"/>
        <v>1.6179807665397574E-3</v>
      </c>
      <c r="N544">
        <f t="shared" si="432"/>
        <v>-1.5707963250000001</v>
      </c>
      <c r="O544">
        <f t="shared" si="433"/>
        <v>444.75639567284816</v>
      </c>
      <c r="P544">
        <f t="shared" si="434"/>
        <v>1.5685479030458556</v>
      </c>
      <c r="Q544">
        <f t="shared" si="435"/>
        <v>421.26425684745249</v>
      </c>
      <c r="R544">
        <f t="shared" si="436"/>
        <v>1.5684225176646234</v>
      </c>
      <c r="S544">
        <f t="shared" si="437"/>
        <v>9.2882555447027379E-2</v>
      </c>
      <c r="T544">
        <f t="shared" si="438"/>
        <v>-1.4777796979374438</v>
      </c>
      <c r="U544">
        <f t="shared" si="439"/>
        <v>0.52728701243553511</v>
      </c>
      <c r="V544">
        <f t="shared" si="440"/>
        <v>-1.0153918613690112</v>
      </c>
      <c r="X544">
        <f t="shared" si="457"/>
        <v>-51.132210656656127</v>
      </c>
      <c r="Y544">
        <f t="shared" si="441"/>
        <v>-178.59853672701345</v>
      </c>
      <c r="Z544">
        <f t="shared" si="458"/>
        <v>1.4014632729865468</v>
      </c>
      <c r="AC544">
        <v>1</v>
      </c>
      <c r="AD544">
        <f t="shared" si="442"/>
        <v>444.75527146050001</v>
      </c>
      <c r="AE544">
        <f t="shared" si="443"/>
        <v>-5.5330699718014853E-2</v>
      </c>
      <c r="AF544">
        <f t="shared" si="444"/>
        <v>3.4336351027440003E-2</v>
      </c>
      <c r="AG544">
        <f t="shared" si="421"/>
        <v>3588.2667814424917</v>
      </c>
      <c r="AH544">
        <f t="shared" si="422"/>
        <v>-5811.3720829757958</v>
      </c>
      <c r="AJ544">
        <f t="shared" si="445"/>
        <v>18000</v>
      </c>
      <c r="AK544">
        <f t="shared" si="446"/>
        <v>192955.36392594001</v>
      </c>
      <c r="AL544">
        <v>1</v>
      </c>
      <c r="AM544">
        <f t="shared" si="447"/>
        <v>421.26306994232999</v>
      </c>
      <c r="AN544">
        <f t="shared" si="423"/>
        <v>458.13891319879099</v>
      </c>
      <c r="AO544">
        <f t="shared" si="424"/>
        <v>-41.641108225324984</v>
      </c>
      <c r="AQ544">
        <f t="shared" si="448"/>
        <v>9.1827356122373171E-4</v>
      </c>
      <c r="AR544">
        <f t="shared" si="449"/>
        <v>-3.0303027520383146</v>
      </c>
      <c r="AT544">
        <f t="shared" si="470"/>
        <v>-17606.921805644171</v>
      </c>
      <c r="AU544">
        <f t="shared" si="471"/>
        <v>-10878.87113219108</v>
      </c>
      <c r="AV544">
        <f t="shared" si="459"/>
        <v>-2.5881335816191937</v>
      </c>
      <c r="AW544">
        <f t="shared" si="460"/>
        <v>4339.2738988334031</v>
      </c>
      <c r="AX544">
        <f t="shared" si="461"/>
        <v>-8080.9962407929434</v>
      </c>
      <c r="AY544">
        <f t="shared" si="469"/>
        <v>-1.0780099116746429</v>
      </c>
      <c r="BA544">
        <f t="shared" si="450"/>
        <v>2.2564259758352008</v>
      </c>
      <c r="BB544">
        <f t="shared" si="462"/>
        <v>7.0684218130628338</v>
      </c>
      <c r="BC544">
        <f t="shared" si="463"/>
        <v>-1.5101236699445508</v>
      </c>
      <c r="BD544">
        <f t="shared" si="451"/>
        <v>-266.52371292949744</v>
      </c>
      <c r="BF544">
        <f t="shared" si="452"/>
        <v>-67.496416815211063</v>
      </c>
      <c r="BG544">
        <f t="shared" si="453"/>
        <v>-212.0092073124388</v>
      </c>
      <c r="BH544">
        <f t="shared" si="464"/>
        <v>-32.009207312438804</v>
      </c>
      <c r="BI544">
        <f t="shared" si="465"/>
        <v>-32.009207312438804</v>
      </c>
      <c r="BJ544">
        <f t="shared" si="454"/>
        <v>0</v>
      </c>
      <c r="BK544">
        <f t="shared" si="466"/>
        <v>0</v>
      </c>
      <c r="BM544">
        <f t="shared" si="467"/>
        <v>-74.56483862827389</v>
      </c>
      <c r="BN544">
        <f t="shared" si="455"/>
        <v>-125.48549438294138</v>
      </c>
      <c r="BQ544" s="56">
        <f t="shared" si="468"/>
        <v>23.970382613347972</v>
      </c>
    </row>
    <row r="545" spans="1:69" x14ac:dyDescent="0.25">
      <c r="A545">
        <f t="shared" si="472"/>
        <v>1655000</v>
      </c>
      <c r="B545">
        <f t="shared" si="456"/>
        <v>1655</v>
      </c>
      <c r="C545">
        <f t="shared" si="425"/>
        <v>1.7235754957034644</v>
      </c>
      <c r="D545">
        <f t="shared" si="426"/>
        <v>0.95183528059032108</v>
      </c>
      <c r="F545">
        <f t="shared" si="427"/>
        <v>7.2024325838871264E-6</v>
      </c>
      <c r="G545">
        <f t="shared" si="428"/>
        <v>1.049670775663774E-3</v>
      </c>
      <c r="H545">
        <f t="shared" si="429"/>
        <v>-3.1405429792243362</v>
      </c>
      <c r="J545">
        <f t="shared" si="430"/>
        <v>15</v>
      </c>
      <c r="M545">
        <f t="shared" si="431"/>
        <v>1.6130926071242296E-3</v>
      </c>
      <c r="N545">
        <f t="shared" si="432"/>
        <v>-1.5707963250000001</v>
      </c>
      <c r="O545">
        <f t="shared" si="433"/>
        <v>446.10413552329476</v>
      </c>
      <c r="P545">
        <f t="shared" si="434"/>
        <v>1.5685546958440597</v>
      </c>
      <c r="Q545">
        <f t="shared" si="435"/>
        <v>422.54080801904746</v>
      </c>
      <c r="R545">
        <f t="shared" si="436"/>
        <v>1.5684296892665965</v>
      </c>
      <c r="S545">
        <f t="shared" si="437"/>
        <v>9.2604353518124558E-2</v>
      </c>
      <c r="T545">
        <f t="shared" si="438"/>
        <v>-1.4780591040972235</v>
      </c>
      <c r="U545">
        <f t="shared" si="439"/>
        <v>0.52613545835663644</v>
      </c>
      <c r="V545">
        <f t="shared" si="440"/>
        <v>-1.0167465605278958</v>
      </c>
      <c r="X545">
        <f t="shared" si="457"/>
        <v>-51.18612087172859</v>
      </c>
      <c r="Y545">
        <f t="shared" si="441"/>
        <v>-178.60958344383894</v>
      </c>
      <c r="Z545">
        <f t="shared" si="458"/>
        <v>1.3904165561610569</v>
      </c>
      <c r="AC545">
        <v>1</v>
      </c>
      <c r="AD545">
        <f t="shared" si="442"/>
        <v>446.10301470735004</v>
      </c>
      <c r="AE545">
        <f t="shared" si="443"/>
        <v>-5.5666545379296828E-2</v>
      </c>
      <c r="AF545">
        <f t="shared" si="444"/>
        <v>3.4440400576008001E-2</v>
      </c>
      <c r="AG545">
        <f t="shared" si="421"/>
        <v>3572.6109011504013</v>
      </c>
      <c r="AH545">
        <f t="shared" si="422"/>
        <v>-5803.5012226511953</v>
      </c>
      <c r="AJ545">
        <f t="shared" si="445"/>
        <v>18000</v>
      </c>
      <c r="AK545">
        <f t="shared" si="446"/>
        <v>193540.07714995803</v>
      </c>
      <c r="AL545">
        <v>1</v>
      </c>
      <c r="AM545">
        <f t="shared" si="447"/>
        <v>422.53962469973101</v>
      </c>
      <c r="AN545">
        <f t="shared" si="423"/>
        <v>458.13831683408893</v>
      </c>
      <c r="AO545">
        <f t="shared" si="424"/>
        <v>-41.515305684364328</v>
      </c>
      <c r="AQ545">
        <f t="shared" si="448"/>
        <v>9.1273346238776002E-4</v>
      </c>
      <c r="AR545">
        <f t="shared" si="449"/>
        <v>-3.0211477605034855</v>
      </c>
      <c r="AT545">
        <f t="shared" si="470"/>
        <v>-17529.973880374328</v>
      </c>
      <c r="AU545">
        <f t="shared" si="471"/>
        <v>-10798.682472925797</v>
      </c>
      <c r="AV545">
        <f t="shared" si="459"/>
        <v>-2.5894824034791957</v>
      </c>
      <c r="AW545">
        <f t="shared" si="460"/>
        <v>4322.5496155791161</v>
      </c>
      <c r="AX545">
        <f t="shared" si="461"/>
        <v>-8067.3964815395793</v>
      </c>
      <c r="AY545">
        <f t="shared" si="469"/>
        <v>-1.0789168369742979</v>
      </c>
      <c r="BA545">
        <f t="shared" si="450"/>
        <v>2.2495740815375713</v>
      </c>
      <c r="BB545">
        <f t="shared" si="462"/>
        <v>7.0420059929142962</v>
      </c>
      <c r="BC545">
        <f t="shared" si="463"/>
        <v>-1.5105655665048978</v>
      </c>
      <c r="BD545">
        <f t="shared" si="451"/>
        <v>-266.54903173741559</v>
      </c>
      <c r="BF545">
        <f t="shared" si="452"/>
        <v>-67.557978567306222</v>
      </c>
      <c r="BG545">
        <f t="shared" si="453"/>
        <v>-211.95274560023057</v>
      </c>
      <c r="BH545">
        <f t="shared" si="464"/>
        <v>-31.952745600230571</v>
      </c>
      <c r="BI545">
        <f t="shared" si="465"/>
        <v>-31.952745600230571</v>
      </c>
      <c r="BJ545">
        <f t="shared" si="454"/>
        <v>0</v>
      </c>
      <c r="BK545">
        <f t="shared" si="466"/>
        <v>0</v>
      </c>
      <c r="BM545">
        <f t="shared" si="467"/>
        <v>-74.59998456022052</v>
      </c>
      <c r="BN545">
        <f t="shared" si="455"/>
        <v>-125.40371386281498</v>
      </c>
      <c r="BQ545" s="56">
        <f t="shared" si="468"/>
        <v>23.943966793199433</v>
      </c>
    </row>
    <row r="546" spans="1:69" x14ac:dyDescent="0.25">
      <c r="A546">
        <f t="shared" si="472"/>
        <v>1660000</v>
      </c>
      <c r="B546">
        <f t="shared" si="456"/>
        <v>1660</v>
      </c>
      <c r="C546">
        <f t="shared" si="425"/>
        <v>1.7270315877476305</v>
      </c>
      <c r="D546">
        <f t="shared" si="426"/>
        <v>0.95326007825827552</v>
      </c>
      <c r="F546">
        <f t="shared" si="427"/>
        <v>7.1591094856605749E-6</v>
      </c>
      <c r="G546">
        <f t="shared" si="428"/>
        <v>1.0465090726082993E-3</v>
      </c>
      <c r="H546">
        <f t="shared" si="429"/>
        <v>-3.140546140927392</v>
      </c>
      <c r="J546">
        <f t="shared" si="430"/>
        <v>15</v>
      </c>
      <c r="M546">
        <f t="shared" si="431"/>
        <v>1.6082338944521685E-3</v>
      </c>
      <c r="N546">
        <f t="shared" si="432"/>
        <v>-1.5707963250000001</v>
      </c>
      <c r="O546">
        <f t="shared" si="433"/>
        <v>447.45187539420158</v>
      </c>
      <c r="P546">
        <f t="shared" si="434"/>
        <v>1.5685614477219976</v>
      </c>
      <c r="Q546">
        <f t="shared" si="435"/>
        <v>423.81735921224356</v>
      </c>
      <c r="R546">
        <f t="shared" si="436"/>
        <v>1.5684368176663892</v>
      </c>
      <c r="S546">
        <f t="shared" si="437"/>
        <v>9.2327806010544453E-2</v>
      </c>
      <c r="T546">
        <f t="shared" si="438"/>
        <v>-1.4783368414784801</v>
      </c>
      <c r="U546">
        <f t="shared" si="439"/>
        <v>0.52498796595459163</v>
      </c>
      <c r="V546">
        <f t="shared" si="440"/>
        <v>-1.0180953530018946</v>
      </c>
      <c r="X546">
        <f t="shared" si="457"/>
        <v>-51.2398661438679</v>
      </c>
      <c r="Y546">
        <f t="shared" si="441"/>
        <v>-178.62052771768444</v>
      </c>
      <c r="Z546">
        <f t="shared" si="458"/>
        <v>1.379472282315561</v>
      </c>
      <c r="AC546">
        <v>1</v>
      </c>
      <c r="AD546">
        <f t="shared" si="442"/>
        <v>447.45075795420001</v>
      </c>
      <c r="AE546">
        <f t="shared" si="443"/>
        <v>-5.6003407215045632E-2</v>
      </c>
      <c r="AF546">
        <f t="shared" si="444"/>
        <v>3.4544450124576E-2</v>
      </c>
      <c r="AG546">
        <f t="shared" si="421"/>
        <v>3557.0442888565649</v>
      </c>
      <c r="AH546">
        <f t="shared" si="422"/>
        <v>-5795.6227141781419</v>
      </c>
      <c r="AJ546">
        <f t="shared" si="445"/>
        <v>18000</v>
      </c>
      <c r="AK546">
        <f t="shared" si="446"/>
        <v>194124.79037397602</v>
      </c>
      <c r="AL546">
        <v>1</v>
      </c>
      <c r="AM546">
        <f t="shared" si="447"/>
        <v>423.81617945713202</v>
      </c>
      <c r="AN546">
        <f t="shared" si="423"/>
        <v>458.13772585006473</v>
      </c>
      <c r="AO546">
        <f t="shared" si="424"/>
        <v>-41.390260977340176</v>
      </c>
      <c r="AQ546">
        <f t="shared" si="448"/>
        <v>9.0724334924849857E-4</v>
      </c>
      <c r="AR546">
        <f t="shared" si="449"/>
        <v>-3.0120479195050152</v>
      </c>
      <c r="AT546">
        <f t="shared" si="470"/>
        <v>-17453.466233702235</v>
      </c>
      <c r="AU546">
        <f t="shared" si="471"/>
        <v>-10719.245889999804</v>
      </c>
      <c r="AV546">
        <f t="shared" si="459"/>
        <v>-2.5908253540595219</v>
      </c>
      <c r="AW546">
        <f t="shared" si="460"/>
        <v>4305.9181751252336</v>
      </c>
      <c r="AX546">
        <f t="shared" si="461"/>
        <v>-8053.8171801048566</v>
      </c>
      <c r="AY546">
        <f t="shared" si="469"/>
        <v>-1.0798198028614354</v>
      </c>
      <c r="BA546">
        <f t="shared" si="450"/>
        <v>2.2427636270871316</v>
      </c>
      <c r="BB546">
        <f t="shared" si="462"/>
        <v>7.0156700827948573</v>
      </c>
      <c r="BC546">
        <f t="shared" si="463"/>
        <v>-1.5110055511980864</v>
      </c>
      <c r="BD546">
        <f t="shared" si="451"/>
        <v>-266.5742410034145</v>
      </c>
      <c r="BF546">
        <f t="shared" si="452"/>
        <v>-67.619319032278284</v>
      </c>
      <c r="BG546">
        <f t="shared" si="453"/>
        <v>-211.89650112534366</v>
      </c>
      <c r="BH546">
        <f t="shared" si="464"/>
        <v>-31.896501125343661</v>
      </c>
      <c r="BI546">
        <f t="shared" si="465"/>
        <v>-31.896501125343661</v>
      </c>
      <c r="BJ546">
        <f t="shared" si="454"/>
        <v>0</v>
      </c>
      <c r="BK546">
        <f t="shared" si="466"/>
        <v>0</v>
      </c>
      <c r="BM546">
        <f t="shared" si="467"/>
        <v>-74.634989115073139</v>
      </c>
      <c r="BN546">
        <f t="shared" si="455"/>
        <v>-125.32226012192922</v>
      </c>
      <c r="BQ546" s="56">
        <f t="shared" si="468"/>
        <v>23.917630883079994</v>
      </c>
    </row>
    <row r="547" spans="1:69" x14ac:dyDescent="0.25">
      <c r="A547">
        <f t="shared" si="472"/>
        <v>1665000</v>
      </c>
      <c r="B547">
        <f t="shared" si="456"/>
        <v>1665</v>
      </c>
      <c r="C547">
        <f t="shared" si="425"/>
        <v>1.7304911717413414</v>
      </c>
      <c r="D547">
        <f t="shared" si="426"/>
        <v>0.95467918190947931</v>
      </c>
      <c r="F547">
        <f t="shared" si="427"/>
        <v>7.1161761027954364E-6</v>
      </c>
      <c r="G547">
        <f t="shared" si="428"/>
        <v>1.0433663591558116E-3</v>
      </c>
      <c r="H547">
        <f t="shared" si="429"/>
        <v>-3.1405492836408442</v>
      </c>
      <c r="J547">
        <f t="shared" si="430"/>
        <v>15</v>
      </c>
      <c r="M547">
        <f t="shared" si="431"/>
        <v>1.6034043632375972E-3</v>
      </c>
      <c r="N547">
        <f t="shared" si="432"/>
        <v>-1.5707963250000001</v>
      </c>
      <c r="O547">
        <f t="shared" si="433"/>
        <v>448.79961528538428</v>
      </c>
      <c r="P547">
        <f t="shared" si="434"/>
        <v>1.568568159048318</v>
      </c>
      <c r="Q547">
        <f t="shared" si="435"/>
        <v>425.09391042684626</v>
      </c>
      <c r="R547">
        <f t="shared" si="436"/>
        <v>1.5684439032532078</v>
      </c>
      <c r="S547">
        <f t="shared" si="437"/>
        <v>9.2052898273882702E-2</v>
      </c>
      <c r="T547">
        <f t="shared" si="438"/>
        <v>-1.4786129249446291</v>
      </c>
      <c r="U547">
        <f t="shared" si="439"/>
        <v>0.52384452119656555</v>
      </c>
      <c r="V547">
        <f t="shared" si="440"/>
        <v>-1.0194382724623712</v>
      </c>
      <c r="X547">
        <f t="shared" si="457"/>
        <v>-51.293447448827251</v>
      </c>
      <c r="Y547">
        <f t="shared" si="441"/>
        <v>-178.63137066183006</v>
      </c>
      <c r="Z547">
        <f t="shared" si="458"/>
        <v>1.3686293381699386</v>
      </c>
      <c r="AC547">
        <v>1</v>
      </c>
      <c r="AD547">
        <f t="shared" si="442"/>
        <v>448.79850120105004</v>
      </c>
      <c r="AE547">
        <f t="shared" si="443"/>
        <v>-5.6341285225261238E-2</v>
      </c>
      <c r="AF547">
        <f t="shared" si="444"/>
        <v>3.4648499673143998E-2</v>
      </c>
      <c r="AG547">
        <f t="shared" si="421"/>
        <v>3541.5663939084125</v>
      </c>
      <c r="AH547">
        <f t="shared" si="422"/>
        <v>-5787.736965096622</v>
      </c>
      <c r="AJ547">
        <f t="shared" si="445"/>
        <v>18000</v>
      </c>
      <c r="AK547">
        <f t="shared" si="446"/>
        <v>194709.50359799401</v>
      </c>
      <c r="AL547">
        <v>1</v>
      </c>
      <c r="AM547">
        <f t="shared" si="447"/>
        <v>425.09273421453298</v>
      </c>
      <c r="AN547">
        <f t="shared" si="423"/>
        <v>458.13714018218337</v>
      </c>
      <c r="AO547">
        <f t="shared" si="424"/>
        <v>-41.265967277071603</v>
      </c>
      <c r="AQ547">
        <f t="shared" si="448"/>
        <v>9.0180262227970113E-4</v>
      </c>
      <c r="AR547">
        <f t="shared" si="449"/>
        <v>-3.0030027321914048</v>
      </c>
      <c r="AT547">
        <f t="shared" si="470"/>
        <v>-17377.396125529343</v>
      </c>
      <c r="AU547">
        <f t="shared" si="471"/>
        <v>-10640.552953516413</v>
      </c>
      <c r="AV547">
        <f t="shared" si="459"/>
        <v>-2.5921624667125731</v>
      </c>
      <c r="AW547">
        <f t="shared" si="460"/>
        <v>4289.3790446090461</v>
      </c>
      <c r="AX547">
        <f t="shared" si="461"/>
        <v>-8040.2585301095451</v>
      </c>
      <c r="AY547">
        <f t="shared" si="469"/>
        <v>-1.0807188252305324</v>
      </c>
      <c r="BA547">
        <f t="shared" si="450"/>
        <v>2.2359942368188355</v>
      </c>
      <c r="BB547">
        <f t="shared" si="462"/>
        <v>6.9894135968010982</v>
      </c>
      <c r="BC547">
        <f t="shared" si="463"/>
        <v>-1.5114436414820407</v>
      </c>
      <c r="BD547">
        <f t="shared" si="451"/>
        <v>-266.59934172775945</v>
      </c>
      <c r="BF547">
        <f t="shared" si="452"/>
        <v>-67.680439722102278</v>
      </c>
      <c r="BG547">
        <f t="shared" si="453"/>
        <v>-211.8404732639074</v>
      </c>
      <c r="BH547">
        <f t="shared" si="464"/>
        <v>-31.840473263907398</v>
      </c>
      <c r="BI547">
        <f t="shared" si="465"/>
        <v>-31.840473263907398</v>
      </c>
      <c r="BJ547">
        <f t="shared" si="454"/>
        <v>0</v>
      </c>
      <c r="BK547">
        <f t="shared" si="466"/>
        <v>0</v>
      </c>
      <c r="BM547">
        <f t="shared" si="467"/>
        <v>-74.669853318903364</v>
      </c>
      <c r="BN547">
        <f t="shared" si="455"/>
        <v>-125.24113153614799</v>
      </c>
      <c r="BQ547" s="56">
        <f t="shared" si="468"/>
        <v>23.891374397086235</v>
      </c>
    </row>
    <row r="548" spans="1:69" x14ac:dyDescent="0.25">
      <c r="A548">
        <f t="shared" si="472"/>
        <v>1670000</v>
      </c>
      <c r="B548">
        <f t="shared" si="456"/>
        <v>1670</v>
      </c>
      <c r="C548">
        <f t="shared" si="425"/>
        <v>1.7339542267831927</v>
      </c>
      <c r="D548">
        <f t="shared" si="426"/>
        <v>0.95609261992733774</v>
      </c>
      <c r="F548">
        <f t="shared" si="427"/>
        <v>7.0736277749836023E-6</v>
      </c>
      <c r="G548">
        <f t="shared" si="428"/>
        <v>1.0402424647362998E-3</v>
      </c>
      <c r="H548">
        <f t="shared" si="429"/>
        <v>-3.1405524075352638</v>
      </c>
      <c r="J548">
        <f t="shared" si="430"/>
        <v>15</v>
      </c>
      <c r="M548">
        <f t="shared" si="431"/>
        <v>1.5986037513716167E-3</v>
      </c>
      <c r="N548">
        <f t="shared" si="432"/>
        <v>-1.5707963250000001</v>
      </c>
      <c r="O548">
        <f t="shared" si="433"/>
        <v>450.14735519666061</v>
      </c>
      <c r="P548">
        <f t="shared" si="434"/>
        <v>1.5685748301872549</v>
      </c>
      <c r="Q548">
        <f t="shared" si="435"/>
        <v>426.37046166266322</v>
      </c>
      <c r="R548">
        <f t="shared" si="436"/>
        <v>1.5684509464115968</v>
      </c>
      <c r="S548">
        <f t="shared" si="437"/>
        <v>9.1779615829447408E-2</v>
      </c>
      <c r="T548">
        <f t="shared" si="438"/>
        <v>-1.4788873691835978</v>
      </c>
      <c r="U548">
        <f t="shared" si="439"/>
        <v>0.52270511002483133</v>
      </c>
      <c r="V548">
        <f t="shared" si="440"/>
        <v>-1.0207753523728329</v>
      </c>
      <c r="X548">
        <f t="shared" si="457"/>
        <v>-51.346865753997683</v>
      </c>
      <c r="Y548">
        <f t="shared" si="441"/>
        <v>-178.64211337577163</v>
      </c>
      <c r="Z548">
        <f t="shared" si="458"/>
        <v>1.3578866242283709</v>
      </c>
      <c r="AC548">
        <v>1</v>
      </c>
      <c r="AD548">
        <f t="shared" si="442"/>
        <v>450.14624444790002</v>
      </c>
      <c r="AE548">
        <f t="shared" si="443"/>
        <v>-5.6680179409943666E-2</v>
      </c>
      <c r="AF548">
        <f t="shared" si="444"/>
        <v>3.4752549221711997E-2</v>
      </c>
      <c r="AG548">
        <f t="shared" si="421"/>
        <v>3526.1766682458187</v>
      </c>
      <c r="AH548">
        <f t="shared" si="422"/>
        <v>-5779.8443764763724</v>
      </c>
      <c r="AJ548">
        <f t="shared" si="445"/>
        <v>18000</v>
      </c>
      <c r="AK548">
        <f t="shared" si="446"/>
        <v>195294.21682201201</v>
      </c>
      <c r="AL548">
        <v>1</v>
      </c>
      <c r="AM548">
        <f t="shared" si="447"/>
        <v>426.369288971934</v>
      </c>
      <c r="AN548">
        <f t="shared" si="423"/>
        <v>458.13655976687426</v>
      </c>
      <c r="AO548">
        <f t="shared" si="424"/>
        <v>-41.14241783813803</v>
      </c>
      <c r="AQ548">
        <f t="shared" si="448"/>
        <v>8.9641069091660772E-4</v>
      </c>
      <c r="AR548">
        <f t="shared" si="449"/>
        <v>-2.9940117076614698</v>
      </c>
      <c r="AT548">
        <f t="shared" si="470"/>
        <v>-17301.760829168092</v>
      </c>
      <c r="AU548">
        <f t="shared" si="471"/>
        <v>-10562.595342301604</v>
      </c>
      <c r="AV548">
        <f t="shared" si="459"/>
        <v>-2.5934937745867126</v>
      </c>
      <c r="AW548">
        <f t="shared" si="460"/>
        <v>4272.9316928365906</v>
      </c>
      <c r="AX548">
        <f t="shared" si="461"/>
        <v>-8026.7207210838915</v>
      </c>
      <c r="AY548">
        <f t="shared" si="469"/>
        <v>-1.081613919984884</v>
      </c>
      <c r="BA548">
        <f t="shared" si="450"/>
        <v>2.2292655396003878</v>
      </c>
      <c r="BB548">
        <f t="shared" si="462"/>
        <v>6.9632360534501849</v>
      </c>
      <c r="BC548">
        <f t="shared" si="463"/>
        <v>-1.5118798546018286</v>
      </c>
      <c r="BD548">
        <f t="shared" si="451"/>
        <v>-266.62433489852003</v>
      </c>
      <c r="BF548">
        <f t="shared" si="452"/>
        <v>-67.741342134268706</v>
      </c>
      <c r="BG548">
        <f t="shared" si="453"/>
        <v>-211.78466138751494</v>
      </c>
      <c r="BH548">
        <f t="shared" si="464"/>
        <v>-31.784661387514944</v>
      </c>
      <c r="BI548">
        <f t="shared" si="465"/>
        <v>-31.784661387514944</v>
      </c>
      <c r="BJ548">
        <f t="shared" si="454"/>
        <v>0</v>
      </c>
      <c r="BK548">
        <f t="shared" si="466"/>
        <v>0</v>
      </c>
      <c r="BM548">
        <f t="shared" si="467"/>
        <v>-74.704578187718894</v>
      </c>
      <c r="BN548">
        <f t="shared" si="455"/>
        <v>-125.16032648899488</v>
      </c>
      <c r="BQ548" s="56">
        <f t="shared" si="468"/>
        <v>23.86519685373532</v>
      </c>
    </row>
    <row r="549" spans="1:69" x14ac:dyDescent="0.25">
      <c r="A549">
        <f t="shared" si="472"/>
        <v>1675000</v>
      </c>
      <c r="B549">
        <f t="shared" si="456"/>
        <v>1675</v>
      </c>
      <c r="C549">
        <f t="shared" si="425"/>
        <v>1.7374207321175368</v>
      </c>
      <c r="D549">
        <f t="shared" si="426"/>
        <v>0.95750042055962492</v>
      </c>
      <c r="F549">
        <f t="shared" si="427"/>
        <v>7.0314599113707559E-6</v>
      </c>
      <c r="G549">
        <f t="shared" si="428"/>
        <v>1.0371372208164802E-3</v>
      </c>
      <c r="H549">
        <f t="shared" si="429"/>
        <v>-3.1405555127791835</v>
      </c>
      <c r="J549">
        <f t="shared" si="430"/>
        <v>15</v>
      </c>
      <c r="M549">
        <f t="shared" si="431"/>
        <v>1.593831799874985E-3</v>
      </c>
      <c r="N549">
        <f t="shared" si="432"/>
        <v>-1.5707963250000001</v>
      </c>
      <c r="O549">
        <f t="shared" si="433"/>
        <v>451.49509512785085</v>
      </c>
      <c r="P549">
        <f t="shared" si="434"/>
        <v>1.5685814614986922</v>
      </c>
      <c r="Q549">
        <f t="shared" si="435"/>
        <v>427.64701291950445</v>
      </c>
      <c r="R549">
        <f t="shared" si="436"/>
        <v>1.5684579475215095</v>
      </c>
      <c r="S549">
        <f t="shared" si="437"/>
        <v>9.1507944367761898E-2</v>
      </c>
      <c r="T549">
        <f t="shared" si="438"/>
        <v>-1.4791601887104002</v>
      </c>
      <c r="U549">
        <f t="shared" si="439"/>
        <v>0.52156971835871513</v>
      </c>
      <c r="V549">
        <f t="shared" si="440"/>
        <v>-1.0221066259899143</v>
      </c>
      <c r="X549">
        <f t="shared" si="457"/>
        <v>-51.400122018501534</v>
      </c>
      <c r="Y549">
        <f t="shared" si="441"/>
        <v>-178.65275694541137</v>
      </c>
      <c r="Z549">
        <f t="shared" si="458"/>
        <v>1.3472430545886311</v>
      </c>
      <c r="AC549">
        <v>1</v>
      </c>
      <c r="AD549">
        <f t="shared" si="442"/>
        <v>451.49398769475005</v>
      </c>
      <c r="AE549">
        <f t="shared" si="443"/>
        <v>-5.7020089769092897E-2</v>
      </c>
      <c r="AF549">
        <f t="shared" si="444"/>
        <v>3.4856598770280002E-2</v>
      </c>
      <c r="AG549">
        <f t="shared" si="421"/>
        <v>3510.8745664163066</v>
      </c>
      <c r="AH549">
        <f t="shared" si="422"/>
        <v>-5771.9453430041804</v>
      </c>
      <c r="AJ549">
        <f t="shared" si="445"/>
        <v>18000</v>
      </c>
      <c r="AK549">
        <f t="shared" si="446"/>
        <v>195878.93004603</v>
      </c>
      <c r="AL549">
        <v>1</v>
      </c>
      <c r="AM549">
        <f t="shared" si="447"/>
        <v>427.64584372933501</v>
      </c>
      <c r="AN549">
        <f t="shared" si="423"/>
        <v>458.13598454151474</v>
      </c>
      <c r="AO549">
        <f t="shared" si="424"/>
        <v>-41.019605995659013</v>
      </c>
      <c r="AQ549">
        <f t="shared" si="448"/>
        <v>8.9106697339568072E-4</v>
      </c>
      <c r="AR549">
        <f t="shared" si="449"/>
        <v>-2.9850743608755304</v>
      </c>
      <c r="AT549">
        <f t="shared" si="470"/>
        <v>-17226.557631402826</v>
      </c>
      <c r="AU549">
        <f t="shared" si="471"/>
        <v>-10485.364842326708</v>
      </c>
      <c r="AV549">
        <f t="shared" si="459"/>
        <v>-2.5948193106271948</v>
      </c>
      <c r="AW549">
        <f t="shared" si="460"/>
        <v>4256.5755903215622</v>
      </c>
      <c r="AX549">
        <f t="shared" si="461"/>
        <v>-8013.2039385182579</v>
      </c>
      <c r="AY549">
        <f t="shared" si="469"/>
        <v>-1.0825051030342863</v>
      </c>
      <c r="BA549">
        <f t="shared" si="450"/>
        <v>2.2225771687640146</v>
      </c>
      <c r="BB549">
        <f t="shared" si="462"/>
        <v>6.9371369756263164</v>
      </c>
      <c r="BC549">
        <f t="shared" si="463"/>
        <v>-1.5123142075929086</v>
      </c>
      <c r="BD549">
        <f t="shared" si="451"/>
        <v>-266.64922149175629</v>
      </c>
      <c r="BF549">
        <f t="shared" si="452"/>
        <v>-67.802027751958235</v>
      </c>
      <c r="BG549">
        <f t="shared" si="453"/>
        <v>-211.72906486340423</v>
      </c>
      <c r="BH549">
        <f t="shared" si="464"/>
        <v>-31.729064863404233</v>
      </c>
      <c r="BI549">
        <f t="shared" si="465"/>
        <v>-31.729064863404233</v>
      </c>
      <c r="BJ549">
        <f t="shared" si="454"/>
        <v>0</v>
      </c>
      <c r="BK549">
        <f t="shared" si="466"/>
        <v>0</v>
      </c>
      <c r="BM549">
        <f t="shared" si="467"/>
        <v>-74.739164727584551</v>
      </c>
      <c r="BN549">
        <f t="shared" si="455"/>
        <v>-125.079843371648</v>
      </c>
      <c r="BQ549" s="56">
        <f t="shared" si="468"/>
        <v>23.839097775911455</v>
      </c>
    </row>
    <row r="550" spans="1:69" x14ac:dyDescent="0.25">
      <c r="A550">
        <f t="shared" si="472"/>
        <v>1680000</v>
      </c>
      <c r="B550">
        <f t="shared" si="456"/>
        <v>1680</v>
      </c>
      <c r="C550">
        <f t="shared" si="425"/>
        <v>1.7408906671334465</v>
      </c>
      <c r="D550">
        <f t="shared" si="426"/>
        <v>0.95890261191862014</v>
      </c>
      <c r="F550">
        <f t="shared" si="427"/>
        <v>6.9896679893179584E-6</v>
      </c>
      <c r="G550">
        <f t="shared" si="428"/>
        <v>1.0340504608694853E-3</v>
      </c>
      <c r="H550">
        <f t="shared" si="429"/>
        <v>-3.1405585995391307</v>
      </c>
      <c r="J550">
        <f t="shared" si="430"/>
        <v>15</v>
      </c>
      <c r="M550">
        <f t="shared" si="431"/>
        <v>1.5890882528515474E-3</v>
      </c>
      <c r="N550">
        <f t="shared" si="432"/>
        <v>-1.5707963250000001</v>
      </c>
      <c r="O550">
        <f t="shared" si="433"/>
        <v>452.84283507877706</v>
      </c>
      <c r="P550">
        <f t="shared" si="434"/>
        <v>1.5685880533382308</v>
      </c>
      <c r="Q550">
        <f t="shared" si="435"/>
        <v>428.92356419718226</v>
      </c>
      <c r="R550">
        <f t="shared" si="436"/>
        <v>1.5684649069583763</v>
      </c>
      <c r="S550">
        <f t="shared" si="437"/>
        <v>9.1237869746110797E-2</v>
      </c>
      <c r="T550">
        <f t="shared" si="438"/>
        <v>-1.4794313978696674</v>
      </c>
      <c r="U550">
        <f t="shared" si="439"/>
        <v>0.52043833209649759</v>
      </c>
      <c r="V550">
        <f t="shared" si="440"/>
        <v>-1.0234321263643682</v>
      </c>
      <c r="X550">
        <f t="shared" si="457"/>
        <v>-51.45321719328463</v>
      </c>
      <c r="Y550">
        <f t="shared" si="441"/>
        <v>-178.66330244324612</v>
      </c>
      <c r="Z550">
        <f t="shared" si="458"/>
        <v>1.3366975567538759</v>
      </c>
      <c r="AC550">
        <v>1</v>
      </c>
      <c r="AD550">
        <f t="shared" si="442"/>
        <v>452.84173094160002</v>
      </c>
      <c r="AE550">
        <f t="shared" si="443"/>
        <v>-5.7361016302708956E-2</v>
      </c>
      <c r="AF550">
        <f t="shared" si="444"/>
        <v>3.4960648318848001E-2</v>
      </c>
      <c r="AG550">
        <f t="shared" si="421"/>
        <v>3495.6595455893216</v>
      </c>
      <c r="AH550">
        <f t="shared" si="422"/>
        <v>-5764.0402530701531</v>
      </c>
      <c r="AJ550">
        <f t="shared" si="445"/>
        <v>18000</v>
      </c>
      <c r="AK550">
        <f t="shared" si="446"/>
        <v>196463.64327004802</v>
      </c>
      <c r="AL550">
        <v>1</v>
      </c>
      <c r="AM550">
        <f t="shared" si="447"/>
        <v>428.92239848673603</v>
      </c>
      <c r="AN550">
        <f t="shared" si="423"/>
        <v>458.13541444441222</v>
      </c>
      <c r="AO550">
        <f t="shared" si="424"/>
        <v>-40.89752516409574</v>
      </c>
      <c r="AQ550">
        <f t="shared" si="448"/>
        <v>8.8577089659767428E-4</v>
      </c>
      <c r="AR550">
        <f t="shared" si="449"/>
        <v>-2.9761902125681856</v>
      </c>
      <c r="AT550">
        <f t="shared" si="470"/>
        <v>-17151.783832546538</v>
      </c>
      <c r="AU550">
        <f t="shared" si="471"/>
        <v>-10408.853345156478</v>
      </c>
      <c r="AV550">
        <f t="shared" si="459"/>
        <v>-2.5961391075770992</v>
      </c>
      <c r="AW550">
        <f t="shared" si="460"/>
        <v>4240.3102093227135</v>
      </c>
      <c r="AX550">
        <f t="shared" si="461"/>
        <v>-7999.7083639134526</v>
      </c>
      <c r="AY550">
        <f t="shared" si="469"/>
        <v>-1.0833923902927887</v>
      </c>
      <c r="BA550">
        <f t="shared" si="450"/>
        <v>2.2159287620394603</v>
      </c>
      <c r="BB550">
        <f t="shared" si="462"/>
        <v>6.9111158905280003</v>
      </c>
      <c r="BC550">
        <f t="shared" si="463"/>
        <v>-1.5127467172843105</v>
      </c>
      <c r="BD550">
        <f t="shared" si="451"/>
        <v>-266.67400247170042</v>
      </c>
      <c r="BF550">
        <f t="shared" si="452"/>
        <v>-67.86249804421368</v>
      </c>
      <c r="BG550">
        <f t="shared" si="453"/>
        <v>-211.67368305463401</v>
      </c>
      <c r="BH550">
        <f t="shared" si="464"/>
        <v>-31.673683054634012</v>
      </c>
      <c r="BI550">
        <f t="shared" si="465"/>
        <v>-31.673683054634012</v>
      </c>
      <c r="BJ550">
        <f t="shared" si="454"/>
        <v>0</v>
      </c>
      <c r="BK550">
        <f t="shared" si="466"/>
        <v>0</v>
      </c>
      <c r="BM550">
        <f t="shared" si="467"/>
        <v>-74.773613934741689</v>
      </c>
      <c r="BN550">
        <f t="shared" si="455"/>
        <v>-124.99968058293361</v>
      </c>
      <c r="BQ550" s="56">
        <f t="shared" si="468"/>
        <v>23.813076690813133</v>
      </c>
    </row>
    <row r="551" spans="1:69" x14ac:dyDescent="0.25">
      <c r="A551">
        <f t="shared" si="472"/>
        <v>1685000</v>
      </c>
      <c r="B551">
        <f t="shared" si="456"/>
        <v>1685</v>
      </c>
      <c r="C551">
        <f t="shared" si="425"/>
        <v>1.7443640113636816</v>
      </c>
      <c r="D551">
        <f t="shared" si="426"/>
        <v>0.96029922198125661</v>
      </c>
      <c r="F551">
        <f t="shared" si="427"/>
        <v>6.9482475531889195E-6</v>
      </c>
      <c r="G551">
        <f t="shared" si="428"/>
        <v>1.0309820203450958E-3</v>
      </c>
      <c r="H551">
        <f t="shared" si="429"/>
        <v>-3.1405616679796551</v>
      </c>
      <c r="J551">
        <f t="shared" si="430"/>
        <v>15</v>
      </c>
      <c r="M551">
        <f t="shared" si="431"/>
        <v>1.5843728574424923E-3</v>
      </c>
      <c r="N551">
        <f t="shared" si="432"/>
        <v>-1.5707963250000001</v>
      </c>
      <c r="O551">
        <f t="shared" si="433"/>
        <v>454.19057504926354</v>
      </c>
      <c r="P551">
        <f t="shared" si="434"/>
        <v>1.5685946060572502</v>
      </c>
      <c r="Q551">
        <f t="shared" si="435"/>
        <v>430.20011549551117</v>
      </c>
      <c r="R551">
        <f t="shared" si="436"/>
        <v>1.5684718250931708</v>
      </c>
      <c r="S551">
        <f t="shared" si="437"/>
        <v>9.0969377986128711E-2</v>
      </c>
      <c r="T551">
        <f t="shared" si="438"/>
        <v>-1.4797010108381323</v>
      </c>
      <c r="U551">
        <f t="shared" si="439"/>
        <v>0.51931093711727483</v>
      </c>
      <c r="V551">
        <f t="shared" si="440"/>
        <v>-1.0247518863420582</v>
      </c>
      <c r="X551">
        <f t="shared" si="457"/>
        <v>-51.506152221207103</v>
      </c>
      <c r="Y551">
        <f t="shared" si="441"/>
        <v>-178.67375092855221</v>
      </c>
      <c r="Z551">
        <f t="shared" si="458"/>
        <v>1.3262490714477906</v>
      </c>
      <c r="AC551">
        <v>1</v>
      </c>
      <c r="AD551">
        <f t="shared" si="442"/>
        <v>454.18947418845005</v>
      </c>
      <c r="AE551">
        <f t="shared" si="443"/>
        <v>-5.7702959010791824E-2</v>
      </c>
      <c r="AF551">
        <f t="shared" si="444"/>
        <v>3.5064697867415999E-2</v>
      </c>
      <c r="AG551">
        <f t="shared" si="421"/>
        <v>3480.5310655696635</v>
      </c>
      <c r="AH551">
        <f t="shared" si="422"/>
        <v>-5756.1294888529928</v>
      </c>
      <c r="AJ551">
        <f t="shared" si="445"/>
        <v>18000</v>
      </c>
      <c r="AK551">
        <f t="shared" si="446"/>
        <v>197048.35649406601</v>
      </c>
      <c r="AL551">
        <v>1</v>
      </c>
      <c r="AM551">
        <f t="shared" si="447"/>
        <v>430.19895324413699</v>
      </c>
      <c r="AN551">
        <f t="shared" si="423"/>
        <v>458.13484941478788</v>
      </c>
      <c r="AO551">
        <f t="shared" si="424"/>
        <v>-40.776168836073943</v>
      </c>
      <c r="AQ551">
        <f t="shared" si="448"/>
        <v>8.8052189589395906E-4</v>
      </c>
      <c r="AR551">
        <f t="shared" si="449"/>
        <v>-2.9673587891626423</v>
      </c>
      <c r="AT551">
        <f t="shared" si="470"/>
        <v>-17077.436746493622</v>
      </c>
      <c r="AU551">
        <f t="shared" si="471"/>
        <v>-10333.052846422293</v>
      </c>
      <c r="AV551">
        <f t="shared" si="459"/>
        <v>-2.597453197978266</v>
      </c>
      <c r="AW551">
        <f t="shared" si="460"/>
        <v>4224.1350238798941</v>
      </c>
      <c r="AX551">
        <f t="shared" si="461"/>
        <v>-7986.234174830759</v>
      </c>
      <c r="AY551">
        <f t="shared" si="469"/>
        <v>-1.0842757976765027</v>
      </c>
      <c r="BA551">
        <f t="shared" si="450"/>
        <v>2.2093199614881835</v>
      </c>
      <c r="BB551">
        <f t="shared" si="462"/>
        <v>6.8851723296160809</v>
      </c>
      <c r="BC551">
        <f t="shared" si="463"/>
        <v>-1.5131774003017633</v>
      </c>
      <c r="BD551">
        <f t="shared" si="451"/>
        <v>-266.69867879093658</v>
      </c>
      <c r="BF551">
        <f t="shared" si="452"/>
        <v>-67.922754466109822</v>
      </c>
      <c r="BG551">
        <f t="shared" si="453"/>
        <v>-211.61851532025614</v>
      </c>
      <c r="BH551">
        <f t="shared" si="464"/>
        <v>-31.618515320256137</v>
      </c>
      <c r="BI551">
        <f t="shared" si="465"/>
        <v>-31.618515320256137</v>
      </c>
      <c r="BJ551">
        <f t="shared" si="454"/>
        <v>0</v>
      </c>
      <c r="BK551">
        <f t="shared" si="466"/>
        <v>0</v>
      </c>
      <c r="BM551">
        <f t="shared" si="467"/>
        <v>-74.807926795725905</v>
      </c>
      <c r="BN551">
        <f t="shared" si="455"/>
        <v>-124.91983652931953</v>
      </c>
      <c r="BQ551" s="56">
        <f t="shared" si="468"/>
        <v>23.787133129901218</v>
      </c>
    </row>
    <row r="552" spans="1:69" x14ac:dyDescent="0.25">
      <c r="A552">
        <f t="shared" si="472"/>
        <v>1690000</v>
      </c>
      <c r="B552">
        <f t="shared" si="456"/>
        <v>1690</v>
      </c>
      <c r="C552">
        <f t="shared" si="425"/>
        <v>1.7478407444836648</v>
      </c>
      <c r="D552">
        <f t="shared" si="426"/>
        <v>0.96169027858928502</v>
      </c>
      <c r="F552">
        <f t="shared" si="427"/>
        <v>6.9071942131623455E-6</v>
      </c>
      <c r="G552">
        <f t="shared" si="428"/>
        <v>1.0279317366404977E-3</v>
      </c>
      <c r="H552">
        <f t="shared" si="429"/>
        <v>-3.1405647182633598</v>
      </c>
      <c r="J552">
        <f t="shared" si="430"/>
        <v>15</v>
      </c>
      <c r="M552">
        <f t="shared" si="431"/>
        <v>1.5796853637814199E-3</v>
      </c>
      <c r="N552">
        <f t="shared" si="432"/>
        <v>-1.5707963250000001</v>
      </c>
      <c r="O552">
        <f t="shared" si="433"/>
        <v>455.53831503913676</v>
      </c>
      <c r="P552">
        <f t="shared" si="434"/>
        <v>1.5686011200029717</v>
      </c>
      <c r="Q552">
        <f t="shared" si="435"/>
        <v>431.47666681430792</v>
      </c>
      <c r="R552">
        <f t="shared" si="436"/>
        <v>1.5684787022924771</v>
      </c>
      <c r="S552">
        <f t="shared" si="437"/>
        <v>9.0702455271429991E-2</v>
      </c>
      <c r="T552">
        <f t="shared" si="438"/>
        <v>-1.479969041627073</v>
      </c>
      <c r="U552">
        <f t="shared" si="439"/>
        <v>0.51818751928277706</v>
      </c>
      <c r="V552">
        <f t="shared" si="440"/>
        <v>-1.0260659385649595</v>
      </c>
      <c r="X552">
        <f t="shared" si="457"/>
        <v>-51.558928037133072</v>
      </c>
      <c r="Y552">
        <f t="shared" si="441"/>
        <v>-178.68410344756776</v>
      </c>
      <c r="Z552">
        <f t="shared" si="458"/>
        <v>1.3158965524322355</v>
      </c>
      <c r="AC552">
        <v>1</v>
      </c>
      <c r="AD552">
        <f t="shared" si="442"/>
        <v>455.53721743530008</v>
      </c>
      <c r="AE552">
        <f t="shared" si="443"/>
        <v>-5.80459178933415E-2</v>
      </c>
      <c r="AF552">
        <f t="shared" si="444"/>
        <v>3.5168747415983997E-2</v>
      </c>
      <c r="AG552">
        <f t="shared" ref="AG552:AG615" si="473">AC552*AE552/(AE552^2+AF552^2)+AD552*AF552/(AE552^2+AF552^2)</f>
        <v>3465.4885888100384</v>
      </c>
      <c r="AH552">
        <f t="shared" ref="AH552:AH615" si="474">AD552*AE552/(AE552^2+AF552^2)-AC552*AF552/(AE552^2+AF552^2)</f>
        <v>-5748.2134264042616</v>
      </c>
      <c r="AJ552">
        <f t="shared" si="445"/>
        <v>18000</v>
      </c>
      <c r="AK552">
        <f t="shared" si="446"/>
        <v>197633.06971808401</v>
      </c>
      <c r="AL552">
        <v>1</v>
      </c>
      <c r="AM552">
        <f t="shared" si="447"/>
        <v>431.475508001538</v>
      </c>
      <c r="AN552">
        <f t="shared" ref="AN552:AN615" si="475">AJ552*AL552/(AL552^2+AM552^2)+AK552*AM552/(AL552^2+AM552^2)</f>
        <v>458.1342893927611</v>
      </c>
      <c r="AO552">
        <f t="shared" ref="AO552:AO615" si="476">AK552*AL552/(AL552^2+AM552^2)-AJ552*AM552/(AL552^2+AM552^2)</f>
        <v>-40.655530581227588</v>
      </c>
      <c r="AQ552">
        <f t="shared" si="448"/>
        <v>8.7531941499602469E-4</v>
      </c>
      <c r="AR552">
        <f t="shared" si="449"/>
        <v>-2.9585796226865635</v>
      </c>
      <c r="AT552">
        <f t="shared" si="470"/>
        <v>-17003.513700768726</v>
      </c>
      <c r="AU552">
        <f t="shared" si="471"/>
        <v>-10257.955444319869</v>
      </c>
      <c r="AV552">
        <f t="shared" si="459"/>
        <v>-2.5987616141722478</v>
      </c>
      <c r="AW552">
        <f t="shared" si="460"/>
        <v>4208.0495098486426</v>
      </c>
      <c r="AX552">
        <f t="shared" si="461"/>
        <v>-7972.7815449416657</v>
      </c>
      <c r="AY552">
        <f t="shared" si="469"/>
        <v>-1.0851553411014832</v>
      </c>
      <c r="BA552">
        <f t="shared" si="450"/>
        <v>2.202750413438741</v>
      </c>
      <c r="BB552">
        <f t="shared" si="462"/>
        <v>6.8593058285625927</v>
      </c>
      <c r="BC552">
        <f t="shared" si="463"/>
        <v>-1.5136062730707647</v>
      </c>
      <c r="BD552">
        <f t="shared" si="451"/>
        <v>-266.72325139057659</v>
      </c>
      <c r="BF552">
        <f t="shared" si="452"/>
        <v>-67.982798458920414</v>
      </c>
      <c r="BG552">
        <f t="shared" si="453"/>
        <v>-211.563561015484</v>
      </c>
      <c r="BH552">
        <f t="shared" si="464"/>
        <v>-31.563561015483998</v>
      </c>
      <c r="BI552">
        <f t="shared" si="465"/>
        <v>-31.563561015483998</v>
      </c>
      <c r="BJ552">
        <f t="shared" si="454"/>
        <v>0</v>
      </c>
      <c r="BK552">
        <f t="shared" si="466"/>
        <v>0</v>
      </c>
      <c r="BM552">
        <f t="shared" si="467"/>
        <v>-74.842104287483011</v>
      </c>
      <c r="BN552">
        <f t="shared" si="455"/>
        <v>-124.84030962490745</v>
      </c>
      <c r="BQ552" s="56">
        <f t="shared" si="468"/>
        <v>23.761266628847729</v>
      </c>
    </row>
    <row r="553" spans="1:69" x14ac:dyDescent="0.25">
      <c r="A553">
        <f t="shared" si="472"/>
        <v>1695000</v>
      </c>
      <c r="B553">
        <f t="shared" si="456"/>
        <v>1695</v>
      </c>
      <c r="C553">
        <f t="shared" si="425"/>
        <v>1.7513208463104613</v>
      </c>
      <c r="D553">
        <f t="shared" si="426"/>
        <v>0.96307580944944793</v>
      </c>
      <c r="F553">
        <f t="shared" si="427"/>
        <v>6.8665036440687803E-6</v>
      </c>
      <c r="G553">
        <f t="shared" si="428"/>
        <v>1.0248994490715589E-3</v>
      </c>
      <c r="H553">
        <f t="shared" si="429"/>
        <v>-3.1405677505509288</v>
      </c>
      <c r="J553">
        <f t="shared" si="430"/>
        <v>15</v>
      </c>
      <c r="M553">
        <f t="shared" si="431"/>
        <v>1.5750255249502064E-3</v>
      </c>
      <c r="N553">
        <f t="shared" si="432"/>
        <v>-1.5707963250000001</v>
      </c>
      <c r="O553">
        <f t="shared" si="433"/>
        <v>456.8860550482251</v>
      </c>
      <c r="P553">
        <f t="shared" si="434"/>
        <v>1.5686075955185197</v>
      </c>
      <c r="Q553">
        <f t="shared" si="435"/>
        <v>432.75321815339129</v>
      </c>
      <c r="R553">
        <f t="shared" si="436"/>
        <v>1.5684855389185535</v>
      </c>
      <c r="S553">
        <f t="shared" si="437"/>
        <v>9.0437087945279701E-2</v>
      </c>
      <c r="T553">
        <f t="shared" si="438"/>
        <v>-1.4802355040847122</v>
      </c>
      <c r="U553">
        <f t="shared" si="439"/>
        <v>0.51706806443914888</v>
      </c>
      <c r="V553">
        <f t="shared" si="440"/>
        <v>-1.0273743154721622</v>
      </c>
      <c r="X553">
        <f t="shared" si="457"/>
        <v>-51.611545568018983</v>
      </c>
      <c r="Y553">
        <f t="shared" si="441"/>
        <v>-178.69436103367212</v>
      </c>
      <c r="Z553">
        <f t="shared" si="458"/>
        <v>1.3056389663278765</v>
      </c>
      <c r="AC553">
        <v>1</v>
      </c>
      <c r="AD553">
        <f t="shared" si="442"/>
        <v>456.88496068214999</v>
      </c>
      <c r="AE553">
        <f t="shared" si="443"/>
        <v>-5.8389892950357992E-2</v>
      </c>
      <c r="AF553">
        <f t="shared" si="444"/>
        <v>3.5272796964551996E-2</v>
      </c>
      <c r="AG553">
        <f t="shared" si="473"/>
        <v>3450.5315804227994</v>
      </c>
      <c r="AH553">
        <f t="shared" si="474"/>
        <v>-5740.2924357316688</v>
      </c>
      <c r="AJ553">
        <f t="shared" si="445"/>
        <v>18000</v>
      </c>
      <c r="AK553">
        <f t="shared" si="446"/>
        <v>198217.782942102</v>
      </c>
      <c r="AL553">
        <v>1</v>
      </c>
      <c r="AM553">
        <f t="shared" si="447"/>
        <v>432.75206275893902</v>
      </c>
      <c r="AN553">
        <f t="shared" si="475"/>
        <v>458.13373431933292</v>
      </c>
      <c r="AO553">
        <f t="shared" si="476"/>
        <v>-40.535604045063145</v>
      </c>
      <c r="AQ553">
        <f t="shared" si="448"/>
        <v>8.7016290580808507E-4</v>
      </c>
      <c r="AR553">
        <f t="shared" si="449"/>
        <v>-2.9498522506894083</v>
      </c>
      <c r="AT553">
        <f t="shared" si="470"/>
        <v>-16930.012036571847</v>
      </c>
      <c r="AU553">
        <f t="shared" si="471"/>
        <v>-10183.55333813114</v>
      </c>
      <c r="AV553">
        <f t="shared" si="459"/>
        <v>-2.6000643883012544</v>
      </c>
      <c r="AW553">
        <f t="shared" si="460"/>
        <v>4192.0531449334776</v>
      </c>
      <c r="AX553">
        <f t="shared" si="461"/>
        <v>-7959.350644077268</v>
      </c>
      <c r="AY553">
        <f t="shared" si="469"/>
        <v>-1.0860310364816628</v>
      </c>
      <c r="BA553">
        <f t="shared" si="450"/>
        <v>2.1962197684233185</v>
      </c>
      <c r="BB553">
        <f t="shared" si="462"/>
        <v>6.8335159272003541</v>
      </c>
      <c r="BC553">
        <f t="shared" si="463"/>
        <v>-1.5140333518195916</v>
      </c>
      <c r="BD553">
        <f t="shared" si="451"/>
        <v>-266.74772120043201</v>
      </c>
      <c r="BF553">
        <f t="shared" si="452"/>
        <v>-68.042631450283096</v>
      </c>
      <c r="BG553">
        <f t="shared" si="453"/>
        <v>-211.50881949185646</v>
      </c>
      <c r="BH553">
        <f t="shared" si="464"/>
        <v>-31.508819491856457</v>
      </c>
      <c r="BI553">
        <f t="shared" si="465"/>
        <v>-31.508819491856457</v>
      </c>
      <c r="BJ553">
        <f t="shared" si="454"/>
        <v>0</v>
      </c>
      <c r="BK553">
        <f t="shared" si="466"/>
        <v>0</v>
      </c>
      <c r="BM553">
        <f t="shared" si="467"/>
        <v>-74.876147377483449</v>
      </c>
      <c r="BN553">
        <f t="shared" si="455"/>
        <v>-124.76109829142445</v>
      </c>
      <c r="BQ553" s="56">
        <f t="shared" si="468"/>
        <v>23.735476727485491</v>
      </c>
    </row>
    <row r="554" spans="1:69" x14ac:dyDescent="0.25">
      <c r="A554">
        <f t="shared" si="472"/>
        <v>1700000</v>
      </c>
      <c r="B554">
        <f t="shared" si="456"/>
        <v>1700</v>
      </c>
      <c r="C554">
        <f t="shared" si="425"/>
        <v>1.7548042968017623</v>
      </c>
      <c r="D554">
        <f t="shared" si="426"/>
        <v>0.96445584213366709</v>
      </c>
      <c r="F554">
        <f t="shared" si="427"/>
        <v>6.8261715842513395E-6</v>
      </c>
      <c r="G554">
        <f t="shared" si="428"/>
        <v>1.0218849988446114E-3</v>
      </c>
      <c r="H554">
        <f t="shared" si="429"/>
        <v>-3.1405707650011556</v>
      </c>
      <c r="J554">
        <f t="shared" si="430"/>
        <v>15</v>
      </c>
      <c r="M554">
        <f t="shared" si="431"/>
        <v>1.570393096935647E-3</v>
      </c>
      <c r="N554">
        <f t="shared" si="432"/>
        <v>-1.5707963250000001</v>
      </c>
      <c r="O554">
        <f t="shared" si="433"/>
        <v>458.23379507635906</v>
      </c>
      <c r="P554">
        <f t="shared" si="434"/>
        <v>1.5686140329429816</v>
      </c>
      <c r="Q554">
        <f t="shared" si="435"/>
        <v>434.02976951258233</v>
      </c>
      <c r="R554">
        <f t="shared" si="436"/>
        <v>1.5684923353293965</v>
      </c>
      <c r="S554">
        <f t="shared" si="437"/>
        <v>9.0173262508304083E-2</v>
      </c>
      <c r="T554">
        <f t="shared" si="438"/>
        <v>-1.4805004118985756</v>
      </c>
      <c r="U554">
        <f t="shared" si="439"/>
        <v>0.51595255841868837</v>
      </c>
      <c r="V554">
        <f t="shared" si="440"/>
        <v>-1.0286770493008808</v>
      </c>
      <c r="X554">
        <f t="shared" si="457"/>
        <v>-51.664005733000799</v>
      </c>
      <c r="Y554">
        <f t="shared" si="441"/>
        <v>-178.70452470756254</v>
      </c>
      <c r="Z554">
        <f t="shared" si="458"/>
        <v>1.2954752924374588</v>
      </c>
      <c r="AC554">
        <v>1</v>
      </c>
      <c r="AD554">
        <f t="shared" si="442"/>
        <v>458.23270392899997</v>
      </c>
      <c r="AE554">
        <f t="shared" si="443"/>
        <v>-5.8734884181841293E-2</v>
      </c>
      <c r="AF554">
        <f t="shared" si="444"/>
        <v>3.5376846513120001E-2</v>
      </c>
      <c r="AG554">
        <f t="shared" si="473"/>
        <v>3435.6595081908727</v>
      </c>
      <c r="AH554">
        <f t="shared" si="474"/>
        <v>-5732.3668808813709</v>
      </c>
      <c r="AJ554">
        <f t="shared" si="445"/>
        <v>18000</v>
      </c>
      <c r="AK554">
        <f t="shared" si="446"/>
        <v>198802.49616612002</v>
      </c>
      <c r="AL554">
        <v>1</v>
      </c>
      <c r="AM554">
        <f t="shared" si="447"/>
        <v>434.02861751633998</v>
      </c>
      <c r="AN554">
        <f t="shared" si="475"/>
        <v>458.13318413637086</v>
      </c>
      <c r="AO554">
        <f t="shared" si="476"/>
        <v>-40.416382947843815</v>
      </c>
      <c r="AQ554">
        <f t="shared" si="448"/>
        <v>8.6505182828271383E-4</v>
      </c>
      <c r="AR554">
        <f t="shared" si="449"/>
        <v>-2.9411762161612272</v>
      </c>
      <c r="AT554">
        <f t="shared" si="470"/>
        <v>-16856.929108819688</v>
      </c>
      <c r="AU554">
        <f t="shared" si="471"/>
        <v>-10109.838826769867</v>
      </c>
      <c r="AV554">
        <f t="shared" si="459"/>
        <v>-2.6013615523091143</v>
      </c>
      <c r="AW554">
        <f t="shared" si="460"/>
        <v>4176.1454087198408</v>
      </c>
      <c r="AX554">
        <f t="shared" si="461"/>
        <v>-7945.9416382773425</v>
      </c>
      <c r="AY554">
        <f t="shared" si="469"/>
        <v>-1.0869028997268504</v>
      </c>
      <c r="BA554">
        <f t="shared" si="450"/>
        <v>2.189727681115397</v>
      </c>
      <c r="BB554">
        <f t="shared" si="462"/>
        <v>6.8078021694733231</v>
      </c>
      <c r="BC554">
        <f t="shared" si="463"/>
        <v>-1.5144586525822639</v>
      </c>
      <c r="BD554">
        <f t="shared" si="451"/>
        <v>-266.77208913918469</v>
      </c>
      <c r="BF554">
        <f t="shared" si="452"/>
        <v>-68.102254854361746</v>
      </c>
      <c r="BG554">
        <f t="shared" si="453"/>
        <v>-211.45429009739863</v>
      </c>
      <c r="BH554">
        <f t="shared" si="464"/>
        <v>-31.454290097398626</v>
      </c>
      <c r="BI554">
        <f t="shared" si="465"/>
        <v>-31.454290097398626</v>
      </c>
      <c r="BJ554">
        <f t="shared" si="454"/>
        <v>0</v>
      </c>
      <c r="BK554">
        <f t="shared" si="466"/>
        <v>0</v>
      </c>
      <c r="BM554">
        <f t="shared" si="467"/>
        <v>-74.910057023835066</v>
      </c>
      <c r="BN554">
        <f t="shared" si="455"/>
        <v>-124.68220095821394</v>
      </c>
      <c r="BQ554" s="56">
        <f t="shared" si="468"/>
        <v>23.709762969758458</v>
      </c>
    </row>
    <row r="555" spans="1:69" x14ac:dyDescent="0.25">
      <c r="A555">
        <f t="shared" si="472"/>
        <v>1705000</v>
      </c>
      <c r="B555">
        <f t="shared" si="456"/>
        <v>1705</v>
      </c>
      <c r="C555">
        <f t="shared" si="425"/>
        <v>1.7582910760548789</v>
      </c>
      <c r="D555">
        <f t="shared" si="426"/>
        <v>0.96583040407924414</v>
      </c>
      <c r="F555">
        <f t="shared" si="427"/>
        <v>6.7861938344498319E-6</v>
      </c>
      <c r="G555">
        <f t="shared" si="428"/>
        <v>1.0188882290287323E-3</v>
      </c>
      <c r="H555">
        <f t="shared" si="429"/>
        <v>-3.1405737617709715</v>
      </c>
      <c r="J555">
        <f t="shared" si="430"/>
        <v>15</v>
      </c>
      <c r="M555">
        <f t="shared" si="431"/>
        <v>1.565787838586862E-3</v>
      </c>
      <c r="N555">
        <f t="shared" si="432"/>
        <v>-1.5707963250000001</v>
      </c>
      <c r="O555">
        <f t="shared" si="433"/>
        <v>459.581535123371</v>
      </c>
      <c r="P555">
        <f t="shared" si="434"/>
        <v>1.5686204326114674</v>
      </c>
      <c r="Q555">
        <f t="shared" si="435"/>
        <v>435.30632089170416</v>
      </c>
      <c r="R555">
        <f t="shared" si="436"/>
        <v>1.5684990918788033</v>
      </c>
      <c r="S555">
        <f t="shared" si="437"/>
        <v>8.9910965616240443E-2</v>
      </c>
      <c r="T555">
        <f t="shared" si="438"/>
        <v>-1.4807637785978098</v>
      </c>
      <c r="U555">
        <f t="shared" si="439"/>
        <v>0.5148409870415489</v>
      </c>
      <c r="V555">
        <f t="shared" si="440"/>
        <v>-1.0299741720874651</v>
      </c>
      <c r="X555">
        <f t="shared" si="457"/>
        <v>-51.71630944347995</v>
      </c>
      <c r="Y555">
        <f t="shared" si="441"/>
        <v>-178.71459547742816</v>
      </c>
      <c r="Z555">
        <f t="shared" si="458"/>
        <v>1.285404522571838</v>
      </c>
      <c r="AC555">
        <v>1</v>
      </c>
      <c r="AD555">
        <f t="shared" si="442"/>
        <v>459.58044717585</v>
      </c>
      <c r="AE555">
        <f t="shared" si="443"/>
        <v>-5.9080891587791402E-2</v>
      </c>
      <c r="AF555">
        <f t="shared" si="444"/>
        <v>3.5480896061688E-2</v>
      </c>
      <c r="AG555">
        <f t="shared" si="473"/>
        <v>3420.8718425778984</v>
      </c>
      <c r="AH555">
        <f t="shared" si="474"/>
        <v>-5724.43712001929</v>
      </c>
      <c r="AJ555">
        <f t="shared" si="445"/>
        <v>18000</v>
      </c>
      <c r="AK555">
        <f t="shared" si="446"/>
        <v>199387.20939013801</v>
      </c>
      <c r="AL555">
        <v>1</v>
      </c>
      <c r="AM555">
        <f t="shared" si="447"/>
        <v>435.30517227374099</v>
      </c>
      <c r="AN555">
        <f t="shared" si="475"/>
        <v>458.13263878659319</v>
      </c>
      <c r="AO555">
        <f t="shared" si="476"/>
        <v>-40.297861083493466</v>
      </c>
      <c r="AQ555">
        <f t="shared" si="448"/>
        <v>8.5998565027943941E-4</v>
      </c>
      <c r="AR555">
        <f t="shared" si="449"/>
        <v>-2.9325510674528883</v>
      </c>
      <c r="AT555">
        <f t="shared" si="470"/>
        <v>-16784.262286183442</v>
      </c>
      <c r="AU555">
        <f t="shared" si="471"/>
        <v>-10036.804307350489</v>
      </c>
      <c r="AV555">
        <f t="shared" si="459"/>
        <v>-2.6026531379422324</v>
      </c>
      <c r="AW555">
        <f t="shared" si="460"/>
        <v>4160.3257827047728</v>
      </c>
      <c r="AX555">
        <f t="shared" si="461"/>
        <v>-7932.5546898390812</v>
      </c>
      <c r="AY555">
        <f t="shared" si="469"/>
        <v>-1.0877709467407863</v>
      </c>
      <c r="BA555">
        <f t="shared" si="450"/>
        <v>2.1832738102685258</v>
      </c>
      <c r="BB555">
        <f t="shared" si="462"/>
        <v>6.7821641033876983</v>
      </c>
      <c r="BC555">
        <f t="shared" si="463"/>
        <v>-1.5148821912014461</v>
      </c>
      <c r="BD555">
        <f t="shared" si="451"/>
        <v>-266.7963561145524</v>
      </c>
      <c r="BF555">
        <f t="shared" si="452"/>
        <v>-68.161670072006586</v>
      </c>
      <c r="BG555">
        <f t="shared" si="453"/>
        <v>-211.39997217677825</v>
      </c>
      <c r="BH555">
        <f t="shared" si="464"/>
        <v>-31.399972176778249</v>
      </c>
      <c r="BI555">
        <f t="shared" si="465"/>
        <v>-31.399972176778249</v>
      </c>
      <c r="BJ555">
        <f t="shared" si="454"/>
        <v>0</v>
      </c>
      <c r="BK555">
        <f t="shared" si="466"/>
        <v>0</v>
      </c>
      <c r="BM555">
        <f t="shared" si="467"/>
        <v>-74.943834175394272</v>
      </c>
      <c r="BN555">
        <f t="shared" si="455"/>
        <v>-124.60361606222591</v>
      </c>
      <c r="BQ555" s="56">
        <f t="shared" si="468"/>
        <v>23.684124903672835</v>
      </c>
    </row>
    <row r="556" spans="1:69" x14ac:dyDescent="0.25">
      <c r="A556">
        <f t="shared" si="472"/>
        <v>1710000</v>
      </c>
      <c r="B556">
        <f t="shared" si="456"/>
        <v>1710</v>
      </c>
      <c r="C556">
        <f t="shared" si="425"/>
        <v>1.7617811643057377</v>
      </c>
      <c r="D556">
        <f t="shared" si="426"/>
        <v>0.9671995225890706</v>
      </c>
      <c r="F556">
        <f t="shared" si="427"/>
        <v>6.7465662567076565E-6</v>
      </c>
      <c r="G556">
        <f t="shared" si="428"/>
        <v>1.0159089845285076E-3</v>
      </c>
      <c r="H556">
        <f t="shared" si="429"/>
        <v>-3.1405767410154719</v>
      </c>
      <c r="J556">
        <f t="shared" si="430"/>
        <v>15</v>
      </c>
      <c r="M556">
        <f t="shared" si="431"/>
        <v>1.5612095115734501E-3</v>
      </c>
      <c r="N556">
        <f t="shared" si="432"/>
        <v>-1.5707963250000001</v>
      </c>
      <c r="O556">
        <f t="shared" si="433"/>
        <v>460.92927518909539</v>
      </c>
      <c r="P556">
        <f t="shared" si="434"/>
        <v>1.5686267948551682</v>
      </c>
      <c r="Q556">
        <f t="shared" si="435"/>
        <v>436.58287229058197</v>
      </c>
      <c r="R556">
        <f t="shared" si="436"/>
        <v>1.568505808916433</v>
      </c>
      <c r="S556">
        <f t="shared" si="437"/>
        <v>8.9650184077725098E-2</v>
      </c>
      <c r="T556">
        <f t="shared" si="438"/>
        <v>-1.4810256175554606</v>
      </c>
      <c r="U556">
        <f t="shared" si="439"/>
        <v>0.51373333611740168</v>
      </c>
      <c r="V556">
        <f t="shared" si="440"/>
        <v>-1.0312657156684182</v>
      </c>
      <c r="X556">
        <f t="shared" si="457"/>
        <v>-51.76845760320812</v>
      </c>
      <c r="Y556">
        <f t="shared" si="441"/>
        <v>-178.72457433912132</v>
      </c>
      <c r="Z556">
        <f t="shared" si="458"/>
        <v>1.2754256608786818</v>
      </c>
      <c r="AC556">
        <v>1</v>
      </c>
      <c r="AD556">
        <f t="shared" si="442"/>
        <v>460.92819042269997</v>
      </c>
      <c r="AE556">
        <f t="shared" si="443"/>
        <v>-5.9427915168208334E-2</v>
      </c>
      <c r="AF556">
        <f t="shared" si="444"/>
        <v>3.5584945610255998E-2</v>
      </c>
      <c r="AG556">
        <f t="shared" si="473"/>
        <v>3406.1680567376029</v>
      </c>
      <c r="AH556">
        <f t="shared" si="474"/>
        <v>-5716.5035055114668</v>
      </c>
      <c r="AJ556">
        <f t="shared" si="445"/>
        <v>18000</v>
      </c>
      <c r="AK556">
        <f t="shared" si="446"/>
        <v>199971.92261415601</v>
      </c>
      <c r="AL556">
        <v>1</v>
      </c>
      <c r="AM556">
        <f t="shared" si="447"/>
        <v>436.58172703114201</v>
      </c>
      <c r="AN556">
        <f t="shared" si="475"/>
        <v>458.13209821355474</v>
      </c>
      <c r="AO556">
        <f t="shared" si="476"/>
        <v>-40.180032318519721</v>
      </c>
      <c r="AQ556">
        <f t="shared" si="448"/>
        <v>8.549638474262297E-4</v>
      </c>
      <c r="AR556">
        <f t="shared" si="449"/>
        <v>-2.9239763581977054</v>
      </c>
      <c r="AT556">
        <f t="shared" si="470"/>
        <v>-16712.008951123065</v>
      </c>
      <c r="AU556">
        <f t="shared" si="471"/>
        <v>-9964.4422737798686</v>
      </c>
      <c r="AV556">
        <f t="shared" si="459"/>
        <v>-2.6039391767505573</v>
      </c>
      <c r="AW556">
        <f t="shared" si="460"/>
        <v>4144.5937503263276</v>
      </c>
      <c r="AX556">
        <f t="shared" si="461"/>
        <v>-7919.1899573654973</v>
      </c>
      <c r="AY556">
        <f t="shared" si="469"/>
        <v>-1.0886351934192537</v>
      </c>
      <c r="BA556">
        <f t="shared" si="450"/>
        <v>2.1768578186561749</v>
      </c>
      <c r="BB556">
        <f t="shared" si="462"/>
        <v>6.7566012809637224</v>
      </c>
      <c r="BC556">
        <f t="shared" si="463"/>
        <v>-1.5153039833313036</v>
      </c>
      <c r="BD556">
        <f t="shared" si="451"/>
        <v>-266.82052302345267</v>
      </c>
      <c r="BF556">
        <f t="shared" si="452"/>
        <v>-68.220878490912014</v>
      </c>
      <c r="BG556">
        <f t="shared" si="453"/>
        <v>-211.34586507145883</v>
      </c>
      <c r="BH556">
        <f t="shared" si="464"/>
        <v>-31.345865071458832</v>
      </c>
      <c r="BI556">
        <f t="shared" si="465"/>
        <v>-31.345865071458832</v>
      </c>
      <c r="BJ556">
        <f t="shared" si="454"/>
        <v>0</v>
      </c>
      <c r="BK556">
        <f t="shared" si="466"/>
        <v>0</v>
      </c>
      <c r="BM556">
        <f t="shared" si="467"/>
        <v>-74.977479771875736</v>
      </c>
      <c r="BN556">
        <f t="shared" si="455"/>
        <v>-124.52534204800619</v>
      </c>
      <c r="BQ556" s="56">
        <f t="shared" si="468"/>
        <v>23.658562081248856</v>
      </c>
    </row>
    <row r="557" spans="1:69" x14ac:dyDescent="0.25">
      <c r="A557">
        <f t="shared" si="472"/>
        <v>1715000</v>
      </c>
      <c r="B557">
        <f t="shared" si="456"/>
        <v>1715</v>
      </c>
      <c r="C557">
        <f t="shared" si="425"/>
        <v>1.765274541927883</v>
      </c>
      <c r="D557">
        <f t="shared" si="426"/>
        <v>0.96856322483185131</v>
      </c>
      <c r="F557">
        <f t="shared" si="427"/>
        <v>6.7072847733009828E-6</v>
      </c>
      <c r="G557">
        <f t="shared" si="428"/>
        <v>1.0129471120572768E-3</v>
      </c>
      <c r="H557">
        <f t="shared" si="429"/>
        <v>-3.1405797028879427</v>
      </c>
      <c r="J557">
        <f t="shared" si="430"/>
        <v>15</v>
      </c>
      <c r="M557">
        <f t="shared" si="431"/>
        <v>1.5566578803443728E-3</v>
      </c>
      <c r="N557">
        <f t="shared" si="432"/>
        <v>-1.5707963250000001</v>
      </c>
      <c r="O557">
        <f t="shared" si="433"/>
        <v>462.27701527336859</v>
      </c>
      <c r="P557">
        <f t="shared" si="434"/>
        <v>1.5686331200014123</v>
      </c>
      <c r="Q557">
        <f t="shared" si="435"/>
        <v>437.85942370904286</v>
      </c>
      <c r="R557">
        <f t="shared" si="436"/>
        <v>1.5685124867878675</v>
      </c>
      <c r="S557">
        <f t="shared" si="437"/>
        <v>8.9390904852119105E-2</v>
      </c>
      <c r="T557">
        <f t="shared" si="438"/>
        <v>-1.481285941990711</v>
      </c>
      <c r="U557">
        <f t="shared" si="439"/>
        <v>0.51262959144706199</v>
      </c>
      <c r="V557">
        <f t="shared" si="440"/>
        <v>-1.0325517116814138</v>
      </c>
      <c r="X557">
        <f t="shared" si="457"/>
        <v>-51.820451108370911</v>
      </c>
      <c r="Y557">
        <f t="shared" si="441"/>
        <v>-178.73446227632613</v>
      </c>
      <c r="Z557">
        <f t="shared" si="458"/>
        <v>1.265537723673873</v>
      </c>
      <c r="AC557">
        <v>1</v>
      </c>
      <c r="AD557">
        <f t="shared" si="442"/>
        <v>462.27593366955</v>
      </c>
      <c r="AE557">
        <f t="shared" si="443"/>
        <v>-5.9775954923092081E-2</v>
      </c>
      <c r="AF557">
        <f t="shared" si="444"/>
        <v>3.5688995158824004E-2</v>
      </c>
      <c r="AG557">
        <f t="shared" si="473"/>
        <v>3391.5476265224356</v>
      </c>
      <c r="AH557">
        <f t="shared" si="474"/>
        <v>-5708.5663840034631</v>
      </c>
      <c r="AJ557">
        <f t="shared" si="445"/>
        <v>18000</v>
      </c>
      <c r="AK557">
        <f t="shared" si="446"/>
        <v>200556.63583817403</v>
      </c>
      <c r="AL557">
        <v>1</v>
      </c>
      <c r="AM557">
        <f t="shared" si="447"/>
        <v>437.85828178854302</v>
      </c>
      <c r="AN557">
        <f t="shared" si="475"/>
        <v>458.13156236163212</v>
      </c>
      <c r="AO557">
        <f t="shared" si="476"/>
        <v>-40.062890590955966</v>
      </c>
      <c r="AQ557">
        <f t="shared" si="448"/>
        <v>8.49985902983799E-4</v>
      </c>
      <c r="AR557">
        <f t="shared" si="449"/>
        <v>-2.9154516472344305</v>
      </c>
      <c r="AT557">
        <f t="shared" si="470"/>
        <v>-16640.166499918148</v>
      </c>
      <c r="AU557">
        <f t="shared" si="471"/>
        <v>-9892.7453153715069</v>
      </c>
      <c r="AV557">
        <f t="shared" si="459"/>
        <v>-2.6052197000885506</v>
      </c>
      <c r="AW557">
        <f t="shared" si="460"/>
        <v>4128.9487969917873</v>
      </c>
      <c r="AX557">
        <f t="shared" si="461"/>
        <v>-7905.8475958134823</v>
      </c>
      <c r="AY557">
        <f t="shared" si="469"/>
        <v>-1.0894956556482469</v>
      </c>
      <c r="BA557">
        <f t="shared" si="450"/>
        <v>2.1704793730126495</v>
      </c>
      <c r="BB557">
        <f t="shared" si="462"/>
        <v>6.7311132581882127</v>
      </c>
      <c r="BC557">
        <f t="shared" si="463"/>
        <v>-1.5157240444403037</v>
      </c>
      <c r="BD557">
        <f t="shared" si="451"/>
        <v>-266.84459075216341</v>
      </c>
      <c r="BF557">
        <f t="shared" si="452"/>
        <v>-68.279881485772179</v>
      </c>
      <c r="BG557">
        <f t="shared" si="453"/>
        <v>-211.29196811984872</v>
      </c>
      <c r="BH557">
        <f t="shared" si="464"/>
        <v>-31.291968119848718</v>
      </c>
      <c r="BI557">
        <f t="shared" si="465"/>
        <v>-31.291968119848718</v>
      </c>
      <c r="BJ557">
        <f t="shared" si="454"/>
        <v>0</v>
      </c>
      <c r="BK557">
        <f t="shared" si="466"/>
        <v>0</v>
      </c>
      <c r="BM557">
        <f t="shared" si="467"/>
        <v>-75.010994743960396</v>
      </c>
      <c r="BN557">
        <f t="shared" si="455"/>
        <v>-124.44737736768528</v>
      </c>
      <c r="BQ557" s="56">
        <f t="shared" si="468"/>
        <v>23.633074058473348</v>
      </c>
    </row>
    <row r="558" spans="1:69" x14ac:dyDescent="0.25">
      <c r="A558">
        <f t="shared" si="472"/>
        <v>1720000</v>
      </c>
      <c r="B558">
        <f t="shared" si="456"/>
        <v>1720</v>
      </c>
      <c r="C558">
        <f t="shared" si="425"/>
        <v>1.7687711894314859</v>
      </c>
      <c r="D558">
        <f t="shared" si="426"/>
        <v>0.96992153784233781</v>
      </c>
      <c r="F558">
        <f t="shared" si="427"/>
        <v>6.6683453656897045E-6</v>
      </c>
      <c r="G558">
        <f t="shared" si="428"/>
        <v>1.010002460110839E-3</v>
      </c>
      <c r="H558">
        <f t="shared" si="429"/>
        <v>-3.1405826475398895</v>
      </c>
      <c r="J558">
        <f t="shared" si="430"/>
        <v>15</v>
      </c>
      <c r="M558">
        <f t="shared" si="431"/>
        <v>1.5521327120875581E-3</v>
      </c>
      <c r="N558">
        <f t="shared" si="432"/>
        <v>-1.5707963250000001</v>
      </c>
      <c r="O558">
        <f t="shared" si="433"/>
        <v>463.6247553760287</v>
      </c>
      <c r="P558">
        <f t="shared" si="434"/>
        <v>1.5686394083737216</v>
      </c>
      <c r="Q558">
        <f t="shared" si="435"/>
        <v>439.13597514691617</v>
      </c>
      <c r="R558">
        <f t="shared" si="436"/>
        <v>1.56851912583467</v>
      </c>
      <c r="S558">
        <f t="shared" si="437"/>
        <v>8.9133115047370759E-2</v>
      </c>
      <c r="T558">
        <f t="shared" si="438"/>
        <v>-1.4815447649710818</v>
      </c>
      <c r="U558">
        <f t="shared" si="439"/>
        <v>0.51152973882407793</v>
      </c>
      <c r="V558">
        <f t="shared" si="440"/>
        <v>-1.0338321915663202</v>
      </c>
      <c r="X558">
        <f t="shared" si="457"/>
        <v>-51.872290847670314</v>
      </c>
      <c r="Y558">
        <f t="shared" si="441"/>
        <v>-178.7442602607251</v>
      </c>
      <c r="Z558">
        <f t="shared" si="458"/>
        <v>1.255739739274901</v>
      </c>
      <c r="AC558">
        <v>1</v>
      </c>
      <c r="AD558">
        <f t="shared" si="442"/>
        <v>463.62367691640003</v>
      </c>
      <c r="AE558">
        <f t="shared" si="443"/>
        <v>-6.0125010852442644E-2</v>
      </c>
      <c r="AF558">
        <f t="shared" si="444"/>
        <v>3.5793044707391995E-2</v>
      </c>
      <c r="AG558">
        <f t="shared" si="473"/>
        <v>3377.010030491464</v>
      </c>
      <c r="AH558">
        <f t="shared" si="474"/>
        <v>-5700.626096498796</v>
      </c>
      <c r="AJ558">
        <f t="shared" si="445"/>
        <v>18000</v>
      </c>
      <c r="AK558">
        <f t="shared" si="446"/>
        <v>201141.34906219202</v>
      </c>
      <c r="AL558">
        <v>1</v>
      </c>
      <c r="AM558">
        <f t="shared" si="447"/>
        <v>439.13483654594398</v>
      </c>
      <c r="AN558">
        <f t="shared" si="475"/>
        <v>458.13103117600872</v>
      </c>
      <c r="AO558">
        <f t="shared" si="476"/>
        <v>-39.946429909321694</v>
      </c>
      <c r="AQ558">
        <f t="shared" si="448"/>
        <v>8.4505130771267347E-4</v>
      </c>
      <c r="AR558">
        <f t="shared" si="449"/>
        <v>-2.9069764985315967</v>
      </c>
      <c r="AT558">
        <f t="shared" si="470"/>
        <v>-16568.73234269549</v>
      </c>
      <c r="AU558">
        <f t="shared" si="471"/>
        <v>-9821.7061154817839</v>
      </c>
      <c r="AV558">
        <f t="shared" si="459"/>
        <v>-2.6064947391161617</v>
      </c>
      <c r="AW558">
        <f t="shared" si="460"/>
        <v>4113.3904101046592</v>
      </c>
      <c r="AX558">
        <f t="shared" si="461"/>
        <v>-7892.5277565414772</v>
      </c>
      <c r="AY558">
        <f t="shared" si="469"/>
        <v>-1.0903523493021918</v>
      </c>
      <c r="BA558">
        <f t="shared" si="450"/>
        <v>2.1641381439750575</v>
      </c>
      <c r="BB558">
        <f t="shared" si="462"/>
        <v>6.7056995949678235</v>
      </c>
      <c r="BC558">
        <f t="shared" si="463"/>
        <v>-1.5161423898139699</v>
      </c>
      <c r="BD558">
        <f t="shared" si="451"/>
        <v>-266.86856017648074</v>
      </c>
      <c r="BF558">
        <f t="shared" si="452"/>
        <v>-68.338680418434322</v>
      </c>
      <c r="BG558">
        <f t="shared" si="453"/>
        <v>-211.23828065744735</v>
      </c>
      <c r="BH558">
        <f t="shared" si="464"/>
        <v>-31.238280657447348</v>
      </c>
      <c r="BI558">
        <f t="shared" si="465"/>
        <v>-31.238280657447348</v>
      </c>
      <c r="BJ558">
        <f t="shared" si="454"/>
        <v>0</v>
      </c>
      <c r="BK558">
        <f t="shared" si="466"/>
        <v>0</v>
      </c>
      <c r="BM558">
        <f t="shared" si="467"/>
        <v>-75.044380013402133</v>
      </c>
      <c r="BN558">
        <f t="shared" si="455"/>
        <v>-124.36972048096662</v>
      </c>
      <c r="BQ558" s="56">
        <f t="shared" si="468"/>
        <v>23.607660395252957</v>
      </c>
    </row>
    <row r="559" spans="1:69" x14ac:dyDescent="0.25">
      <c r="A559">
        <f t="shared" si="472"/>
        <v>1725000</v>
      </c>
      <c r="B559">
        <f t="shared" si="456"/>
        <v>1725</v>
      </c>
      <c r="C559">
        <f t="shared" si="425"/>
        <v>1.7722710874623584</v>
      </c>
      <c r="D559">
        <f t="shared" si="426"/>
        <v>0.97127448852157305</v>
      </c>
      <c r="F559">
        <f t="shared" si="427"/>
        <v>6.6297440734896337E-6</v>
      </c>
      <c r="G559">
        <f t="shared" si="428"/>
        <v>1.0070748789416217E-3</v>
      </c>
      <c r="H559">
        <f t="shared" si="429"/>
        <v>-3.1405855751210585</v>
      </c>
      <c r="J559">
        <f t="shared" si="430"/>
        <v>15</v>
      </c>
      <c r="M559">
        <f t="shared" si="431"/>
        <v>1.5476337766902027E-3</v>
      </c>
      <c r="N559">
        <f t="shared" si="432"/>
        <v>-1.5707963250000001</v>
      </c>
      <c r="O559">
        <f t="shared" si="433"/>
        <v>464.97249549691605</v>
      </c>
      <c r="P559">
        <f t="shared" si="434"/>
        <v>1.5686456602918681</v>
      </c>
      <c r="Q559">
        <f t="shared" si="435"/>
        <v>440.41252660403296</v>
      </c>
      <c r="R559">
        <f t="shared" si="436"/>
        <v>1.5685257263944439</v>
      </c>
      <c r="S559">
        <f t="shared" si="437"/>
        <v>8.8876801917914111E-2</v>
      </c>
      <c r="T559">
        <f t="shared" si="438"/>
        <v>-1.4818020994145951</v>
      </c>
      <c r="U559">
        <f t="shared" si="439"/>
        <v>0.51043376403628327</v>
      </c>
      <c r="V559">
        <f t="shared" si="440"/>
        <v>-1.035107186566226</v>
      </c>
      <c r="X559">
        <f t="shared" si="457"/>
        <v>-51.923977702406091</v>
      </c>
      <c r="Y559">
        <f t="shared" si="441"/>
        <v>-178.75396925216225</v>
      </c>
      <c r="Z559">
        <f t="shared" si="458"/>
        <v>1.2460307478377501</v>
      </c>
      <c r="AC559">
        <v>1</v>
      </c>
      <c r="AD559">
        <f t="shared" si="442"/>
        <v>464.97142016325</v>
      </c>
      <c r="AE559">
        <f t="shared" si="443"/>
        <v>-6.0475082956260022E-2</v>
      </c>
      <c r="AF559">
        <f t="shared" si="444"/>
        <v>3.5897094255960001E-2</v>
      </c>
      <c r="AG559">
        <f t="shared" si="473"/>
        <v>3362.5547499175786</v>
      </c>
      <c r="AH559">
        <f t="shared" si="474"/>
        <v>-5692.6829784364327</v>
      </c>
      <c r="AJ559">
        <f t="shared" si="445"/>
        <v>18000</v>
      </c>
      <c r="AK559">
        <f t="shared" si="446"/>
        <v>201726.06228621001</v>
      </c>
      <c r="AL559">
        <v>1</v>
      </c>
      <c r="AM559">
        <f t="shared" si="447"/>
        <v>440.411391303345</v>
      </c>
      <c r="AN559">
        <f t="shared" si="475"/>
        <v>458.1305046026614</v>
      </c>
      <c r="AO559">
        <f t="shared" si="476"/>
        <v>-39.830644351601052</v>
      </c>
      <c r="AQ559">
        <f t="shared" si="448"/>
        <v>8.4015955974294811E-4</v>
      </c>
      <c r="AR559">
        <f t="shared" si="449"/>
        <v>-2.8985504811131713</v>
      </c>
      <c r="AT559">
        <f t="shared" si="470"/>
        <v>-16497.703903453381</v>
      </c>
      <c r="AU559">
        <f t="shared" si="471"/>
        <v>-9751.3174501678968</v>
      </c>
      <c r="AV559">
        <f t="shared" si="459"/>
        <v>-2.6077643247998048</v>
      </c>
      <c r="AW559">
        <f t="shared" si="460"/>
        <v>4097.9180790905502</v>
      </c>
      <c r="AX559">
        <f t="shared" si="461"/>
        <v>-7879.2305873568293</v>
      </c>
      <c r="AY559">
        <f t="shared" si="469"/>
        <v>-1.0912052902422207</v>
      </c>
      <c r="BA559">
        <f t="shared" si="450"/>
        <v>2.1578338060262707</v>
      </c>
      <c r="BB559">
        <f t="shared" si="462"/>
        <v>6.6803598550829157</v>
      </c>
      <c r="BC559">
        <f t="shared" si="463"/>
        <v>-1.5165590345575841</v>
      </c>
      <c r="BD559">
        <f t="shared" si="451"/>
        <v>-266.89243216187344</v>
      </c>
      <c r="BF559">
        <f t="shared" si="452"/>
        <v>-68.397276638049945</v>
      </c>
      <c r="BG559">
        <f t="shared" si="453"/>
        <v>-211.18480201698731</v>
      </c>
      <c r="BH559">
        <f t="shared" si="464"/>
        <v>-31.184802016987305</v>
      </c>
      <c r="BI559">
        <f t="shared" si="465"/>
        <v>-31.184802016987305</v>
      </c>
      <c r="BJ559">
        <f t="shared" si="454"/>
        <v>0</v>
      </c>
      <c r="BK559">
        <f t="shared" si="466"/>
        <v>0</v>
      </c>
      <c r="BM559">
        <f t="shared" si="467"/>
        <v>-75.077636493132857</v>
      </c>
      <c r="BN559">
        <f t="shared" si="455"/>
        <v>-124.29236985511389</v>
      </c>
      <c r="BQ559" s="56">
        <f t="shared" si="468"/>
        <v>23.582320655368051</v>
      </c>
    </row>
    <row r="560" spans="1:69" x14ac:dyDescent="0.25">
      <c r="A560">
        <f t="shared" si="472"/>
        <v>1730000</v>
      </c>
      <c r="B560">
        <f t="shared" si="456"/>
        <v>1730</v>
      </c>
      <c r="C560">
        <f t="shared" si="425"/>
        <v>1.775774216800972</v>
      </c>
      <c r="D560">
        <f t="shared" si="426"/>
        <v>0.97262210363714618</v>
      </c>
      <c r="F560">
        <f t="shared" si="427"/>
        <v>6.5914769934654533E-6</v>
      </c>
      <c r="G560">
        <f t="shared" si="428"/>
        <v>1.004164220533294E-3</v>
      </c>
      <c r="H560">
        <f t="shared" si="429"/>
        <v>-3.140588485779467</v>
      </c>
      <c r="J560">
        <f t="shared" si="430"/>
        <v>15</v>
      </c>
      <c r="M560">
        <f t="shared" si="431"/>
        <v>1.5431608466997687E-3</v>
      </c>
      <c r="N560">
        <f t="shared" si="432"/>
        <v>-1.5707963250000001</v>
      </c>
      <c r="O560">
        <f t="shared" si="433"/>
        <v>466.32023563587239</v>
      </c>
      <c r="P560">
        <f t="shared" si="434"/>
        <v>1.5686518760719259</v>
      </c>
      <c r="Q560">
        <f t="shared" si="435"/>
        <v>441.68907808022658</v>
      </c>
      <c r="R560">
        <f t="shared" si="436"/>
        <v>1.568532288800889</v>
      </c>
      <c r="S560">
        <f t="shared" si="437"/>
        <v>8.8621952862603146E-2</v>
      </c>
      <c r="T560">
        <f t="shared" si="438"/>
        <v>-1.4820579580919</v>
      </c>
      <c r="U560">
        <f t="shared" si="439"/>
        <v>0.5093416528673157</v>
      </c>
      <c r="V560">
        <f t="shared" si="440"/>
        <v>-1.036376727728467</v>
      </c>
      <c r="X560">
        <f t="shared" si="457"/>
        <v>-51.975512546556061</v>
      </c>
      <c r="Y560">
        <f t="shared" si="441"/>
        <v>-178.76359019880476</v>
      </c>
      <c r="Z560">
        <f t="shared" si="458"/>
        <v>1.2364098011952365</v>
      </c>
      <c r="AC560">
        <v>1</v>
      </c>
      <c r="AD560">
        <f t="shared" si="442"/>
        <v>466.31916341010003</v>
      </c>
      <c r="AE560">
        <f t="shared" si="443"/>
        <v>-6.0826171234544209E-2</v>
      </c>
      <c r="AF560">
        <f t="shared" si="444"/>
        <v>3.6001143804527999E-2</v>
      </c>
      <c r="AG560">
        <f t="shared" si="473"/>
        <v>3348.1812687940028</v>
      </c>
      <c r="AH560">
        <f t="shared" si="474"/>
        <v>-5684.7373597673577</v>
      </c>
      <c r="AJ560">
        <f t="shared" si="445"/>
        <v>18000</v>
      </c>
      <c r="AK560">
        <f t="shared" si="446"/>
        <v>202310.77551022801</v>
      </c>
      <c r="AL560">
        <v>1</v>
      </c>
      <c r="AM560">
        <f t="shared" si="447"/>
        <v>441.68794606074601</v>
      </c>
      <c r="AN560">
        <f t="shared" si="475"/>
        <v>458.12998258834682</v>
      </c>
      <c r="AO560">
        <f t="shared" si="476"/>
        <v>-39.715528064239031</v>
      </c>
      <c r="AQ560">
        <f t="shared" si="448"/>
        <v>8.3531016444667679E-4</v>
      </c>
      <c r="AR560">
        <f t="shared" si="449"/>
        <v>-2.8901731689855015</v>
      </c>
      <c r="AT560">
        <f t="shared" si="470"/>
        <v>-16427.078620082862</v>
      </c>
      <c r="AU560">
        <f t="shared" si="471"/>
        <v>-9681.5721868670826</v>
      </c>
      <c r="AV560">
        <f t="shared" si="459"/>
        <v>-2.6090284879133412</v>
      </c>
      <c r="AW560">
        <f t="shared" si="460"/>
        <v>4082.5312954218875</v>
      </c>
      <c r="AX560">
        <f t="shared" si="461"/>
        <v>-7865.9562325627539</v>
      </c>
      <c r="AY560">
        <f t="shared" si="469"/>
        <v>-1.0920544943144974</v>
      </c>
      <c r="BA560">
        <f t="shared" si="450"/>
        <v>2.1515660374389118</v>
      </c>
      <c r="BB560">
        <f t="shared" si="462"/>
        <v>6.655093606142203</v>
      </c>
      <c r="BC560">
        <f t="shared" si="463"/>
        <v>-1.5169739935988438</v>
      </c>
      <c r="BD560">
        <f t="shared" si="451"/>
        <v>-266.91620756363557</v>
      </c>
      <c r="BF560">
        <f t="shared" si="452"/>
        <v>-68.455671481223931</v>
      </c>
      <c r="BG560">
        <f t="shared" si="453"/>
        <v>-211.13153152857342</v>
      </c>
      <c r="BH560">
        <f t="shared" si="464"/>
        <v>-31.131531528573419</v>
      </c>
      <c r="BI560">
        <f t="shared" si="465"/>
        <v>-31.131531528573419</v>
      </c>
      <c r="BJ560">
        <f t="shared" si="454"/>
        <v>0</v>
      </c>
      <c r="BK560">
        <f t="shared" si="466"/>
        <v>0</v>
      </c>
      <c r="BM560">
        <f t="shared" si="467"/>
        <v>-75.110765087366133</v>
      </c>
      <c r="BN560">
        <f t="shared" si="455"/>
        <v>-124.21532396493788</v>
      </c>
      <c r="BQ560" s="56">
        <f t="shared" si="468"/>
        <v>23.557054406427337</v>
      </c>
    </row>
    <row r="561" spans="1:69" x14ac:dyDescent="0.25">
      <c r="A561">
        <f t="shared" si="472"/>
        <v>1735000</v>
      </c>
      <c r="B561">
        <f t="shared" si="456"/>
        <v>1735</v>
      </c>
      <c r="C561">
        <f t="shared" si="425"/>
        <v>1.7792805583614859</v>
      </c>
      <c r="D561">
        <f t="shared" si="426"/>
        <v>0.97396440982345811</v>
      </c>
      <c r="F561">
        <f t="shared" si="427"/>
        <v>6.5535402785439813E-6</v>
      </c>
      <c r="G561">
        <f t="shared" si="428"/>
        <v>1.0012703385758191E-3</v>
      </c>
      <c r="H561">
        <f t="shared" si="429"/>
        <v>-3.1405913796614242</v>
      </c>
      <c r="J561">
        <f t="shared" si="430"/>
        <v>15</v>
      </c>
      <c r="M561">
        <f t="shared" si="431"/>
        <v>1.5387136972856482E-3</v>
      </c>
      <c r="N561">
        <f t="shared" si="432"/>
        <v>-1.5707963250000001</v>
      </c>
      <c r="O561">
        <f t="shared" si="433"/>
        <v>467.66797579274169</v>
      </c>
      <c r="P561">
        <f t="shared" si="434"/>
        <v>1.5686580560263264</v>
      </c>
      <c r="Q561">
        <f t="shared" si="435"/>
        <v>442.96562957533189</v>
      </c>
      <c r="R561">
        <f t="shared" si="436"/>
        <v>1.5685388133838591</v>
      </c>
      <c r="S561">
        <f t="shared" si="437"/>
        <v>8.8368555422680364E-2</v>
      </c>
      <c r="T561">
        <f t="shared" si="438"/>
        <v>-1.4823123536283624</v>
      </c>
      <c r="U561">
        <f t="shared" si="439"/>
        <v>0.50825339109809853</v>
      </c>
      <c r="V561">
        <f t="shared" si="440"/>
        <v>-1.0376408459056574</v>
      </c>
      <c r="X561">
        <f t="shared" si="457"/>
        <v>-52.026896246855287</v>
      </c>
      <c r="Y561">
        <f t="shared" si="441"/>
        <v>-178.7731240373013</v>
      </c>
      <c r="Z561">
        <f t="shared" si="458"/>
        <v>1.2268759626986991</v>
      </c>
      <c r="AC561">
        <v>1</v>
      </c>
      <c r="AD561">
        <f t="shared" si="442"/>
        <v>467.66690665695</v>
      </c>
      <c r="AE561">
        <f t="shared" si="443"/>
        <v>-6.1178275687295211E-2</v>
      </c>
      <c r="AF561">
        <f t="shared" si="444"/>
        <v>3.6105193353095998E-2</v>
      </c>
      <c r="AG561">
        <f t="shared" si="473"/>
        <v>3333.8890738401319</v>
      </c>
      <c r="AH561">
        <f t="shared" si="474"/>
        <v>-5676.7895650301944</v>
      </c>
      <c r="AJ561">
        <f t="shared" si="445"/>
        <v>18000</v>
      </c>
      <c r="AK561">
        <f t="shared" si="446"/>
        <v>202895.488734246</v>
      </c>
      <c r="AL561">
        <v>1</v>
      </c>
      <c r="AM561">
        <f t="shared" si="447"/>
        <v>442.96450081814703</v>
      </c>
      <c r="AN561">
        <f t="shared" si="475"/>
        <v>458.12946508058747</v>
      </c>
      <c r="AO561">
        <f t="shared" si="476"/>
        <v>-39.601075261155032</v>
      </c>
      <c r="AQ561">
        <f t="shared" si="448"/>
        <v>8.3050263431283088E-4</v>
      </c>
      <c r="AR561">
        <f t="shared" si="449"/>
        <v>-2.8818441410655233</v>
      </c>
      <c r="AT561">
        <f t="shared" si="470"/>
        <v>-16356.853944385835</v>
      </c>
      <c r="AU561">
        <f t="shared" si="471"/>
        <v>-9612.4632830967457</v>
      </c>
      <c r="AV561">
        <f t="shared" si="459"/>
        <v>-2.6102872590390618</v>
      </c>
      <c r="AW561">
        <f t="shared" si="460"/>
        <v>4067.2295526415533</v>
      </c>
      <c r="AX561">
        <f t="shared" si="461"/>
        <v>-7852.7048330049311</v>
      </c>
      <c r="AY561">
        <f t="shared" si="469"/>
        <v>-1.0928999773485926</v>
      </c>
      <c r="BA561">
        <f t="shared" si="450"/>
        <v>2.1453345202202976</v>
      </c>
      <c r="BB561">
        <f t="shared" si="462"/>
        <v>6.6299004195379823</v>
      </c>
      <c r="BC561">
        <f t="shared" si="463"/>
        <v>-1.5173872816904692</v>
      </c>
      <c r="BD561">
        <f t="shared" si="451"/>
        <v>-266.93988722703574</v>
      </c>
      <c r="BF561">
        <f t="shared" si="452"/>
        <v>-68.513866272161408</v>
      </c>
      <c r="BG561">
        <f t="shared" si="453"/>
        <v>-211.07846851981856</v>
      </c>
      <c r="BH561">
        <f t="shared" si="464"/>
        <v>-31.078468519818557</v>
      </c>
      <c r="BI561">
        <f t="shared" si="465"/>
        <v>-31.078468519818557</v>
      </c>
      <c r="BJ561">
        <f t="shared" si="454"/>
        <v>0</v>
      </c>
      <c r="BK561">
        <f t="shared" si="466"/>
        <v>0</v>
      </c>
      <c r="BM561">
        <f t="shared" si="467"/>
        <v>-75.143766691699398</v>
      </c>
      <c r="BN561">
        <f t="shared" si="455"/>
        <v>-124.13858129278279</v>
      </c>
      <c r="BQ561" s="56">
        <f t="shared" si="468"/>
        <v>23.531861219823117</v>
      </c>
    </row>
    <row r="562" spans="1:69" x14ac:dyDescent="0.25">
      <c r="A562">
        <f t="shared" si="472"/>
        <v>1740000</v>
      </c>
      <c r="B562">
        <f t="shared" si="456"/>
        <v>1740</v>
      </c>
      <c r="C562">
        <f t="shared" si="425"/>
        <v>1.7827900931907763</v>
      </c>
      <c r="D562">
        <f t="shared" si="426"/>
        <v>0.97530143358199617</v>
      </c>
      <c r="F562">
        <f t="shared" si="427"/>
        <v>6.5159301368472199E-6</v>
      </c>
      <c r="G562">
        <f t="shared" si="428"/>
        <v>9.9839308844093988E-4</v>
      </c>
      <c r="H562">
        <f t="shared" si="429"/>
        <v>-3.1405942569115592</v>
      </c>
      <c r="J562">
        <f t="shared" si="430"/>
        <v>15</v>
      </c>
      <c r="M562">
        <f t="shared" si="431"/>
        <v>1.5342921062014942E-3</v>
      </c>
      <c r="N562">
        <f t="shared" si="432"/>
        <v>-1.5707963250000001</v>
      </c>
      <c r="O562">
        <f t="shared" si="433"/>
        <v>469.01571596736937</v>
      </c>
      <c r="P562">
        <f t="shared" si="434"/>
        <v>1.5686642004639093</v>
      </c>
      <c r="Q562">
        <f t="shared" si="435"/>
        <v>444.24218108918598</v>
      </c>
      <c r="R562">
        <f t="shared" si="436"/>
        <v>1.5685453004694165</v>
      </c>
      <c r="S562">
        <f t="shared" si="437"/>
        <v>8.8116597279779565E-2</v>
      </c>
      <c r="T562">
        <f t="shared" si="438"/>
        <v>-1.4825652985061204</v>
      </c>
      <c r="U562">
        <f t="shared" si="439"/>
        <v>0.50716896450829063</v>
      </c>
      <c r="V562">
        <f t="shared" si="440"/>
        <v>-1.0388995717567222</v>
      </c>
      <c r="X562">
        <f t="shared" si="457"/>
        <v>-52.078129662874204</v>
      </c>
      <c r="Y562">
        <f t="shared" si="441"/>
        <v>-178.78257169293872</v>
      </c>
      <c r="Z562">
        <f t="shared" si="458"/>
        <v>1.217428307061283</v>
      </c>
      <c r="AC562">
        <v>1</v>
      </c>
      <c r="AD562">
        <f t="shared" si="442"/>
        <v>469.01464990380003</v>
      </c>
      <c r="AE562">
        <f t="shared" si="443"/>
        <v>-6.1531396314513036E-2</v>
      </c>
      <c r="AF562">
        <f t="shared" si="444"/>
        <v>3.6209242901664003E-2</v>
      </c>
      <c r="AG562">
        <f t="shared" si="473"/>
        <v>3319.6776545067319</v>
      </c>
      <c r="AH562">
        <f t="shared" si="474"/>
        <v>-5668.8399134259125</v>
      </c>
      <c r="AJ562">
        <f t="shared" si="445"/>
        <v>18000</v>
      </c>
      <c r="AK562">
        <f t="shared" si="446"/>
        <v>203480.20195826402</v>
      </c>
      <c r="AL562">
        <v>1</v>
      </c>
      <c r="AM562">
        <f t="shared" si="447"/>
        <v>444.24105557554799</v>
      </c>
      <c r="AN562">
        <f t="shared" si="475"/>
        <v>458.1289520276589</v>
      </c>
      <c r="AO562">
        <f t="shared" si="476"/>
        <v>-39.487280222773457</v>
      </c>
      <c r="AQ562">
        <f t="shared" si="448"/>
        <v>8.2573648882477133E-4</v>
      </c>
      <c r="AR562">
        <f t="shared" si="449"/>
        <v>-2.8735629811102044</v>
      </c>
      <c r="AT562">
        <f t="shared" si="470"/>
        <v>-16287.027342090216</v>
      </c>
      <c r="AU562">
        <f t="shared" si="471"/>
        <v>-9543.9837851751181</v>
      </c>
      <c r="AV562">
        <f t="shared" si="459"/>
        <v>-2.6115406685686762</v>
      </c>
      <c r="AW562">
        <f t="shared" si="460"/>
        <v>4052.0123463854507</v>
      </c>
      <c r="AX562">
        <f t="shared" si="461"/>
        <v>-7839.4765261177208</v>
      </c>
      <c r="AY562">
        <f t="shared" si="469"/>
        <v>-1.0937417551559081</v>
      </c>
      <c r="BA562">
        <f t="shared" si="450"/>
        <v>2.1391389400583476</v>
      </c>
      <c r="BB562">
        <f t="shared" si="462"/>
        <v>6.6047798704020453</v>
      </c>
      <c r="BC562">
        <f t="shared" si="463"/>
        <v>-1.5177989134127681</v>
      </c>
      <c r="BD562">
        <f t="shared" si="451"/>
        <v>-266.96347198746412</v>
      </c>
      <c r="BF562">
        <f t="shared" si="452"/>
        <v>-68.571862322812763</v>
      </c>
      <c r="BG562">
        <f t="shared" si="453"/>
        <v>-211.02561231597596</v>
      </c>
      <c r="BH562">
        <f t="shared" si="464"/>
        <v>-31.025612315975962</v>
      </c>
      <c r="BI562">
        <f t="shared" si="465"/>
        <v>-31.025612315975962</v>
      </c>
      <c r="BJ562">
        <f t="shared" si="454"/>
        <v>0</v>
      </c>
      <c r="BK562">
        <f t="shared" si="466"/>
        <v>0</v>
      </c>
      <c r="BM562">
        <f t="shared" si="467"/>
        <v>-75.176642193214803</v>
      </c>
      <c r="BN562">
        <f t="shared" si="455"/>
        <v>-124.06214032851183</v>
      </c>
      <c r="BQ562" s="56">
        <f t="shared" si="468"/>
        <v>23.506740670687183</v>
      </c>
    </row>
    <row r="563" spans="1:69" x14ac:dyDescent="0.25">
      <c r="A563">
        <f t="shared" si="472"/>
        <v>1745000</v>
      </c>
      <c r="B563">
        <f t="shared" si="456"/>
        <v>1745</v>
      </c>
      <c r="C563">
        <f t="shared" si="425"/>
        <v>1.7863028024674741</v>
      </c>
      <c r="D563">
        <f t="shared" si="426"/>
        <v>0.97663320128161923</v>
      </c>
      <c r="F563">
        <f t="shared" si="427"/>
        <v>6.4786428307447993E-6</v>
      </c>
      <c r="G563">
        <f t="shared" si="428"/>
        <v>9.9553232715808072E-4</v>
      </c>
      <c r="H563">
        <f t="shared" si="429"/>
        <v>-3.1405971176728422</v>
      </c>
      <c r="J563">
        <f t="shared" si="430"/>
        <v>15</v>
      </c>
      <c r="M563">
        <f t="shared" si="431"/>
        <v>1.5298958537481948E-3</v>
      </c>
      <c r="N563">
        <f t="shared" si="432"/>
        <v>-1.5707963250000001</v>
      </c>
      <c r="O563">
        <f t="shared" si="433"/>
        <v>470.36345615960289</v>
      </c>
      <c r="P563">
        <f t="shared" si="434"/>
        <v>1.5686703096899755</v>
      </c>
      <c r="Q563">
        <f t="shared" si="435"/>
        <v>445.51873262162769</v>
      </c>
      <c r="R563">
        <f t="shared" si="436"/>
        <v>1.5685517503798865</v>
      </c>
      <c r="S563">
        <f t="shared" si="437"/>
        <v>8.7866066253962163E-2</v>
      </c>
      <c r="T563">
        <f t="shared" si="438"/>
        <v>-1.4828168050661028</v>
      </c>
      <c r="U563">
        <f t="shared" si="439"/>
        <v>0.50608835887770054</v>
      </c>
      <c r="V563">
        <f t="shared" si="440"/>
        <v>-1.0401529357479311</v>
      </c>
      <c r="X563">
        <f t="shared" si="457"/>
        <v>-52.12921364709571</v>
      </c>
      <c r="Y563">
        <f t="shared" si="441"/>
        <v>-178.79193407979582</v>
      </c>
      <c r="Z563">
        <f t="shared" si="458"/>
        <v>1.2080659202041772</v>
      </c>
      <c r="AC563">
        <v>1</v>
      </c>
      <c r="AD563">
        <f t="shared" si="442"/>
        <v>470.36239315065006</v>
      </c>
      <c r="AE563">
        <f t="shared" si="443"/>
        <v>-6.1885533116197662E-2</v>
      </c>
      <c r="AF563">
        <f t="shared" si="444"/>
        <v>3.6313292450232001E-2</v>
      </c>
      <c r="AG563">
        <f t="shared" si="473"/>
        <v>3305.5465029804968</v>
      </c>
      <c r="AH563">
        <f t="shared" si="474"/>
        <v>-5660.8887188916287</v>
      </c>
      <c r="AJ563">
        <f t="shared" si="445"/>
        <v>18000</v>
      </c>
      <c r="AK563">
        <f t="shared" si="446"/>
        <v>204064.91518228201</v>
      </c>
      <c r="AL563">
        <v>1</v>
      </c>
      <c r="AM563">
        <f t="shared" si="447"/>
        <v>445.517610332949</v>
      </c>
      <c r="AN563">
        <f t="shared" si="475"/>
        <v>458.12844337857638</v>
      </c>
      <c r="AO563">
        <f t="shared" si="476"/>
        <v>-39.374137295070881</v>
      </c>
      <c r="AQ563">
        <f t="shared" si="448"/>
        <v>8.2101125434017334E-4</v>
      </c>
      <c r="AR563">
        <f t="shared" si="449"/>
        <v>-2.8653292776472052</v>
      </c>
      <c r="AT563">
        <f t="shared" si="470"/>
        <v>-16217.596292862272</v>
      </c>
      <c r="AU563">
        <f t="shared" si="471"/>
        <v>-9476.1268269621305</v>
      </c>
      <c r="AV563">
        <f t="shared" si="459"/>
        <v>-2.6127887467043012</v>
      </c>
      <c r="AW563">
        <f t="shared" si="460"/>
        <v>4036.8791744040218</v>
      </c>
      <c r="AX563">
        <f t="shared" si="461"/>
        <v>-7826.2714459700182</v>
      </c>
      <c r="AY563">
        <f t="shared" si="469"/>
        <v>-1.0945798435281493</v>
      </c>
      <c r="BA563">
        <f t="shared" si="450"/>
        <v>2.1329789862684341</v>
      </c>
      <c r="BB563">
        <f t="shared" si="462"/>
        <v>6.5797315375622478</v>
      </c>
      <c r="BC563">
        <f t="shared" si="463"/>
        <v>-1.5182089031761519</v>
      </c>
      <c r="BD563">
        <f t="shared" si="451"/>
        <v>-266.98696267057642</v>
      </c>
      <c r="BF563">
        <f t="shared" si="452"/>
        <v>-68.629660933016353</v>
      </c>
      <c r="BG563">
        <f t="shared" si="453"/>
        <v>-210.97296224006874</v>
      </c>
      <c r="BH563">
        <f t="shared" si="464"/>
        <v>-30.972962240068739</v>
      </c>
      <c r="BI563">
        <f t="shared" si="465"/>
        <v>-30.972962240068739</v>
      </c>
      <c r="BJ563">
        <f t="shared" si="454"/>
        <v>0</v>
      </c>
      <c r="BK563">
        <f t="shared" si="466"/>
        <v>0</v>
      </c>
      <c r="BM563">
        <f t="shared" si="467"/>
        <v>-75.209392470578607</v>
      </c>
      <c r="BN563">
        <f t="shared" si="455"/>
        <v>-123.98599956949229</v>
      </c>
      <c r="BQ563" s="56">
        <f t="shared" si="468"/>
        <v>23.481692337847385</v>
      </c>
    </row>
    <row r="564" spans="1:69" x14ac:dyDescent="0.25">
      <c r="A564">
        <f t="shared" si="472"/>
        <v>1750000</v>
      </c>
      <c r="B564">
        <f t="shared" si="456"/>
        <v>1750</v>
      </c>
      <c r="C564">
        <f t="shared" si="425"/>
        <v>1.7898186675010088</v>
      </c>
      <c r="D564">
        <f t="shared" si="426"/>
        <v>0.97795973915885193</v>
      </c>
      <c r="F564">
        <f t="shared" si="427"/>
        <v>6.4416746759253388E-6</v>
      </c>
      <c r="G564">
        <f t="shared" si="428"/>
        <v>9.9268791339066705E-4</v>
      </c>
      <c r="H564">
        <f t="shared" si="429"/>
        <v>-3.1405999620866094</v>
      </c>
      <c r="J564">
        <f t="shared" si="430"/>
        <v>15</v>
      </c>
      <c r="M564">
        <f t="shared" si="431"/>
        <v>1.5255247227374856E-3</v>
      </c>
      <c r="N564">
        <f t="shared" si="432"/>
        <v>-1.5707963250000001</v>
      </c>
      <c r="O564">
        <f t="shared" si="433"/>
        <v>471.71119636929132</v>
      </c>
      <c r="P564">
        <f t="shared" si="434"/>
        <v>1.5686763840063356</v>
      </c>
      <c r="Q564">
        <f t="shared" si="435"/>
        <v>446.79528417249765</v>
      </c>
      <c r="R564">
        <f t="shared" si="436"/>
        <v>1.5685581634339103</v>
      </c>
      <c r="S564">
        <f t="shared" si="437"/>
        <v>8.7616950301785901E-2</v>
      </c>
      <c r="T564">
        <f t="shared" si="438"/>
        <v>-1.4830668855100169</v>
      </c>
      <c r="U564">
        <f t="shared" si="439"/>
        <v>0.50501155998766944</v>
      </c>
      <c r="V564">
        <f t="shared" si="440"/>
        <v>-1.0414009681539353</v>
      </c>
      <c r="X564">
        <f t="shared" si="457"/>
        <v>-52.180149044991211</v>
      </c>
      <c r="Y564">
        <f t="shared" si="441"/>
        <v>-178.80121210089519</v>
      </c>
      <c r="Z564">
        <f t="shared" si="458"/>
        <v>1.1987878991048149</v>
      </c>
      <c r="AC564">
        <v>1</v>
      </c>
      <c r="AD564">
        <f t="shared" si="442"/>
        <v>471.71013639750004</v>
      </c>
      <c r="AE564">
        <f t="shared" si="443"/>
        <v>-6.2240686092349111E-2</v>
      </c>
      <c r="AF564">
        <f t="shared" si="444"/>
        <v>3.64173419988E-2</v>
      </c>
      <c r="AG564">
        <f t="shared" si="473"/>
        <v>3291.4951141879933</v>
      </c>
      <c r="AH564">
        <f t="shared" si="474"/>
        <v>-5652.9362901734894</v>
      </c>
      <c r="AJ564">
        <f t="shared" si="445"/>
        <v>18000</v>
      </c>
      <c r="AK564">
        <f t="shared" si="446"/>
        <v>204649.62840630001</v>
      </c>
      <c r="AL564">
        <v>1</v>
      </c>
      <c r="AM564">
        <f t="shared" si="447"/>
        <v>446.79416509035002</v>
      </c>
      <c r="AN564">
        <f t="shared" si="475"/>
        <v>458.12793908308271</v>
      </c>
      <c r="AO564">
        <f t="shared" si="476"/>
        <v>-39.26164088863969</v>
      </c>
      <c r="AQ564">
        <f t="shared" si="448"/>
        <v>8.163264639733499E-4</v>
      </c>
      <c r="AR564">
        <f t="shared" si="449"/>
        <v>-2.8571426239067246</v>
      </c>
      <c r="AT564">
        <f t="shared" si="470"/>
        <v>-16148.558290316078</v>
      </c>
      <c r="AU564">
        <f t="shared" si="471"/>
        <v>-9408.8856286200717</v>
      </c>
      <c r="AV564">
        <f t="shared" si="459"/>
        <v>-2.6140315234594533</v>
      </c>
      <c r="AW564">
        <f t="shared" si="460"/>
        <v>4021.8295365827576</v>
      </c>
      <c r="AX564">
        <f t="shared" si="461"/>
        <v>-7813.0897233107007</v>
      </c>
      <c r="AY564">
        <f t="shared" si="469"/>
        <v>-1.0954142582358433</v>
      </c>
      <c r="BA564">
        <f t="shared" si="450"/>
        <v>2.1268543517411467</v>
      </c>
      <c r="BB564">
        <f t="shared" si="462"/>
        <v>6.5547550034996824</v>
      </c>
      <c r="BC564">
        <f t="shared" si="463"/>
        <v>-1.5186172652236101</v>
      </c>
      <c r="BD564">
        <f t="shared" si="451"/>
        <v>-267.01036009243586</v>
      </c>
      <c r="BF564">
        <f t="shared" si="452"/>
        <v>-68.687263390639515</v>
      </c>
      <c r="BG564">
        <f t="shared" si="453"/>
        <v>-210.92051761301585</v>
      </c>
      <c r="BH564">
        <f t="shared" si="464"/>
        <v>-30.920517613015846</v>
      </c>
      <c r="BI564">
        <f t="shared" si="465"/>
        <v>-30.920517613015846</v>
      </c>
      <c r="BJ564">
        <f t="shared" si="454"/>
        <v>0</v>
      </c>
      <c r="BK564">
        <f t="shared" si="466"/>
        <v>0</v>
      </c>
      <c r="BM564">
        <f t="shared" si="467"/>
        <v>-75.24201839413918</v>
      </c>
      <c r="BN564">
        <f t="shared" si="455"/>
        <v>-123.91015752058</v>
      </c>
      <c r="BQ564" s="56">
        <f t="shared" si="468"/>
        <v>23.456715803784821</v>
      </c>
    </row>
    <row r="565" spans="1:69" x14ac:dyDescent="0.25">
      <c r="A565">
        <f t="shared" si="472"/>
        <v>1755000</v>
      </c>
      <c r="B565">
        <f t="shared" si="456"/>
        <v>1755</v>
      </c>
      <c r="C565">
        <f t="shared" si="425"/>
        <v>1.7933376697306567</v>
      </c>
      <c r="D565">
        <f t="shared" si="426"/>
        <v>0.97928107331818748</v>
      </c>
      <c r="F565">
        <f t="shared" si="427"/>
        <v>6.4050220404862901E-6</v>
      </c>
      <c r="G565">
        <f t="shared" si="428"/>
        <v>9.8985970741284862E-4</v>
      </c>
      <c r="H565">
        <f t="shared" si="429"/>
        <v>-3.1406027902925873</v>
      </c>
      <c r="J565">
        <f t="shared" si="430"/>
        <v>15</v>
      </c>
      <c r="M565">
        <f t="shared" si="431"/>
        <v>1.5211784984561821E-3</v>
      </c>
      <c r="N565">
        <f t="shared" si="432"/>
        <v>-1.5707963250000001</v>
      </c>
      <c r="O565">
        <f t="shared" si="433"/>
        <v>473.05893659628538</v>
      </c>
      <c r="P565">
        <f t="shared" si="434"/>
        <v>1.5686824237113615</v>
      </c>
      <c r="Q565">
        <f t="shared" si="435"/>
        <v>448.07183574163838</v>
      </c>
      <c r="R565">
        <f t="shared" si="436"/>
        <v>1.5685645399464982</v>
      </c>
      <c r="S565">
        <f t="shared" si="437"/>
        <v>8.7369237514405867E-2</v>
      </c>
      <c r="T565">
        <f t="shared" si="438"/>
        <v>-1.4833155519023</v>
      </c>
      <c r="U565">
        <f t="shared" si="439"/>
        <v>0.50393855362242068</v>
      </c>
      <c r="V565">
        <f t="shared" si="440"/>
        <v>-1.0426436990588037</v>
      </c>
      <c r="X565">
        <f t="shared" si="457"/>
        <v>-52.230936695095671</v>
      </c>
      <c r="Y565">
        <f t="shared" si="441"/>
        <v>-178.81040664835265</v>
      </c>
      <c r="Z565">
        <f t="shared" si="458"/>
        <v>1.1895933516473463</v>
      </c>
      <c r="AC565">
        <v>1</v>
      </c>
      <c r="AD565">
        <f t="shared" si="442"/>
        <v>473.05787964435007</v>
      </c>
      <c r="AE565">
        <f t="shared" si="443"/>
        <v>-6.2596855242967361E-2</v>
      </c>
      <c r="AF565">
        <f t="shared" si="444"/>
        <v>3.6521391547367998E-2</v>
      </c>
      <c r="AG565">
        <f t="shared" si="473"/>
        <v>3277.5229857990171</v>
      </c>
      <c r="AH565">
        <f t="shared" si="474"/>
        <v>-5644.9829308986673</v>
      </c>
      <c r="AJ565">
        <f t="shared" si="445"/>
        <v>18000</v>
      </c>
      <c r="AK565">
        <f t="shared" si="446"/>
        <v>205234.34163031803</v>
      </c>
      <c r="AL565">
        <v>1</v>
      </c>
      <c r="AM565">
        <f t="shared" si="447"/>
        <v>448.07071984775104</v>
      </c>
      <c r="AN565">
        <f t="shared" si="475"/>
        <v>458.12743909163538</v>
      </c>
      <c r="AO565">
        <f t="shared" si="476"/>
        <v>-39.149785477767615</v>
      </c>
      <c r="AQ565">
        <f t="shared" si="448"/>
        <v>8.1168165747991835E-4</v>
      </c>
      <c r="AR565">
        <f t="shared" si="449"/>
        <v>-2.8490026177545134</v>
      </c>
      <c r="AT565">
        <f t="shared" si="470"/>
        <v>-16079.910842020307</v>
      </c>
      <c r="AU565">
        <f t="shared" si="471"/>
        <v>-9342.2534953937866</v>
      </c>
      <c r="AV565">
        <f t="shared" si="459"/>
        <v>-2.6152690286600433</v>
      </c>
      <c r="AW565">
        <f t="shared" si="460"/>
        <v>4006.8629349617199</v>
      </c>
      <c r="AX565">
        <f t="shared" si="461"/>
        <v>-7799.9314856137107</v>
      </c>
      <c r="AY565">
        <f t="shared" si="469"/>
        <v>-1.0962450150269025</v>
      </c>
      <c r="BA565">
        <f t="shared" si="450"/>
        <v>2.1207647328909602</v>
      </c>
      <c r="BB565">
        <f t="shared" si="462"/>
        <v>6.5298498543064865</v>
      </c>
      <c r="BC565">
        <f t="shared" si="463"/>
        <v>-1.5190240136331408</v>
      </c>
      <c r="BD565">
        <f t="shared" si="451"/>
        <v>-267.03366505965226</v>
      </c>
      <c r="BF565">
        <f t="shared" si="452"/>
        <v>-68.744670971717298</v>
      </c>
      <c r="BG565">
        <f t="shared" si="453"/>
        <v>-210.86827775375565</v>
      </c>
      <c r="BH565">
        <f t="shared" si="464"/>
        <v>-30.868277753755649</v>
      </c>
      <c r="BI565">
        <f t="shared" si="465"/>
        <v>-30.868277753755649</v>
      </c>
      <c r="BJ565">
        <f t="shared" si="454"/>
        <v>0</v>
      </c>
      <c r="BK565">
        <f t="shared" si="466"/>
        <v>0</v>
      </c>
      <c r="BM565">
        <f t="shared" si="467"/>
        <v>-75.274520826023789</v>
      </c>
      <c r="BN565">
        <f t="shared" si="455"/>
        <v>-123.83461269410341</v>
      </c>
      <c r="BQ565" s="56">
        <f t="shared" si="468"/>
        <v>23.431810654591626</v>
      </c>
    </row>
    <row r="566" spans="1:69" x14ac:dyDescent="0.25">
      <c r="A566">
        <f t="shared" si="472"/>
        <v>1760000</v>
      </c>
      <c r="B566">
        <f t="shared" si="456"/>
        <v>1760</v>
      </c>
      <c r="C566">
        <f t="shared" si="425"/>
        <v>1.7968597907245951</v>
      </c>
      <c r="D566">
        <f t="shared" si="426"/>
        <v>0.98059722973239993</v>
      </c>
      <c r="F566">
        <f t="shared" si="427"/>
        <v>6.368681344041872E-6</v>
      </c>
      <c r="G566">
        <f t="shared" si="428"/>
        <v>9.8704757108661833E-4</v>
      </c>
      <c r="H566">
        <f t="shared" si="429"/>
        <v>-3.1406056024289137</v>
      </c>
      <c r="J566">
        <f t="shared" si="430"/>
        <v>15</v>
      </c>
      <c r="M566">
        <f t="shared" si="431"/>
        <v>1.5168569686310224E-3</v>
      </c>
      <c r="N566">
        <f t="shared" si="432"/>
        <v>-1.5707963250000001</v>
      </c>
      <c r="O566">
        <f t="shared" si="433"/>
        <v>474.40667684043768</v>
      </c>
      <c r="P566">
        <f t="shared" si="434"/>
        <v>1.5686884291000345</v>
      </c>
      <c r="Q566">
        <f t="shared" si="435"/>
        <v>449.34838732889415</v>
      </c>
      <c r="R566">
        <f t="shared" si="436"/>
        <v>1.568570880229081</v>
      </c>
      <c r="S566">
        <f t="shared" si="437"/>
        <v>8.7122916115707091E-2</v>
      </c>
      <c r="T566">
        <f t="shared" si="438"/>
        <v>-1.4835628161720393</v>
      </c>
      <c r="U566">
        <f t="shared" si="439"/>
        <v>0.50286932557037844</v>
      </c>
      <c r="V566">
        <f t="shared" si="440"/>
        <v>-1.0438811583570624</v>
      </c>
      <c r="X566">
        <f t="shared" si="457"/>
        <v>-52.281577429081658</v>
      </c>
      <c r="Y566">
        <f t="shared" si="441"/>
        <v>-178.81951860352422</v>
      </c>
      <c r="Z566">
        <f t="shared" si="458"/>
        <v>1.1804813964757841</v>
      </c>
      <c r="AC566">
        <v>1</v>
      </c>
      <c r="AD566">
        <f t="shared" si="442"/>
        <v>474.40562289120004</v>
      </c>
      <c r="AE566">
        <f t="shared" si="443"/>
        <v>-6.2954040568052441E-2</v>
      </c>
      <c r="AF566">
        <f t="shared" si="444"/>
        <v>3.6625441095935997E-2</v>
      </c>
      <c r="AG566">
        <f t="shared" si="473"/>
        <v>3263.6296182293499</v>
      </c>
      <c r="AH566">
        <f t="shared" si="474"/>
        <v>-5637.0289396464614</v>
      </c>
      <c r="AJ566">
        <f t="shared" si="445"/>
        <v>18000</v>
      </c>
      <c r="AK566">
        <f t="shared" si="446"/>
        <v>205819.05485433602</v>
      </c>
      <c r="AL566">
        <v>1</v>
      </c>
      <c r="AM566">
        <f t="shared" si="447"/>
        <v>449.34727460515199</v>
      </c>
      <c r="AN566">
        <f t="shared" si="475"/>
        <v>458.12694335539493</v>
      </c>
      <c r="AO566">
        <f t="shared" si="476"/>
        <v>-39.038565599533023</v>
      </c>
      <c r="AQ566">
        <f t="shared" si="448"/>
        <v>8.0707638114375794E-4</v>
      </c>
      <c r="AR566">
        <f t="shared" si="449"/>
        <v>-2.8409088616260281</v>
      </c>
      <c r="AT566">
        <f t="shared" si="470"/>
        <v>-16011.651469502331</v>
      </c>
      <c r="AU566">
        <f t="shared" si="471"/>
        <v>-9276.2238164099435</v>
      </c>
      <c r="AV566">
        <f t="shared" si="459"/>
        <v>-2.6165012919453732</v>
      </c>
      <c r="AW566">
        <f t="shared" si="460"/>
        <v>3991.9788737540894</v>
      </c>
      <c r="AX566">
        <f t="shared" si="461"/>
        <v>-7786.796857122732</v>
      </c>
      <c r="AY566">
        <f t="shared" si="469"/>
        <v>-1.0970721296252333</v>
      </c>
      <c r="BA566">
        <f t="shared" si="450"/>
        <v>2.1147098296057814</v>
      </c>
      <c r="BB566">
        <f t="shared" si="462"/>
        <v>6.5050156796442407</v>
      </c>
      <c r="BC566">
        <f t="shared" si="463"/>
        <v>-1.5194291623201399</v>
      </c>
      <c r="BD566">
        <f t="shared" si="451"/>
        <v>-267.0568783695191</v>
      </c>
      <c r="BF566">
        <f t="shared" si="452"/>
        <v>-68.801884940589645</v>
      </c>
      <c r="BG566">
        <f t="shared" si="453"/>
        <v>-210.816241979366</v>
      </c>
      <c r="BH566">
        <f t="shared" si="464"/>
        <v>-30.816241979365998</v>
      </c>
      <c r="BI566">
        <f t="shared" si="465"/>
        <v>-30.816241979365998</v>
      </c>
      <c r="BJ566">
        <f t="shared" si="454"/>
        <v>0</v>
      </c>
      <c r="BK566">
        <f t="shared" si="466"/>
        <v>0</v>
      </c>
      <c r="BM566">
        <f t="shared" si="467"/>
        <v>-75.30690062023389</v>
      </c>
      <c r="BN566">
        <f t="shared" si="455"/>
        <v>-123.7593636098469</v>
      </c>
      <c r="BQ566" s="56">
        <f t="shared" si="468"/>
        <v>23.406976479929376</v>
      </c>
    </row>
    <row r="567" spans="1:69" x14ac:dyDescent="0.25">
      <c r="A567">
        <f t="shared" si="472"/>
        <v>1765000</v>
      </c>
      <c r="B567">
        <f t="shared" si="456"/>
        <v>1765</v>
      </c>
      <c r="C567">
        <f t="shared" si="425"/>
        <v>1.8003850121789646</v>
      </c>
      <c r="D567">
        <f t="shared" si="426"/>
        <v>0.98190823424286522</v>
      </c>
      <c r="F567">
        <f t="shared" si="427"/>
        <v>6.3326490568486544E-6</v>
      </c>
      <c r="G567">
        <f t="shared" si="428"/>
        <v>9.8425136783931999E-4</v>
      </c>
      <c r="H567">
        <f t="shared" si="429"/>
        <v>-3.1406083986321609</v>
      </c>
      <c r="J567">
        <f t="shared" si="430"/>
        <v>15</v>
      </c>
      <c r="M567">
        <f t="shared" si="431"/>
        <v>1.5125599233941076E-3</v>
      </c>
      <c r="N567">
        <f t="shared" si="432"/>
        <v>-1.5707963250000001</v>
      </c>
      <c r="O567">
        <f t="shared" si="433"/>
        <v>475.75441710160243</v>
      </c>
      <c r="P567">
        <f t="shared" si="434"/>
        <v>1.5686944004639933</v>
      </c>
      <c r="Q567">
        <f t="shared" si="435"/>
        <v>450.62493893411101</v>
      </c>
      <c r="R567">
        <f t="shared" si="436"/>
        <v>1.5685771845895602</v>
      </c>
      <c r="S567">
        <f t="shared" si="437"/>
        <v>8.6877974460467772E-2</v>
      </c>
      <c r="T567">
        <f t="shared" si="438"/>
        <v>-1.4838086901148604</v>
      </c>
      <c r="U567">
        <f t="shared" si="439"/>
        <v>0.50180386162545432</v>
      </c>
      <c r="V567">
        <f t="shared" si="440"/>
        <v>-1.0451133757547335</v>
      </c>
      <c r="X567">
        <f t="shared" si="457"/>
        <v>-52.332072071832357</v>
      </c>
      <c r="Y567">
        <f t="shared" si="441"/>
        <v>-178.82854883715126</v>
      </c>
      <c r="Z567">
        <f t="shared" si="458"/>
        <v>1.1714511628487401</v>
      </c>
      <c r="AC567">
        <v>1</v>
      </c>
      <c r="AD567">
        <f t="shared" si="442"/>
        <v>475.75336613804996</v>
      </c>
      <c r="AE567">
        <f t="shared" si="443"/>
        <v>-6.331224206760433E-2</v>
      </c>
      <c r="AF567">
        <f t="shared" si="444"/>
        <v>3.6729490644504002E-2</v>
      </c>
      <c r="AG567">
        <f t="shared" si="473"/>
        <v>3249.8145146429729</v>
      </c>
      <c r="AH567">
        <f t="shared" si="474"/>
        <v>-5629.0746100185124</v>
      </c>
      <c r="AJ567">
        <f t="shared" si="445"/>
        <v>18000</v>
      </c>
      <c r="AK567">
        <f t="shared" si="446"/>
        <v>206403.76807835401</v>
      </c>
      <c r="AL567">
        <v>1</v>
      </c>
      <c r="AM567">
        <f t="shared" si="447"/>
        <v>450.62382936255301</v>
      </c>
      <c r="AN567">
        <f t="shared" si="475"/>
        <v>458.12645182621225</v>
      </c>
      <c r="AO567">
        <f t="shared" si="476"/>
        <v>-38.927975852915516</v>
      </c>
      <c r="AQ567">
        <f t="shared" si="448"/>
        <v>8.0251018766620483E-4</v>
      </c>
      <c r="AR567">
        <f t="shared" si="449"/>
        <v>-2.8328609624617034</v>
      </c>
      <c r="AT567">
        <f t="shared" si="470"/>
        <v>-15943.777708249754</v>
      </c>
      <c r="AU567">
        <f t="shared" si="471"/>
        <v>-9210.7900634951784</v>
      </c>
      <c r="AV567">
        <f t="shared" si="459"/>
        <v>-2.6177283427691314</v>
      </c>
      <c r="AW567">
        <f t="shared" si="460"/>
        <v>3977.176859363798</v>
      </c>
      <c r="AX567">
        <f t="shared" si="461"/>
        <v>-7773.685958895474</v>
      </c>
      <c r="AY567">
        <f t="shared" si="469"/>
        <v>-1.0978956177293866</v>
      </c>
      <c r="BA567">
        <f t="shared" si="450"/>
        <v>2.108689345197365</v>
      </c>
      <c r="BB567">
        <f t="shared" si="462"/>
        <v>6.4802520727029842</v>
      </c>
      <c r="BC567">
        <f t="shared" si="463"/>
        <v>-1.5198327250397448</v>
      </c>
      <c r="BD567">
        <f t="shared" si="451"/>
        <v>-267.08000081014768</v>
      </c>
      <c r="BF567">
        <f t="shared" si="452"/>
        <v>-68.858906550036252</v>
      </c>
      <c r="BG567">
        <f t="shared" si="453"/>
        <v>-210.76440960518136</v>
      </c>
      <c r="BH567">
        <f t="shared" si="464"/>
        <v>-30.764409605181356</v>
      </c>
      <c r="BI567">
        <f t="shared" si="465"/>
        <v>-30.764409605181356</v>
      </c>
      <c r="BJ567">
        <f t="shared" si="454"/>
        <v>0</v>
      </c>
      <c r="BK567">
        <f t="shared" si="466"/>
        <v>0</v>
      </c>
      <c r="BM567">
        <f t="shared" si="467"/>
        <v>-75.339158622739248</v>
      </c>
      <c r="BN567">
        <f t="shared" si="455"/>
        <v>-123.68440879503368</v>
      </c>
      <c r="BQ567" s="56">
        <f t="shared" si="468"/>
        <v>23.38221287298812</v>
      </c>
    </row>
    <row r="568" spans="1:69" x14ac:dyDescent="0.25">
      <c r="A568">
        <f t="shared" si="472"/>
        <v>1770000</v>
      </c>
      <c r="B568">
        <f t="shared" si="456"/>
        <v>1770</v>
      </c>
      <c r="C568">
        <f t="shared" si="425"/>
        <v>1.8039133159169329</v>
      </c>
      <c r="D568">
        <f t="shared" si="426"/>
        <v>0.98321411255988911</v>
      </c>
      <c r="F568">
        <f t="shared" si="427"/>
        <v>6.2969216989484232E-6</v>
      </c>
      <c r="G568">
        <f t="shared" si="428"/>
        <v>9.8147096264153974E-4</v>
      </c>
      <c r="H568">
        <f t="shared" si="429"/>
        <v>-3.1406111790373585</v>
      </c>
      <c r="J568">
        <f t="shared" si="430"/>
        <v>15</v>
      </c>
      <c r="M568">
        <f t="shared" si="431"/>
        <v>1.5082871552489264E-3</v>
      </c>
      <c r="N568">
        <f t="shared" si="432"/>
        <v>-1.5707963250000001</v>
      </c>
      <c r="O568">
        <f t="shared" si="433"/>
        <v>477.10215737963534</v>
      </c>
      <c r="P568">
        <f t="shared" si="434"/>
        <v>1.5687003380915812</v>
      </c>
      <c r="Q568">
        <f t="shared" si="435"/>
        <v>451.90149055713675</v>
      </c>
      <c r="R568">
        <f t="shared" si="436"/>
        <v>1.5685834533323586</v>
      </c>
      <c r="S568">
        <f t="shared" si="437"/>
        <v>8.6634401032553029E-2</v>
      </c>
      <c r="T568">
        <f t="shared" si="438"/>
        <v>-1.4840531853947836</v>
      </c>
      <c r="U568">
        <f t="shared" si="439"/>
        <v>0.50074214758830415</v>
      </c>
      <c r="V568">
        <f t="shared" si="440"/>
        <v>-1.0463403807703753</v>
      </c>
      <c r="X568">
        <f t="shared" si="457"/>
        <v>-52.382421441513756</v>
      </c>
      <c r="Y568">
        <f t="shared" si="441"/>
        <v>-178.83749820950331</v>
      </c>
      <c r="Z568">
        <f t="shared" si="458"/>
        <v>1.162501790496691</v>
      </c>
      <c r="AC568">
        <v>1</v>
      </c>
      <c r="AD568">
        <f t="shared" si="442"/>
        <v>477.10110938489998</v>
      </c>
      <c r="AE568">
        <f t="shared" si="443"/>
        <v>-6.3671459741623027E-2</v>
      </c>
      <c r="AF568">
        <f t="shared" si="444"/>
        <v>3.6833540193072001E-2</v>
      </c>
      <c r="AG568">
        <f t="shared" si="473"/>
        <v>3236.0771809537182</v>
      </c>
      <c r="AH568">
        <f t="shared" si="474"/>
        <v>-5621.1202307081721</v>
      </c>
      <c r="AJ568">
        <f t="shared" si="445"/>
        <v>18000</v>
      </c>
      <c r="AK568">
        <f t="shared" si="446"/>
        <v>206988.48130237201</v>
      </c>
      <c r="AL568">
        <v>1</v>
      </c>
      <c r="AM568">
        <f t="shared" si="447"/>
        <v>451.90038411995403</v>
      </c>
      <c r="AN568">
        <f t="shared" si="475"/>
        <v>458.12596445661774</v>
      </c>
      <c r="AO568">
        <f t="shared" si="476"/>
        <v>-38.81801089792171</v>
      </c>
      <c r="AQ568">
        <f t="shared" si="448"/>
        <v>7.9798263605743592E-4</v>
      </c>
      <c r="AR568">
        <f t="shared" si="449"/>
        <v>-2.824858531643323</v>
      </c>
      <c r="AT568">
        <f t="shared" si="470"/>
        <v>-15876.287107709521</v>
      </c>
      <c r="AU568">
        <f t="shared" si="471"/>
        <v>-9145.9457900126799</v>
      </c>
      <c r="AV568">
        <f t="shared" si="459"/>
        <v>-2.6189502104003952</v>
      </c>
      <c r="AW568">
        <f t="shared" si="460"/>
        <v>3962.4564004022345</v>
      </c>
      <c r="AX568">
        <f t="shared" si="461"/>
        <v>-7760.5989088475817</v>
      </c>
      <c r="AY568">
        <f t="shared" si="469"/>
        <v>-1.0987154950112512</v>
      </c>
      <c r="BA568">
        <f t="shared" si="450"/>
        <v>2.1027029863525786</v>
      </c>
      <c r="BB568">
        <f t="shared" si="462"/>
        <v>6.4555586301608194</v>
      </c>
      <c r="BC568">
        <f t="shared" si="463"/>
        <v>-1.520234715389144</v>
      </c>
      <c r="BD568">
        <f t="shared" si="451"/>
        <v>-267.10303316059958</v>
      </c>
      <c r="BF568">
        <f t="shared" si="452"/>
        <v>-68.915737041409884</v>
      </c>
      <c r="BG568">
        <f t="shared" si="453"/>
        <v>-210.71277994490796</v>
      </c>
      <c r="BH568">
        <f t="shared" si="464"/>
        <v>-30.712779944907965</v>
      </c>
      <c r="BI568">
        <f t="shared" si="465"/>
        <v>-30.712779944907965</v>
      </c>
      <c r="BJ568">
        <f t="shared" si="454"/>
        <v>0</v>
      </c>
      <c r="BK568">
        <f t="shared" si="466"/>
        <v>0</v>
      </c>
      <c r="BM568">
        <f t="shared" si="467"/>
        <v>-75.371295671570692</v>
      </c>
      <c r="BN568">
        <f t="shared" si="455"/>
        <v>-123.60974678430843</v>
      </c>
      <c r="BQ568" s="56">
        <f t="shared" si="468"/>
        <v>23.357519430445954</v>
      </c>
    </row>
    <row r="569" spans="1:69" x14ac:dyDescent="0.25">
      <c r="A569">
        <f t="shared" si="472"/>
        <v>1775000</v>
      </c>
      <c r="B569">
        <f t="shared" si="456"/>
        <v>1775</v>
      </c>
      <c r="C569">
        <f t="shared" si="425"/>
        <v>1.8074446838877691</v>
      </c>
      <c r="D569">
        <f t="shared" si="426"/>
        <v>0.98451489026304539</v>
      </c>
      <c r="F569">
        <f t="shared" si="427"/>
        <v>6.2614958393279127E-6</v>
      </c>
      <c r="G569">
        <f t="shared" si="428"/>
        <v>9.7870622198536756E-4</v>
      </c>
      <c r="H569">
        <f t="shared" si="429"/>
        <v>-3.1406139437780149</v>
      </c>
      <c r="J569">
        <f t="shared" si="430"/>
        <v>15</v>
      </c>
      <c r="M569">
        <f t="shared" si="431"/>
        <v>1.5040384590369576E-3</v>
      </c>
      <c r="N569">
        <f t="shared" si="432"/>
        <v>-1.5707963250000001</v>
      </c>
      <c r="O569">
        <f t="shared" si="433"/>
        <v>478.44989767439392</v>
      </c>
      <c r="P569">
        <f t="shared" si="434"/>
        <v>1.5687062422678926</v>
      </c>
      <c r="Q569">
        <f t="shared" si="435"/>
        <v>453.1780421978209</v>
      </c>
      <c r="R569">
        <f t="shared" si="436"/>
        <v>1.5685896867584685</v>
      </c>
      <c r="S569">
        <f t="shared" si="437"/>
        <v>8.6392184443138176E-2</v>
      </c>
      <c r="T569">
        <f t="shared" si="438"/>
        <v>-1.4842963135460487</v>
      </c>
      <c r="U569">
        <f t="shared" si="439"/>
        <v>0.49968416926755438</v>
      </c>
      <c r="V569">
        <f t="shared" si="440"/>
        <v>-1.0475622027361233</v>
      </c>
      <c r="X569">
        <f t="shared" si="457"/>
        <v>-52.432626349645702</v>
      </c>
      <c r="Y569">
        <f t="shared" si="441"/>
        <v>-178.84636757051885</v>
      </c>
      <c r="Z569">
        <f t="shared" si="458"/>
        <v>1.1536324294811493</v>
      </c>
      <c r="AC569">
        <v>1</v>
      </c>
      <c r="AD569">
        <f t="shared" si="442"/>
        <v>478.44885263175001</v>
      </c>
      <c r="AE569">
        <f t="shared" si="443"/>
        <v>-6.4031693590108546E-2</v>
      </c>
      <c r="AF569">
        <f t="shared" si="444"/>
        <v>3.6937589741639999E-2</v>
      </c>
      <c r="AG569">
        <f t="shared" si="473"/>
        <v>3222.417125826385</v>
      </c>
      <c r="AH569">
        <f t="shared" si="474"/>
        <v>-5613.1660855689533</v>
      </c>
      <c r="AJ569">
        <f t="shared" si="445"/>
        <v>18000</v>
      </c>
      <c r="AK569">
        <f t="shared" si="446"/>
        <v>207573.19452639003</v>
      </c>
      <c r="AL569">
        <v>1</v>
      </c>
      <c r="AM569">
        <f t="shared" si="447"/>
        <v>453.17693887735504</v>
      </c>
      <c r="AN569">
        <f t="shared" si="475"/>
        <v>458.12548119980914</v>
      </c>
      <c r="AO569">
        <f t="shared" si="476"/>
        <v>-38.708665454725654</v>
      </c>
      <c r="AQ569">
        <f t="shared" si="448"/>
        <v>7.9349329152999073E-4</v>
      </c>
      <c r="AR569">
        <f t="shared" si="449"/>
        <v>-2.8169011849314671</v>
      </c>
      <c r="AT569">
        <f t="shared" si="470"/>
        <v>-15809.177231284455</v>
      </c>
      <c r="AU569">
        <f t="shared" si="471"/>
        <v>-9081.6846297169377</v>
      </c>
      <c r="AV569">
        <f t="shared" si="459"/>
        <v>-2.6201669239246295</v>
      </c>
      <c r="AW569">
        <f t="shared" si="460"/>
        <v>3947.8170077040591</v>
      </c>
      <c r="AX569">
        <f t="shared" si="461"/>
        <v>-7747.5358217961057</v>
      </c>
      <c r="AY569">
        <f t="shared" si="469"/>
        <v>-1.0995317771147883</v>
      </c>
      <c r="BA569">
        <f t="shared" si="450"/>
        <v>2.0967504630854923</v>
      </c>
      <c r="BB569">
        <f t="shared" si="462"/>
        <v>6.4309349521440708</v>
      </c>
      <c r="BC569">
        <f t="shared" si="463"/>
        <v>-1.5206351468098411</v>
      </c>
      <c r="BD569">
        <f t="shared" si="451"/>
        <v>-267.12597619101615</v>
      </c>
      <c r="BF569">
        <f t="shared" si="452"/>
        <v>-68.972377644767661</v>
      </c>
      <c r="BG569">
        <f t="shared" si="453"/>
        <v>-210.66135231073508</v>
      </c>
      <c r="BH569">
        <f t="shared" si="464"/>
        <v>-30.661352310735083</v>
      </c>
      <c r="BI569">
        <f t="shared" si="465"/>
        <v>-30.661352310735083</v>
      </c>
      <c r="BJ569">
        <f t="shared" si="454"/>
        <v>0</v>
      </c>
      <c r="BK569">
        <f t="shared" si="466"/>
        <v>0</v>
      </c>
      <c r="BM569">
        <f t="shared" si="467"/>
        <v>-75.403312596911732</v>
      </c>
      <c r="BN569">
        <f t="shared" si="455"/>
        <v>-123.53537611971893</v>
      </c>
      <c r="BQ569" s="56">
        <f t="shared" si="468"/>
        <v>23.332895752429206</v>
      </c>
    </row>
    <row r="570" spans="1:69" x14ac:dyDescent="0.25">
      <c r="A570">
        <f t="shared" si="472"/>
        <v>1780000</v>
      </c>
      <c r="B570">
        <f t="shared" si="456"/>
        <v>1780</v>
      </c>
      <c r="C570">
        <f t="shared" si="425"/>
        <v>1.8109790981659206</v>
      </c>
      <c r="D570">
        <f t="shared" si="426"/>
        <v>0.98581059280151995</v>
      </c>
      <c r="F570">
        <f t="shared" si="427"/>
        <v>6.2263680950950339E-6</v>
      </c>
      <c r="G570">
        <f t="shared" si="428"/>
        <v>9.7595701386302906E-4</v>
      </c>
      <c r="H570">
        <f t="shared" si="429"/>
        <v>-3.140616692986137</v>
      </c>
      <c r="J570">
        <f t="shared" si="430"/>
        <v>15</v>
      </c>
      <c r="M570">
        <f t="shared" si="431"/>
        <v>1.4998136319048312E-3</v>
      </c>
      <c r="N570">
        <f t="shared" si="432"/>
        <v>-1.5707963250000001</v>
      </c>
      <c r="O570">
        <f t="shared" si="433"/>
        <v>479.79763798573731</v>
      </c>
      <c r="P570">
        <f t="shared" si="434"/>
        <v>1.5687121132748185</v>
      </c>
      <c r="Q570">
        <f t="shared" si="435"/>
        <v>454.45459385601464</v>
      </c>
      <c r="R570">
        <f t="shared" si="436"/>
        <v>1.5685958851655006</v>
      </c>
      <c r="S570">
        <f t="shared" si="437"/>
        <v>8.6151313428961235E-2</v>
      </c>
      <c r="T570">
        <f t="shared" si="438"/>
        <v>-1.4845380859749122</v>
      </c>
      <c r="U570">
        <f t="shared" si="439"/>
        <v>0.49862991248099975</v>
      </c>
      <c r="V570">
        <f t="shared" si="440"/>
        <v>-1.0487788707987309</v>
      </c>
      <c r="X570">
        <f t="shared" si="457"/>
        <v>-52.482687601172174</v>
      </c>
      <c r="Y570">
        <f t="shared" si="441"/>
        <v>-178.85515775994358</v>
      </c>
      <c r="Z570">
        <f t="shared" si="458"/>
        <v>1.1448422400564198</v>
      </c>
      <c r="AC570">
        <v>1</v>
      </c>
      <c r="AD570">
        <f t="shared" si="442"/>
        <v>479.79659587859999</v>
      </c>
      <c r="AE570">
        <f t="shared" si="443"/>
        <v>-6.4392943613060874E-2</v>
      </c>
      <c r="AF570">
        <f t="shared" si="444"/>
        <v>3.7041639290207998E-2</v>
      </c>
      <c r="AG570">
        <f t="shared" si="473"/>
        <v>3208.8338606773555</v>
      </c>
      <c r="AH570">
        <f t="shared" si="474"/>
        <v>-5605.2124536821893</v>
      </c>
      <c r="AJ570">
        <f t="shared" si="445"/>
        <v>18000</v>
      </c>
      <c r="AK570">
        <f t="shared" si="446"/>
        <v>208157.90775040802</v>
      </c>
      <c r="AL570">
        <v>1</v>
      </c>
      <c r="AM570">
        <f t="shared" si="447"/>
        <v>454.453493634756</v>
      </c>
      <c r="AN570">
        <f t="shared" si="475"/>
        <v>458.12500200964075</v>
      </c>
      <c r="AO570">
        <f t="shared" si="476"/>
        <v>-38.599934302823854</v>
      </c>
      <c r="AQ570">
        <f t="shared" si="448"/>
        <v>7.8904172539438473E-4</v>
      </c>
      <c r="AR570">
        <f t="shared" si="449"/>
        <v>-2.8089885424040095</v>
      </c>
      <c r="AT570">
        <f t="shared" si="470"/>
        <v>-15742.445656327602</v>
      </c>
      <c r="AU570">
        <f t="shared" si="471"/>
        <v>-9018.0002956263706</v>
      </c>
      <c r="AV570">
        <f t="shared" si="459"/>
        <v>-2.6213785122446889</v>
      </c>
      <c r="AW570">
        <f t="shared" si="460"/>
        <v>3933.2581943421706</v>
      </c>
      <c r="AX570">
        <f t="shared" si="461"/>
        <v>-7734.4968095026215</v>
      </c>
      <c r="AY570">
        <f t="shared" si="469"/>
        <v>-1.1003444796548059</v>
      </c>
      <c r="BA570">
        <f t="shared" si="450"/>
        <v>2.0908314886902879</v>
      </c>
      <c r="BB570">
        <f t="shared" si="462"/>
        <v>6.4063806421880285</v>
      </c>
      <c r="BC570">
        <f t="shared" si="463"/>
        <v>-1.521034032589883</v>
      </c>
      <c r="BD570">
        <f t="shared" si="451"/>
        <v>-267.14883066274649</v>
      </c>
      <c r="BF570">
        <f t="shared" si="452"/>
        <v>-69.028829579000671</v>
      </c>
      <c r="BG570">
        <f t="shared" si="453"/>
        <v>-210.61012601344413</v>
      </c>
      <c r="BH570">
        <f t="shared" si="464"/>
        <v>-30.61012601344413</v>
      </c>
      <c r="BI570">
        <f t="shared" si="465"/>
        <v>-30.61012601344413</v>
      </c>
      <c r="BJ570">
        <f t="shared" si="454"/>
        <v>0</v>
      </c>
      <c r="BK570">
        <f t="shared" si="466"/>
        <v>0</v>
      </c>
      <c r="BM570">
        <f t="shared" si="467"/>
        <v>-75.435210221188697</v>
      </c>
      <c r="BN570">
        <f t="shared" si="455"/>
        <v>-123.46129535069768</v>
      </c>
      <c r="BQ570" s="56">
        <f t="shared" si="468"/>
        <v>23.308341442473164</v>
      </c>
    </row>
    <row r="571" spans="1:69" x14ac:dyDescent="0.25">
      <c r="A571">
        <f t="shared" si="472"/>
        <v>1785000</v>
      </c>
      <c r="B571">
        <f t="shared" si="456"/>
        <v>1785</v>
      </c>
      <c r="C571">
        <f t="shared" si="425"/>
        <v>1.814516540950097</v>
      </c>
      <c r="D571">
        <f t="shared" si="426"/>
        <v>0.98710124549446354</v>
      </c>
      <c r="F571">
        <f t="shared" si="427"/>
        <v>6.1915351306712508E-6</v>
      </c>
      <c r="G571">
        <f t="shared" si="428"/>
        <v>9.7322320774587221E-4</v>
      </c>
      <c r="H571">
        <f t="shared" si="429"/>
        <v>-3.1406194267922545</v>
      </c>
      <c r="J571">
        <f t="shared" si="430"/>
        <v>15</v>
      </c>
      <c r="M571">
        <f t="shared" si="431"/>
        <v>1.4956124732720445E-3</v>
      </c>
      <c r="N571">
        <f t="shared" si="432"/>
        <v>-1.5707963250000001</v>
      </c>
      <c r="O571">
        <f t="shared" si="433"/>
        <v>481.14537831352601</v>
      </c>
      <c r="P571">
        <f t="shared" si="434"/>
        <v>1.568717951391092</v>
      </c>
      <c r="Q571">
        <f t="shared" si="435"/>
        <v>455.7311455315708</v>
      </c>
      <c r="R571">
        <f t="shared" si="436"/>
        <v>1.568602048847731</v>
      </c>
      <c r="S571">
        <f t="shared" si="437"/>
        <v>8.5911776850604082E-2</v>
      </c>
      <c r="T571">
        <f t="shared" si="438"/>
        <v>-1.4847785139614109</v>
      </c>
      <c r="U571">
        <f t="shared" si="439"/>
        <v>0.49757936305677042</v>
      </c>
      <c r="V571">
        <f t="shared" si="440"/>
        <v>-1.0499904139206102</v>
      </c>
      <c r="X571">
        <f t="shared" si="457"/>
        <v>-52.532605994530556</v>
      </c>
      <c r="Y571">
        <f t="shared" si="441"/>
        <v>-178.86386960746736</v>
      </c>
      <c r="Z571">
        <f t="shared" si="458"/>
        <v>1.1361303925326354</v>
      </c>
      <c r="AC571">
        <v>1</v>
      </c>
      <c r="AD571">
        <f t="shared" si="442"/>
        <v>481.14433912545002</v>
      </c>
      <c r="AE571">
        <f t="shared" si="443"/>
        <v>-6.4755209810480024E-2</v>
      </c>
      <c r="AF571">
        <f t="shared" si="444"/>
        <v>3.7145688838775996E-2</v>
      </c>
      <c r="AG571">
        <f t="shared" si="473"/>
        <v>3195.3268996746888</v>
      </c>
      <c r="AH571">
        <f t="shared" si="474"/>
        <v>-5597.2596094237942</v>
      </c>
      <c r="AJ571">
        <f t="shared" si="445"/>
        <v>18000</v>
      </c>
      <c r="AK571">
        <f t="shared" si="446"/>
        <v>208742.62097442601</v>
      </c>
      <c r="AL571">
        <v>1</v>
      </c>
      <c r="AM571">
        <f t="shared" si="447"/>
        <v>455.73004839215702</v>
      </c>
      <c r="AN571">
        <f t="shared" si="475"/>
        <v>458.12452684061208</v>
      </c>
      <c r="AO571">
        <f t="shared" si="476"/>
        <v>-38.491812280204428</v>
      </c>
      <c r="AQ571">
        <f t="shared" si="448"/>
        <v>7.8462751495676579E-4</v>
      </c>
      <c r="AR571">
        <f t="shared" si="449"/>
        <v>-2.801120228395654</v>
      </c>
      <c r="AT571">
        <f t="shared" si="470"/>
        <v>-15676.08997413418</v>
      </c>
      <c r="AU571">
        <f t="shared" si="471"/>
        <v>-8954.8865789134506</v>
      </c>
      <c r="AV571">
        <f t="shared" si="459"/>
        <v>-2.6225850040818193</v>
      </c>
      <c r="AW571">
        <f t="shared" si="460"/>
        <v>3918.779475641818</v>
      </c>
      <c r="AX571">
        <f t="shared" si="461"/>
        <v>-7721.4819807159056</v>
      </c>
      <c r="AY571">
        <f t="shared" si="469"/>
        <v>-1.1011536182157713</v>
      </c>
      <c r="BA571">
        <f t="shared" si="450"/>
        <v>2.0849457796949653</v>
      </c>
      <c r="BB571">
        <f t="shared" si="462"/>
        <v>6.3818953071982527</v>
      </c>
      <c r="BC571">
        <f t="shared" si="463"/>
        <v>-1.521431385866048</v>
      </c>
      <c r="BD571">
        <f t="shared" si="451"/>
        <v>-267.17159732847244</v>
      </c>
      <c r="BF571">
        <f t="shared" si="452"/>
        <v>-69.08509405196169</v>
      </c>
      <c r="BG571">
        <f t="shared" si="453"/>
        <v>-210.55910036251549</v>
      </c>
      <c r="BH571">
        <f t="shared" si="464"/>
        <v>-30.559100362515494</v>
      </c>
      <c r="BI571">
        <f t="shared" si="465"/>
        <v>-30.559100362515494</v>
      </c>
      <c r="BJ571">
        <f t="shared" si="454"/>
        <v>0</v>
      </c>
      <c r="BK571">
        <f t="shared" si="466"/>
        <v>0</v>
      </c>
      <c r="BM571">
        <f t="shared" si="467"/>
        <v>-75.466989359159953</v>
      </c>
      <c r="BN571">
        <f t="shared" si="455"/>
        <v>-123.38750303404305</v>
      </c>
      <c r="BQ571" s="56">
        <f t="shared" si="468"/>
        <v>23.283856107483388</v>
      </c>
    </row>
    <row r="572" spans="1:69" x14ac:dyDescent="0.25">
      <c r="A572">
        <f t="shared" si="472"/>
        <v>1790000</v>
      </c>
      <c r="B572">
        <f t="shared" si="456"/>
        <v>1790</v>
      </c>
      <c r="C572">
        <f t="shared" si="425"/>
        <v>1.8180569945623588</v>
      </c>
      <c r="D572">
        <f t="shared" si="426"/>
        <v>0.98838687353135146</v>
      </c>
      <c r="F572">
        <f t="shared" si="427"/>
        <v>6.1569936569997051E-6</v>
      </c>
      <c r="G572">
        <f t="shared" si="428"/>
        <v>9.7050467456371063E-4</v>
      </c>
      <c r="H572">
        <f t="shared" si="429"/>
        <v>-3.1406221453254366</v>
      </c>
      <c r="J572">
        <f t="shared" si="430"/>
        <v>15</v>
      </c>
      <c r="M572">
        <f t="shared" si="431"/>
        <v>1.4914347847992178E-3</v>
      </c>
      <c r="N572">
        <f t="shared" si="432"/>
        <v>-1.5707963250000001</v>
      </c>
      <c r="O572">
        <f t="shared" si="433"/>
        <v>482.49311865762229</v>
      </c>
      <c r="P572">
        <f t="shared" si="434"/>
        <v>1.5687237568923313</v>
      </c>
      <c r="Q572">
        <f t="shared" si="435"/>
        <v>457.00769722434387</v>
      </c>
      <c r="R572">
        <f t="shared" si="436"/>
        <v>1.5686081780961481</v>
      </c>
      <c r="S572">
        <f t="shared" si="437"/>
        <v>8.5673563690801507E-2</v>
      </c>
      <c r="T572">
        <f t="shared" si="438"/>
        <v>-1.4850176086611004</v>
      </c>
      <c r="U572">
        <f t="shared" si="439"/>
        <v>0.4965325068344727</v>
      </c>
      <c r="V572">
        <f t="shared" si="440"/>
        <v>-1.0511968608808739</v>
      </c>
      <c r="X572">
        <f t="shared" si="457"/>
        <v>-52.582382321720004</v>
      </c>
      <c r="Y572">
        <f t="shared" si="441"/>
        <v>-178.87250393285851</v>
      </c>
      <c r="Z572">
        <f t="shared" si="458"/>
        <v>1.1274960671414931</v>
      </c>
      <c r="AC572">
        <v>1</v>
      </c>
      <c r="AD572">
        <f t="shared" si="442"/>
        <v>482.49208237229999</v>
      </c>
      <c r="AE572">
        <f t="shared" si="443"/>
        <v>-6.5118492182365983E-2</v>
      </c>
      <c r="AF572">
        <f t="shared" si="444"/>
        <v>3.7249738387344002E-2</v>
      </c>
      <c r="AG572">
        <f t="shared" si="473"/>
        <v>3181.8957597377394</v>
      </c>
      <c r="AH572">
        <f t="shared" si="474"/>
        <v>-5589.3078225302033</v>
      </c>
      <c r="AJ572">
        <f t="shared" si="445"/>
        <v>18000</v>
      </c>
      <c r="AK572">
        <f t="shared" si="446"/>
        <v>209327.33419844403</v>
      </c>
      <c r="AL572">
        <v>1</v>
      </c>
      <c r="AM572">
        <f t="shared" si="447"/>
        <v>457.00660314955803</v>
      </c>
      <c r="AN572">
        <f t="shared" si="475"/>
        <v>458.12405564785774</v>
      </c>
      <c r="AO572">
        <f t="shared" si="476"/>
        <v>-38.384294282530227</v>
      </c>
      <c r="AQ572">
        <f t="shared" si="448"/>
        <v>7.8025024341856972E-4</v>
      </c>
      <c r="AR572">
        <f t="shared" si="449"/>
        <v>-2.7932958714384797</v>
      </c>
      <c r="AT572">
        <f t="shared" si="470"/>
        <v>-15610.107789931348</v>
      </c>
      <c r="AU572">
        <f t="shared" si="471"/>
        <v>-8892.337347812103</v>
      </c>
      <c r="AV572">
        <f t="shared" si="459"/>
        <v>-2.6237864279766621</v>
      </c>
      <c r="AW572">
        <f t="shared" si="460"/>
        <v>3904.3803691939042</v>
      </c>
      <c r="AX572">
        <f t="shared" si="461"/>
        <v>-7708.4914412142371</v>
      </c>
      <c r="AY572">
        <f t="shared" si="469"/>
        <v>-1.1019592083506624</v>
      </c>
      <c r="BA572">
        <f t="shared" si="450"/>
        <v>2.0790930558158291</v>
      </c>
      <c r="BB572">
        <f t="shared" si="462"/>
        <v>6.3574785574124117</v>
      </c>
      <c r="BC572">
        <f t="shared" si="463"/>
        <v>-1.5218272196259996</v>
      </c>
      <c r="BD572">
        <f t="shared" si="451"/>
        <v>-267.1942769323324</v>
      </c>
      <c r="BF572">
        <f t="shared" si="452"/>
        <v>-69.141172260591219</v>
      </c>
      <c r="BG572">
        <f t="shared" si="453"/>
        <v>-210.50827466623184</v>
      </c>
      <c r="BH572">
        <f t="shared" si="464"/>
        <v>-30.508274666231841</v>
      </c>
      <c r="BI572">
        <f t="shared" si="465"/>
        <v>-30.508274666231841</v>
      </c>
      <c r="BJ572">
        <f t="shared" si="454"/>
        <v>0</v>
      </c>
      <c r="BK572">
        <f t="shared" si="466"/>
        <v>0</v>
      </c>
      <c r="BM572">
        <f t="shared" si="467"/>
        <v>-75.49865081800364</v>
      </c>
      <c r="BN572">
        <f t="shared" si="455"/>
        <v>-123.3139977338995</v>
      </c>
      <c r="BQ572" s="56">
        <f t="shared" si="468"/>
        <v>23.259439357697545</v>
      </c>
    </row>
    <row r="573" spans="1:69" x14ac:dyDescent="0.25">
      <c r="A573">
        <f t="shared" si="472"/>
        <v>1795000</v>
      </c>
      <c r="B573">
        <f t="shared" si="456"/>
        <v>1795</v>
      </c>
      <c r="C573">
        <f t="shared" si="425"/>
        <v>1.8216004414472156</v>
      </c>
      <c r="D573">
        <f t="shared" si="426"/>
        <v>0.98966750197235065</v>
      </c>
      <c r="F573">
        <f t="shared" si="427"/>
        <v>6.1227404307687741E-6</v>
      </c>
      <c r="G573">
        <f t="shared" si="428"/>
        <v>9.6780128668450796E-4</v>
      </c>
      <c r="H573">
        <f t="shared" si="429"/>
        <v>-3.1406248487133155</v>
      </c>
      <c r="J573">
        <f t="shared" si="430"/>
        <v>15</v>
      </c>
      <c r="M573">
        <f t="shared" si="431"/>
        <v>1.48728037035688E-3</v>
      </c>
      <c r="N573">
        <f t="shared" si="432"/>
        <v>-1.5707963250000001</v>
      </c>
      <c r="O573">
        <f t="shared" si="433"/>
        <v>483.84085901788978</v>
      </c>
      <c r="P573">
        <f t="shared" si="434"/>
        <v>1.5687295300510837</v>
      </c>
      <c r="Q573">
        <f t="shared" si="435"/>
        <v>458.28424893419009</v>
      </c>
      <c r="R573">
        <f t="shared" si="436"/>
        <v>1.5686142731984971</v>
      </c>
      <c r="S573">
        <f t="shared" si="437"/>
        <v>8.5436663052777903E-2</v>
      </c>
      <c r="T573">
        <f t="shared" si="438"/>
        <v>-1.4852553811067624</v>
      </c>
      <c r="U573">
        <f t="shared" si="439"/>
        <v>0.4954893296663006</v>
      </c>
      <c r="V573">
        <f t="shared" si="440"/>
        <v>-1.0523982402763761</v>
      </c>
      <c r="X573">
        <f t="shared" si="457"/>
        <v>-52.632017368368977</v>
      </c>
      <c r="Y573">
        <f t="shared" si="441"/>
        <v>-178.88106154609633</v>
      </c>
      <c r="Z573">
        <f t="shared" si="458"/>
        <v>1.1189384539036666</v>
      </c>
      <c r="AC573">
        <v>1</v>
      </c>
      <c r="AD573">
        <f t="shared" si="442"/>
        <v>483.83982561915002</v>
      </c>
      <c r="AE573">
        <f t="shared" si="443"/>
        <v>-6.5482790728718751E-2</v>
      </c>
      <c r="AF573">
        <f t="shared" si="444"/>
        <v>3.7353787935912E-2</v>
      </c>
      <c r="AG573">
        <f t="shared" si="473"/>
        <v>3168.539960536295</v>
      </c>
      <c r="AH573">
        <f t="shared" si="474"/>
        <v>-5581.3573581634882</v>
      </c>
      <c r="AJ573">
        <f t="shared" si="445"/>
        <v>18000</v>
      </c>
      <c r="AK573">
        <f t="shared" si="446"/>
        <v>209912.04742246203</v>
      </c>
      <c r="AL573">
        <v>1</v>
      </c>
      <c r="AM573">
        <f t="shared" si="447"/>
        <v>458.28315790695899</v>
      </c>
      <c r="AN573">
        <f t="shared" si="475"/>
        <v>458.12358838713567</v>
      </c>
      <c r="AO573">
        <f t="shared" si="476"/>
        <v>-38.277375262335589</v>
      </c>
      <c r="AQ573">
        <f t="shared" si="448"/>
        <v>7.7590949977812869E-4</v>
      </c>
      <c r="AR573">
        <f t="shared" si="449"/>
        <v>-2.785515104203482</v>
      </c>
      <c r="AT573">
        <f t="shared" si="470"/>
        <v>-15544.496722865833</v>
      </c>
      <c r="AU573">
        <f t="shared" si="471"/>
        <v>-8830.3465465420104</v>
      </c>
      <c r="AV573">
        <f t="shared" si="459"/>
        <v>-2.6249828122902565</v>
      </c>
      <c r="AW573">
        <f t="shared" si="460"/>
        <v>3890.0603948674816</v>
      </c>
      <c r="AX573">
        <f t="shared" si="461"/>
        <v>-7695.5252938472804</v>
      </c>
      <c r="AY573">
        <f t="shared" si="469"/>
        <v>-1.102761265579858</v>
      </c>
      <c r="BA573">
        <f t="shared" si="450"/>
        <v>2.073273039912745</v>
      </c>
      <c r="BB573">
        <f t="shared" si="462"/>
        <v>6.3331300063626657</v>
      </c>
      <c r="BC573">
        <f t="shared" si="463"/>
        <v>-1.5222215467103986</v>
      </c>
      <c r="BD573">
        <f t="shared" si="451"/>
        <v>-267.21687021004198</v>
      </c>
      <c r="BF573">
        <f t="shared" si="452"/>
        <v>-69.197065391041747</v>
      </c>
      <c r="BG573">
        <f t="shared" si="453"/>
        <v>-210.45764823177996</v>
      </c>
      <c r="BH573">
        <f t="shared" si="464"/>
        <v>-30.457648231779956</v>
      </c>
      <c r="BI573">
        <f t="shared" si="465"/>
        <v>-30.457648231779956</v>
      </c>
      <c r="BJ573">
        <f t="shared" si="454"/>
        <v>0</v>
      </c>
      <c r="BK573">
        <f t="shared" si="466"/>
        <v>0</v>
      </c>
      <c r="BM573">
        <f t="shared" si="467"/>
        <v>-75.530195397404412</v>
      </c>
      <c r="BN573">
        <f t="shared" si="455"/>
        <v>-123.240778021738</v>
      </c>
      <c r="BQ573" s="56">
        <f t="shared" si="468"/>
        <v>23.235090806647804</v>
      </c>
    </row>
    <row r="574" spans="1:69" x14ac:dyDescent="0.25">
      <c r="A574">
        <f t="shared" si="472"/>
        <v>1800000</v>
      </c>
      <c r="B574">
        <f t="shared" si="456"/>
        <v>1800</v>
      </c>
      <c r="C574">
        <f t="shared" si="425"/>
        <v>1.8251468641707227</v>
      </c>
      <c r="D574">
        <f t="shared" si="426"/>
        <v>0.99094315574869329</v>
      </c>
      <c r="F574">
        <f t="shared" si="427"/>
        <v>6.0887722536506993E-6</v>
      </c>
      <c r="G574">
        <f t="shared" si="428"/>
        <v>9.6511291789440443E-4</v>
      </c>
      <c r="H574">
        <f t="shared" si="429"/>
        <v>-3.1406275370821057</v>
      </c>
      <c r="J574">
        <f t="shared" si="430"/>
        <v>15</v>
      </c>
      <c r="M574">
        <f t="shared" si="431"/>
        <v>1.4831490359947777E-3</v>
      </c>
      <c r="N574">
        <f t="shared" si="432"/>
        <v>-1.5707963250000001</v>
      </c>
      <c r="O574">
        <f t="shared" si="433"/>
        <v>485.18859939419383</v>
      </c>
      <c r="P574">
        <f t="shared" si="434"/>
        <v>1.5687352711368685</v>
      </c>
      <c r="Q574">
        <f t="shared" si="435"/>
        <v>459.56080066096712</v>
      </c>
      <c r="R574">
        <f t="shared" si="436"/>
        <v>1.5686203344393272</v>
      </c>
      <c r="S574">
        <f t="shared" si="437"/>
        <v>8.5201064158610965E-2</v>
      </c>
      <c r="T574">
        <f t="shared" si="438"/>
        <v>-1.4854918422100849</v>
      </c>
      <c r="U574">
        <f t="shared" si="439"/>
        <v>0.49444981741812072</v>
      </c>
      <c r="V574">
        <f t="shared" si="440"/>
        <v>-1.0535945805227511</v>
      </c>
      <c r="X574">
        <f t="shared" si="457"/>
        <v>-52.681511913801835</v>
      </c>
      <c r="Y574">
        <f t="shared" si="441"/>
        <v>-178.88954324750196</v>
      </c>
      <c r="Z574">
        <f t="shared" si="458"/>
        <v>1.1104567524980382</v>
      </c>
      <c r="AC574">
        <v>1</v>
      </c>
      <c r="AD574">
        <f t="shared" si="442"/>
        <v>485.18756886600005</v>
      </c>
      <c r="AE574">
        <f t="shared" si="443"/>
        <v>-6.5848105449538327E-2</v>
      </c>
      <c r="AF574">
        <f t="shared" si="444"/>
        <v>3.7457837484479999E-2</v>
      </c>
      <c r="AG574">
        <f t="shared" si="473"/>
        <v>3155.2590244892635</v>
      </c>
      <c r="AH574">
        <f t="shared" si="474"/>
        <v>-5573.4084769756337</v>
      </c>
      <c r="AJ574">
        <f t="shared" si="445"/>
        <v>18000</v>
      </c>
      <c r="AK574">
        <f t="shared" si="446"/>
        <v>210496.76064648002</v>
      </c>
      <c r="AL574">
        <v>1</v>
      </c>
      <c r="AM574">
        <f t="shared" si="447"/>
        <v>459.55971266436001</v>
      </c>
      <c r="AN574">
        <f t="shared" si="475"/>
        <v>458.12312501481756</v>
      </c>
      <c r="AO574">
        <f t="shared" si="476"/>
        <v>-38.171050228236417</v>
      </c>
      <c r="AQ574">
        <f t="shared" si="448"/>
        <v>7.7160487873419148E-4</v>
      </c>
      <c r="AR574">
        <f t="shared" si="449"/>
        <v>-2.7777775634430895</v>
      </c>
      <c r="AT574">
        <f t="shared" si="470"/>
        <v>-15479.25440598947</v>
      </c>
      <c r="AU574">
        <f t="shared" si="471"/>
        <v>-8768.9081942496177</v>
      </c>
      <c r="AV574">
        <f t="shared" si="459"/>
        <v>-2.6261741852050426</v>
      </c>
      <c r="AW574">
        <f t="shared" si="460"/>
        <v>3875.8190748214865</v>
      </c>
      <c r="AX574">
        <f t="shared" si="461"/>
        <v>-7682.5836385775619</v>
      </c>
      <c r="AY574">
        <f t="shared" si="469"/>
        <v>-1.1035598053900597</v>
      </c>
      <c r="BA574">
        <f t="shared" si="450"/>
        <v>2.0674854579451494</v>
      </c>
      <c r="BB574">
        <f t="shared" si="462"/>
        <v>6.308849270838599</v>
      </c>
      <c r="BC574">
        <f t="shared" si="463"/>
        <v>-1.5226143798149829</v>
      </c>
      <c r="BD574">
        <f t="shared" si="451"/>
        <v>-267.23937788901338</v>
      </c>
      <c r="BF574">
        <f t="shared" si="452"/>
        <v>-69.252774618800373</v>
      </c>
      <c r="BG574">
        <f t="shared" si="453"/>
        <v>-210.4072203653491</v>
      </c>
      <c r="BH574">
        <f t="shared" si="464"/>
        <v>-30.407220365349104</v>
      </c>
      <c r="BI574">
        <f t="shared" si="465"/>
        <v>-30.407220365349104</v>
      </c>
      <c r="BJ574">
        <f t="shared" si="454"/>
        <v>0</v>
      </c>
      <c r="BK574">
        <f t="shared" si="466"/>
        <v>0</v>
      </c>
      <c r="BM574">
        <f t="shared" si="467"/>
        <v>-75.561623889638966</v>
      </c>
      <c r="BN574">
        <f t="shared" si="455"/>
        <v>-123.16784247633578</v>
      </c>
      <c r="BQ574" s="56">
        <f t="shared" si="468"/>
        <v>23.210810071123731</v>
      </c>
    </row>
    <row r="575" spans="1:69" x14ac:dyDescent="0.25">
      <c r="A575">
        <f t="shared" si="472"/>
        <v>1805000</v>
      </c>
      <c r="B575">
        <f t="shared" si="456"/>
        <v>1805</v>
      </c>
      <c r="C575">
        <f t="shared" si="425"/>
        <v>1.8286962454195925</v>
      </c>
      <c r="D575">
        <f t="shared" si="426"/>
        <v>0.99221385966305775</v>
      </c>
      <c r="F575">
        <f t="shared" si="427"/>
        <v>6.0550859715549615E-6</v>
      </c>
      <c r="G575">
        <f t="shared" si="428"/>
        <v>9.6243944337807302E-4</v>
      </c>
      <c r="H575">
        <f t="shared" si="429"/>
        <v>-3.1406302105566222</v>
      </c>
      <c r="J575">
        <f t="shared" si="430"/>
        <v>15</v>
      </c>
      <c r="M575">
        <f t="shared" si="431"/>
        <v>1.4790405899116896E-3</v>
      </c>
      <c r="N575">
        <f t="shared" si="432"/>
        <v>-1.5707963250000001</v>
      </c>
      <c r="O575">
        <f t="shared" si="433"/>
        <v>486.53633978640113</v>
      </c>
      <c r="P575">
        <f t="shared" si="434"/>
        <v>1.5687409804162189</v>
      </c>
      <c r="Q575">
        <f t="shared" si="435"/>
        <v>460.83735240453416</v>
      </c>
      <c r="R575">
        <f t="shared" si="436"/>
        <v>1.5686263621000345</v>
      </c>
      <c r="S575">
        <f t="shared" si="437"/>
        <v>8.4966756347621741E-2</v>
      </c>
      <c r="T575">
        <f t="shared" si="438"/>
        <v>-1.4857270027633152</v>
      </c>
      <c r="U575">
        <f t="shared" si="439"/>
        <v>0.49341395597052951</v>
      </c>
      <c r="V575">
        <f t="shared" si="440"/>
        <v>-1.0547859098554559</v>
      </c>
      <c r="X575">
        <f t="shared" si="457"/>
        <v>-52.730866731104619</v>
      </c>
      <c r="Y575">
        <f t="shared" si="441"/>
        <v>-178.89794982786668</v>
      </c>
      <c r="Z575">
        <f t="shared" si="458"/>
        <v>1.1020501721333176</v>
      </c>
      <c r="AC575">
        <v>1</v>
      </c>
      <c r="AD575">
        <f t="shared" si="442"/>
        <v>486.53531211285002</v>
      </c>
      <c r="AE575">
        <f t="shared" si="443"/>
        <v>-6.621443634482474E-2</v>
      </c>
      <c r="AF575">
        <f t="shared" si="444"/>
        <v>3.7561887033048004E-2</v>
      </c>
      <c r="AG575">
        <f t="shared" si="473"/>
        <v>3142.0524767628986</v>
      </c>
      <c r="AH575">
        <f t="shared" si="474"/>
        <v>-5565.4614351719983</v>
      </c>
      <c r="AJ575">
        <f t="shared" si="445"/>
        <v>18000</v>
      </c>
      <c r="AK575">
        <f t="shared" si="446"/>
        <v>211081.47387049804</v>
      </c>
      <c r="AL575">
        <v>1</v>
      </c>
      <c r="AM575">
        <f t="shared" si="447"/>
        <v>460.83626742176102</v>
      </c>
      <c r="AN575">
        <f t="shared" si="475"/>
        <v>458.12266548787903</v>
      </c>
      <c r="AO575">
        <f t="shared" si="476"/>
        <v>-38.065314244153562</v>
      </c>
      <c r="AQ575">
        <f t="shared" si="448"/>
        <v>7.6733598059131069E-4</v>
      </c>
      <c r="AR575">
        <f t="shared" si="449"/>
        <v>-2.7700828899346313</v>
      </c>
      <c r="AT575">
        <f t="shared" si="470"/>
        <v>-15414.378486242664</v>
      </c>
      <c r="AU575">
        <f t="shared" si="471"/>
        <v>-8708.016383965436</v>
      </c>
      <c r="AV575">
        <f t="shared" si="459"/>
        <v>-2.6273605747258664</v>
      </c>
      <c r="AW575">
        <f t="shared" si="460"/>
        <v>3861.6559335157085</v>
      </c>
      <c r="AX575">
        <f t="shared" si="461"/>
        <v>-7669.6665725215444</v>
      </c>
      <c r="AY575">
        <f t="shared" si="469"/>
        <v>-1.1043548432332542</v>
      </c>
      <c r="BA575">
        <f t="shared" si="450"/>
        <v>2.0617300389287907</v>
      </c>
      <c r="BB575">
        <f t="shared" si="462"/>
        <v>6.2846359708506316</v>
      </c>
      <c r="BC575">
        <f t="shared" si="463"/>
        <v>-1.5230057314926122</v>
      </c>
      <c r="BD575">
        <f t="shared" si="451"/>
        <v>-267.26180068847253</v>
      </c>
      <c r="BF575">
        <f t="shared" si="452"/>
        <v>-69.308301108809701</v>
      </c>
      <c r="BG575">
        <f t="shared" si="453"/>
        <v>-210.35699037222784</v>
      </c>
      <c r="BH575">
        <f t="shared" si="464"/>
        <v>-30.356990372227841</v>
      </c>
      <c r="BI575">
        <f t="shared" si="465"/>
        <v>-30.356990372227841</v>
      </c>
      <c r="BJ575">
        <f t="shared" si="454"/>
        <v>0</v>
      </c>
      <c r="BK575">
        <f t="shared" si="466"/>
        <v>0</v>
      </c>
      <c r="BM575">
        <f t="shared" si="467"/>
        <v>-75.592937079660331</v>
      </c>
      <c r="BN575">
        <f t="shared" si="455"/>
        <v>-123.09518968375535</v>
      </c>
      <c r="BQ575" s="56">
        <f t="shared" si="468"/>
        <v>23.186596771135768</v>
      </c>
    </row>
    <row r="576" spans="1:69" x14ac:dyDescent="0.25">
      <c r="A576">
        <f t="shared" si="472"/>
        <v>1810000</v>
      </c>
      <c r="B576">
        <f t="shared" si="456"/>
        <v>1810</v>
      </c>
      <c r="C576">
        <f t="shared" si="425"/>
        <v>1.8322485680003047</v>
      </c>
      <c r="D576">
        <f t="shared" si="426"/>
        <v>0.99347963838995512</v>
      </c>
      <c r="F576">
        <f t="shared" si="427"/>
        <v>6.0216784738960639E-6</v>
      </c>
      <c r="G576">
        <f t="shared" si="428"/>
        <v>9.5978073969940224E-4</v>
      </c>
      <c r="H576">
        <f t="shared" si="429"/>
        <v>-3.1406328692603007</v>
      </c>
      <c r="J576">
        <f t="shared" si="430"/>
        <v>15</v>
      </c>
      <c r="M576">
        <f t="shared" si="431"/>
        <v>1.4749548424257458E-3</v>
      </c>
      <c r="N576">
        <f t="shared" si="432"/>
        <v>-1.5707963250000001</v>
      </c>
      <c r="O576">
        <f t="shared" si="433"/>
        <v>487.88408019437992</v>
      </c>
      <c r="P576">
        <f t="shared" si="434"/>
        <v>1.5687466581527221</v>
      </c>
      <c r="Q576">
        <f t="shared" si="435"/>
        <v>462.11390416475217</v>
      </c>
      <c r="R576">
        <f t="shared" si="436"/>
        <v>1.5686323564589053</v>
      </c>
      <c r="S576">
        <f t="shared" si="437"/>
        <v>8.473372907479082E-2</v>
      </c>
      <c r="T576">
        <f t="shared" si="438"/>
        <v>-1.4859608734408856</v>
      </c>
      <c r="U576">
        <f t="shared" si="439"/>
        <v>0.49238173121988577</v>
      </c>
      <c r="V576">
        <f t="shared" si="440"/>
        <v>-1.0559722563308069</v>
      </c>
      <c r="X576">
        <f t="shared" si="457"/>
        <v>-52.780082587189924</v>
      </c>
      <c r="Y576">
        <f t="shared" si="441"/>
        <v>-178.90628206857875</v>
      </c>
      <c r="Z576">
        <f t="shared" si="458"/>
        <v>1.0937179314212528</v>
      </c>
      <c r="AC576">
        <v>1</v>
      </c>
      <c r="AD576">
        <f t="shared" si="442"/>
        <v>487.88305535970005</v>
      </c>
      <c r="AE576">
        <f t="shared" si="443"/>
        <v>-6.6581783414577933E-2</v>
      </c>
      <c r="AF576">
        <f t="shared" si="444"/>
        <v>3.7665936581615996E-2</v>
      </c>
      <c r="AG576">
        <f t="shared" si="473"/>
        <v>3128.9198452686169</v>
      </c>
      <c r="AH576">
        <f t="shared" si="474"/>
        <v>-5557.5164845739992</v>
      </c>
      <c r="AJ576">
        <f t="shared" si="445"/>
        <v>18000</v>
      </c>
      <c r="AK576">
        <f t="shared" si="446"/>
        <v>211666.18709451603</v>
      </c>
      <c r="AL576">
        <v>1</v>
      </c>
      <c r="AM576">
        <f t="shared" si="447"/>
        <v>462.11282217916204</v>
      </c>
      <c r="AN576">
        <f t="shared" si="475"/>
        <v>458.12220976388852</v>
      </c>
      <c r="AO576">
        <f t="shared" si="476"/>
        <v>-37.96016242854887</v>
      </c>
      <c r="AQ576">
        <f t="shared" si="448"/>
        <v>7.6310241116705753E-4</v>
      </c>
      <c r="AR576">
        <f t="shared" si="449"/>
        <v>-2.7624307284247482</v>
      </c>
      <c r="AT576">
        <f t="shared" si="470"/>
        <v>-15349.866624436027</v>
      </c>
      <c r="AU576">
        <f t="shared" si="471"/>
        <v>-8647.6652815775142</v>
      </c>
      <c r="AV576">
        <f t="shared" si="459"/>
        <v>-2.6285420086809821</v>
      </c>
      <c r="AW576">
        <f t="shared" si="460"/>
        <v>3847.5704977210403</v>
      </c>
      <c r="AX576">
        <f t="shared" si="461"/>
        <v>-7656.774189990314</v>
      </c>
      <c r="AY576">
        <f t="shared" si="469"/>
        <v>-1.1051463945257065</v>
      </c>
      <c r="BA576">
        <f t="shared" si="450"/>
        <v>2.0560065148931996</v>
      </c>
      <c r="BB576">
        <f t="shared" si="462"/>
        <v>6.2604897295939841</v>
      </c>
      <c r="BC576">
        <f t="shared" si="463"/>
        <v>-1.5233956141552756</v>
      </c>
      <c r="BD576">
        <f t="shared" si="451"/>
        <v>-267.28413931957397</v>
      </c>
      <c r="BF576">
        <f t="shared" si="452"/>
        <v>-69.363646015587165</v>
      </c>
      <c r="BG576">
        <f t="shared" si="453"/>
        <v>-210.30695755689769</v>
      </c>
      <c r="BH576">
        <f t="shared" si="464"/>
        <v>-30.306957556897686</v>
      </c>
      <c r="BI576">
        <f t="shared" si="465"/>
        <v>-30.306957556897686</v>
      </c>
      <c r="BJ576">
        <f t="shared" si="454"/>
        <v>0</v>
      </c>
      <c r="BK576">
        <f t="shared" si="466"/>
        <v>0</v>
      </c>
      <c r="BM576">
        <f t="shared" si="467"/>
        <v>-75.62413574518115</v>
      </c>
      <c r="BN576">
        <f t="shared" si="455"/>
        <v>-123.02281823732372</v>
      </c>
      <c r="BQ576" s="56">
        <f t="shared" si="468"/>
        <v>23.162450529879123</v>
      </c>
    </row>
    <row r="577" spans="1:69" x14ac:dyDescent="0.25">
      <c r="A577">
        <f t="shared" si="472"/>
        <v>1815000</v>
      </c>
      <c r="B577">
        <f t="shared" si="456"/>
        <v>1815</v>
      </c>
      <c r="C577">
        <f t="shared" si="425"/>
        <v>1.8358038148382245</v>
      </c>
      <c r="D577">
        <f t="shared" si="426"/>
        <v>0.9947405164761226</v>
      </c>
      <c r="F577">
        <f t="shared" si="427"/>
        <v>5.9885466928754364E-6</v>
      </c>
      <c r="G577">
        <f t="shared" si="428"/>
        <v>9.5713668478249777E-4</v>
      </c>
      <c r="H577">
        <f t="shared" si="429"/>
        <v>-3.1406355133152175</v>
      </c>
      <c r="J577">
        <f t="shared" si="430"/>
        <v>15</v>
      </c>
      <c r="M577">
        <f t="shared" si="431"/>
        <v>1.4708916059452341E-3</v>
      </c>
      <c r="N577">
        <f t="shared" si="432"/>
        <v>-1.5707963250000001</v>
      </c>
      <c r="O577">
        <f t="shared" si="433"/>
        <v>489.23182061799974</v>
      </c>
      <c r="P577">
        <f t="shared" si="434"/>
        <v>1.5687523046070615</v>
      </c>
      <c r="Q577">
        <f t="shared" si="435"/>
        <v>463.39045594148359</v>
      </c>
      <c r="R577">
        <f t="shared" si="436"/>
        <v>1.5686383177911596</v>
      </c>
      <c r="S577">
        <f t="shared" si="437"/>
        <v>8.4501971909199988E-2</v>
      </c>
      <c r="T577">
        <f t="shared" si="438"/>
        <v>-1.4861934648010122</v>
      </c>
      <c r="U577">
        <f t="shared" si="439"/>
        <v>0.4913531290793155</v>
      </c>
      <c r="V577">
        <f t="shared" si="440"/>
        <v>-1.0571536478270194</v>
      </c>
      <c r="X577">
        <f t="shared" si="457"/>
        <v>-52.829160242861008</v>
      </c>
      <c r="Y577">
        <f t="shared" si="441"/>
        <v>-178.91454074174857</v>
      </c>
      <c r="Z577">
        <f t="shared" si="458"/>
        <v>1.0854592582514329</v>
      </c>
      <c r="AC577">
        <v>1</v>
      </c>
      <c r="AD577">
        <f t="shared" si="442"/>
        <v>489.23079860655002</v>
      </c>
      <c r="AE577">
        <f t="shared" si="443"/>
        <v>-6.6950146658797963E-2</v>
      </c>
      <c r="AF577">
        <f t="shared" si="444"/>
        <v>3.7769986130184001E-2</v>
      </c>
      <c r="AG577">
        <f t="shared" si="473"/>
        <v>3115.8606606603644</v>
      </c>
      <c r="AH577">
        <f t="shared" si="474"/>
        <v>-5549.5738726809368</v>
      </c>
      <c r="AJ577">
        <f t="shared" si="445"/>
        <v>18000</v>
      </c>
      <c r="AK577">
        <f t="shared" si="446"/>
        <v>212250.900318534</v>
      </c>
      <c r="AL577">
        <v>1</v>
      </c>
      <c r="AM577">
        <f t="shared" si="447"/>
        <v>463.389376936563</v>
      </c>
      <c r="AN577">
        <f t="shared" si="475"/>
        <v>458.12175780099841</v>
      </c>
      <c r="AO577">
        <f t="shared" si="476"/>
        <v>-37.855589953673984</v>
      </c>
      <c r="AQ577">
        <f t="shared" si="448"/>
        <v>7.5890378170102358E-4</v>
      </c>
      <c r="AR577">
        <f t="shared" si="449"/>
        <v>-2.7548207275747156</v>
      </c>
      <c r="AT577">
        <f t="shared" si="470"/>
        <v>-15285.716495229903</v>
      </c>
      <c r="AU577">
        <f t="shared" si="471"/>
        <v>-8587.8491248206265</v>
      </c>
      <c r="AV577">
        <f t="shared" si="459"/>
        <v>-2.6297185147230557</v>
      </c>
      <c r="AW577">
        <f t="shared" si="460"/>
        <v>3833.5622965289949</v>
      </c>
      <c r="AX577">
        <f t="shared" si="461"/>
        <v>-7643.9065825297957</v>
      </c>
      <c r="AY577">
        <f t="shared" si="469"/>
        <v>-1.1059344746469875</v>
      </c>
      <c r="BA577">
        <f t="shared" si="450"/>
        <v>2.0503146208398673</v>
      </c>
      <c r="BB577">
        <f t="shared" si="462"/>
        <v>6.2364101734131347</v>
      </c>
      <c r="BC577">
        <f t="shared" si="463"/>
        <v>-1.5237840400760683</v>
      </c>
      <c r="BD577">
        <f t="shared" si="451"/>
        <v>-267.30639448551432</v>
      </c>
      <c r="BF577">
        <f t="shared" si="452"/>
        <v>-69.418810483342639</v>
      </c>
      <c r="BG577">
        <f t="shared" si="453"/>
        <v>-210.25712122312527</v>
      </c>
      <c r="BH577">
        <f t="shared" si="464"/>
        <v>-30.257121223125267</v>
      </c>
      <c r="BI577">
        <f t="shared" si="465"/>
        <v>-30.257121223125267</v>
      </c>
      <c r="BJ577">
        <f t="shared" si="454"/>
        <v>0</v>
      </c>
      <c r="BK577">
        <f t="shared" si="466"/>
        <v>0</v>
      </c>
      <c r="BM577">
        <f t="shared" si="467"/>
        <v>-75.655220656755773</v>
      </c>
      <c r="BN577">
        <f t="shared" si="455"/>
        <v>-122.95072673761096</v>
      </c>
      <c r="BQ577" s="56">
        <f t="shared" si="468"/>
        <v>23.138370973698272</v>
      </c>
    </row>
    <row r="578" spans="1:69" x14ac:dyDescent="0.25">
      <c r="A578">
        <f t="shared" si="472"/>
        <v>1820000</v>
      </c>
      <c r="B578">
        <f t="shared" si="456"/>
        <v>1820</v>
      </c>
      <c r="C578">
        <f t="shared" si="425"/>
        <v>1.8393619689767291</v>
      </c>
      <c r="D578">
        <f t="shared" si="426"/>
        <v>0.99599651834092306</v>
      </c>
      <c r="F578">
        <f t="shared" si="427"/>
        <v>5.955687602777108E-6</v>
      </c>
      <c r="G578">
        <f t="shared" si="428"/>
        <v>9.5450715789299789E-4</v>
      </c>
      <c r="H578">
        <f t="shared" si="429"/>
        <v>-3.1406381428421071</v>
      </c>
      <c r="J578">
        <f t="shared" si="430"/>
        <v>15</v>
      </c>
      <c r="M578">
        <f t="shared" si="431"/>
        <v>1.4668506949398899E-3</v>
      </c>
      <c r="N578">
        <f t="shared" si="432"/>
        <v>-1.5707963250000001</v>
      </c>
      <c r="O578">
        <f t="shared" si="433"/>
        <v>490.57956105713185</v>
      </c>
      <c r="P578">
        <f t="shared" si="434"/>
        <v>1.5687579200370561</v>
      </c>
      <c r="Q578">
        <f t="shared" si="435"/>
        <v>464.66700773459229</v>
      </c>
      <c r="R578">
        <f t="shared" si="436"/>
        <v>1.5686442463689931</v>
      </c>
      <c r="S578">
        <f t="shared" si="437"/>
        <v>8.427147453249885E-2</v>
      </c>
      <c r="T578">
        <f t="shared" si="438"/>
        <v>-1.4864247872872702</v>
      </c>
      <c r="U578">
        <f t="shared" si="439"/>
        <v>0.49032813547969289</v>
      </c>
      <c r="V578">
        <f t="shared" si="440"/>
        <v>-1.0583301120452442</v>
      </c>
      <c r="X578">
        <f t="shared" si="457"/>
        <v>-52.878100452874989</v>
      </c>
      <c r="Y578">
        <f t="shared" si="441"/>
        <v>-178.92272661033147</v>
      </c>
      <c r="Z578">
        <f t="shared" si="458"/>
        <v>1.0772733896685338</v>
      </c>
      <c r="AC578">
        <v>1</v>
      </c>
      <c r="AD578">
        <f t="shared" si="442"/>
        <v>490.57854185340005</v>
      </c>
      <c r="AE578">
        <f t="shared" si="443"/>
        <v>-6.7319526077484801E-2</v>
      </c>
      <c r="AF578">
        <f t="shared" si="444"/>
        <v>3.7874035678751999E-2</v>
      </c>
      <c r="AG578">
        <f t="shared" si="473"/>
        <v>3102.8744563316086</v>
      </c>
      <c r="AH578">
        <f t="shared" si="474"/>
        <v>-5541.6338427310975</v>
      </c>
      <c r="AJ578">
        <f t="shared" si="445"/>
        <v>18000</v>
      </c>
      <c r="AK578">
        <f t="shared" si="446"/>
        <v>212835.61354255199</v>
      </c>
      <c r="AL578">
        <v>1</v>
      </c>
      <c r="AM578">
        <f t="shared" si="447"/>
        <v>464.66593169396401</v>
      </c>
      <c r="AN578">
        <f t="shared" si="475"/>
        <v>458.12130955793515</v>
      </c>
      <c r="AO578">
        <f t="shared" si="476"/>
        <v>-37.75159204483149</v>
      </c>
      <c r="AQ578">
        <f t="shared" si="448"/>
        <v>7.547397087655696E-4</v>
      </c>
      <c r="AR578">
        <f t="shared" si="449"/>
        <v>-2.7472525399066736</v>
      </c>
      <c r="AT578">
        <f t="shared" si="470"/>
        <v>-15221.925787112279</v>
      </c>
      <c r="AU578">
        <f t="shared" si="471"/>
        <v>-8528.562222281098</v>
      </c>
      <c r="AV578">
        <f t="shared" si="459"/>
        <v>-2.6308901203301671</v>
      </c>
      <c r="AW578">
        <f t="shared" si="460"/>
        <v>3819.6308613605534</v>
      </c>
      <c r="AX578">
        <f t="shared" si="461"/>
        <v>-7631.063838960652</v>
      </c>
      <c r="AY578">
        <f t="shared" si="469"/>
        <v>-1.1067190989390352</v>
      </c>
      <c r="BA578">
        <f t="shared" si="450"/>
        <v>2.0446540947011127</v>
      </c>
      <c r="BB578">
        <f t="shared" si="462"/>
        <v>6.2123969317667429</v>
      </c>
      <c r="BC578">
        <f t="shared" si="463"/>
        <v>-1.5241710213911319</v>
      </c>
      <c r="BD578">
        <f t="shared" si="451"/>
        <v>-267.32856688164321</v>
      </c>
      <c r="BF578">
        <f t="shared" si="452"/>
        <v>-69.473795646094572</v>
      </c>
      <c r="BG578">
        <f t="shared" si="453"/>
        <v>-210.20748067405137</v>
      </c>
      <c r="BH578">
        <f t="shared" si="464"/>
        <v>-30.207480674051368</v>
      </c>
      <c r="BI578">
        <f t="shared" si="465"/>
        <v>-30.207480674051368</v>
      </c>
      <c r="BJ578">
        <f t="shared" si="454"/>
        <v>0</v>
      </c>
      <c r="BK578">
        <f t="shared" si="466"/>
        <v>0</v>
      </c>
      <c r="BM578">
        <f t="shared" si="467"/>
        <v>-75.686192577861306</v>
      </c>
      <c r="BN578">
        <f t="shared" si="455"/>
        <v>-122.87891379240816</v>
      </c>
      <c r="BQ578" s="56">
        <f t="shared" si="468"/>
        <v>23.114357732051879</v>
      </c>
    </row>
    <row r="579" spans="1:69" x14ac:dyDescent="0.25">
      <c r="A579">
        <f t="shared" si="472"/>
        <v>1825000</v>
      </c>
      <c r="B579">
        <f t="shared" si="456"/>
        <v>1825</v>
      </c>
      <c r="C579">
        <f t="shared" si="425"/>
        <v>1.8429230135763353</v>
      </c>
      <c r="D579">
        <f t="shared" si="426"/>
        <v>0.99724766827674993</v>
      </c>
      <c r="F579">
        <f t="shared" si="427"/>
        <v>5.9230982192768812E-6</v>
      </c>
      <c r="G579">
        <f t="shared" si="428"/>
        <v>9.5189203961969584E-4</v>
      </c>
      <c r="H579">
        <f t="shared" si="429"/>
        <v>-3.1406407579603806</v>
      </c>
      <c r="J579">
        <f t="shared" si="430"/>
        <v>15</v>
      </c>
      <c r="M579">
        <f t="shared" si="431"/>
        <v>1.4628319259126575E-3</v>
      </c>
      <c r="N579">
        <f t="shared" si="432"/>
        <v>-1.5707963250000001</v>
      </c>
      <c r="O579">
        <f t="shared" si="433"/>
        <v>491.92730151164864</v>
      </c>
      <c r="P579">
        <f t="shared" si="434"/>
        <v>1.5687635046976984</v>
      </c>
      <c r="Q579">
        <f t="shared" si="435"/>
        <v>465.94355954394354</v>
      </c>
      <c r="R579">
        <f t="shared" si="436"/>
        <v>1.5686501424616188</v>
      </c>
      <c r="S579">
        <f t="shared" si="437"/>
        <v>8.4042226737396156E-2</v>
      </c>
      <c r="T579">
        <f t="shared" si="438"/>
        <v>-1.4866548512301396</v>
      </c>
      <c r="U579">
        <f t="shared" si="439"/>
        <v>0.48930673637059552</v>
      </c>
      <c r="V579">
        <f t="shared" si="440"/>
        <v>-1.0595016765106036</v>
      </c>
      <c r="X579">
        <f t="shared" si="457"/>
        <v>-52.926903966005369</v>
      </c>
      <c r="Y579">
        <f t="shared" si="441"/>
        <v>-178.93084042824907</v>
      </c>
      <c r="Z579">
        <f t="shared" si="458"/>
        <v>1.0691595717509301</v>
      </c>
      <c r="AC579">
        <v>1</v>
      </c>
      <c r="AD579">
        <f t="shared" si="442"/>
        <v>491.92628510025008</v>
      </c>
      <c r="AE579">
        <f t="shared" si="443"/>
        <v>-6.7689921670638462E-2</v>
      </c>
      <c r="AF579">
        <f t="shared" si="444"/>
        <v>3.7978085227319998E-2</v>
      </c>
      <c r="AG579">
        <f t="shared" si="473"/>
        <v>3089.9607684119105</v>
      </c>
      <c r="AH579">
        <f t="shared" si="474"/>
        <v>-5533.6966337620279</v>
      </c>
      <c r="AJ579">
        <f t="shared" si="445"/>
        <v>18000</v>
      </c>
      <c r="AK579">
        <f t="shared" si="446"/>
        <v>213420.32676657001</v>
      </c>
      <c r="AL579">
        <v>1</v>
      </c>
      <c r="AM579">
        <f t="shared" si="447"/>
        <v>465.94248645136503</v>
      </c>
      <c r="AN579">
        <f t="shared" si="475"/>
        <v>458.12086499398964</v>
      </c>
      <c r="AO579">
        <f t="shared" si="476"/>
        <v>-37.648163979648217</v>
      </c>
      <c r="AQ579">
        <f t="shared" si="448"/>
        <v>7.5060981417828378E-4</v>
      </c>
      <c r="AR579">
        <f t="shared" si="449"/>
        <v>-2.7397258217507359</v>
      </c>
      <c r="AT579">
        <f t="shared" si="470"/>
        <v>-15158.492202374757</v>
      </c>
      <c r="AU579">
        <f t="shared" si="471"/>
        <v>-8469.7989524168443</v>
      </c>
      <c r="AV579">
        <f t="shared" si="459"/>
        <v>-2.6320568528068136</v>
      </c>
      <c r="AW579">
        <f t="shared" si="460"/>
        <v>3805.775725974313</v>
      </c>
      <c r="AX579">
        <f t="shared" si="461"/>
        <v>-7618.2460454177035</v>
      </c>
      <c r="AY579">
        <f t="shared" si="469"/>
        <v>-1.1075002827052485</v>
      </c>
      <c r="BA579">
        <f t="shared" si="450"/>
        <v>2.0390246772996421</v>
      </c>
      <c r="BB579">
        <f t="shared" si="462"/>
        <v>6.1884496371931093</v>
      </c>
      <c r="BC579">
        <f t="shared" si="463"/>
        <v>-1.5245565701015651</v>
      </c>
      <c r="BD579">
        <f t="shared" si="451"/>
        <v>-267.35065719557298</v>
      </c>
      <c r="BF579">
        <f t="shared" si="452"/>
        <v>-69.528602627784451</v>
      </c>
      <c r="BG579">
        <f t="shared" si="453"/>
        <v>-210.15803521227846</v>
      </c>
      <c r="BH579">
        <f t="shared" si="464"/>
        <v>-30.158035212278463</v>
      </c>
      <c r="BI579">
        <f t="shared" si="465"/>
        <v>-30.158035212278463</v>
      </c>
      <c r="BJ579">
        <f t="shared" si="454"/>
        <v>0</v>
      </c>
      <c r="BK579">
        <f t="shared" si="466"/>
        <v>0</v>
      </c>
      <c r="BM579">
        <f t="shared" si="467"/>
        <v>-75.717052264977568</v>
      </c>
      <c r="BN579">
        <f t="shared" si="455"/>
        <v>-122.80737801670548</v>
      </c>
      <c r="BQ579" s="56">
        <f t="shared" si="468"/>
        <v>23.090410437478248</v>
      </c>
    </row>
    <row r="580" spans="1:69" x14ac:dyDescent="0.25">
      <c r="A580">
        <f t="shared" si="472"/>
        <v>1830000</v>
      </c>
      <c r="B580">
        <f t="shared" si="456"/>
        <v>1830</v>
      </c>
      <c r="C580">
        <f t="shared" si="425"/>
        <v>1.8464869319138362</v>
      </c>
      <c r="D580">
        <f t="shared" si="426"/>
        <v>0.99849399044943798</v>
      </c>
      <c r="F580">
        <f t="shared" si="427"/>
        <v>5.8907755987646982E-6</v>
      </c>
      <c r="G580">
        <f t="shared" si="428"/>
        <v>9.4929121185646206E-4</v>
      </c>
      <c r="H580">
        <f t="shared" si="429"/>
        <v>-3.1406433587881439</v>
      </c>
      <c r="J580">
        <f t="shared" si="430"/>
        <v>15</v>
      </c>
      <c r="M580">
        <f t="shared" si="431"/>
        <v>1.4588351173719124E-3</v>
      </c>
      <c r="N580">
        <f t="shared" si="432"/>
        <v>-1.5707963250000001</v>
      </c>
      <c r="O580">
        <f t="shared" si="433"/>
        <v>493.27504198142407</v>
      </c>
      <c r="P580">
        <f t="shared" si="434"/>
        <v>1.5687690588411953</v>
      </c>
      <c r="Q580">
        <f t="shared" si="435"/>
        <v>467.22011136940432</v>
      </c>
      <c r="R580">
        <f t="shared" si="436"/>
        <v>1.568656006335307</v>
      </c>
      <c r="S580">
        <f t="shared" si="437"/>
        <v>8.3814218426175063E-2</v>
      </c>
      <c r="T580">
        <f t="shared" si="438"/>
        <v>-1.4868836668485297</v>
      </c>
      <c r="U580">
        <f t="shared" si="439"/>
        <v>0.48828891772123567</v>
      </c>
      <c r="V580">
        <f t="shared" si="440"/>
        <v>-1.0606683685732265</v>
      </c>
      <c r="X580">
        <f t="shared" si="457"/>
        <v>-52.975571525103582</v>
      </c>
      <c r="Y580">
        <f t="shared" si="441"/>
        <v>-178.93888294050876</v>
      </c>
      <c r="Z580">
        <f t="shared" si="458"/>
        <v>1.061117059491238</v>
      </c>
      <c r="AC580">
        <v>1</v>
      </c>
      <c r="AD580">
        <f t="shared" si="442"/>
        <v>493.27402834710006</v>
      </c>
      <c r="AE580">
        <f t="shared" si="443"/>
        <v>-6.8061333438258931E-2</v>
      </c>
      <c r="AF580">
        <f t="shared" si="444"/>
        <v>3.8082134775888003E-2</v>
      </c>
      <c r="AG580">
        <f t="shared" si="473"/>
        <v>3077.1191357631324</v>
      </c>
      <c r="AH580">
        <f t="shared" si="474"/>
        <v>-5525.7624806700405</v>
      </c>
      <c r="AJ580">
        <f t="shared" si="445"/>
        <v>18000</v>
      </c>
      <c r="AK580">
        <f t="shared" si="446"/>
        <v>214005.039990588</v>
      </c>
      <c r="AL580">
        <v>1</v>
      </c>
      <c r="AM580">
        <f t="shared" si="447"/>
        <v>467.21904120876604</v>
      </c>
      <c r="AN580">
        <f t="shared" si="475"/>
        <v>458.12042406900832</v>
      </c>
      <c r="AO580">
        <f t="shared" si="476"/>
        <v>-37.545301087360457</v>
      </c>
      <c r="AQ580">
        <f t="shared" si="448"/>
        <v>7.4651372491611235E-4</v>
      </c>
      <c r="AR580">
        <f t="shared" si="449"/>
        <v>-2.7322402331929712</v>
      </c>
      <c r="AT580">
        <f t="shared" si="470"/>
        <v>-15095.413457086834</v>
      </c>
      <c r="AU580">
        <f t="shared" si="471"/>
        <v>-8411.5537625924608</v>
      </c>
      <c r="AV580">
        <f t="shared" si="459"/>
        <v>-2.6332187392849074</v>
      </c>
      <c r="AW580">
        <f t="shared" si="460"/>
        <v>3791.9964264740092</v>
      </c>
      <c r="AX580">
        <f t="shared" si="461"/>
        <v>-7605.453285388965</v>
      </c>
      <c r="AY580">
        <f t="shared" si="469"/>
        <v>-1.108278041209608</v>
      </c>
      <c r="BA580">
        <f t="shared" si="450"/>
        <v>2.0334261123087636</v>
      </c>
      <c r="BB580">
        <f t="shared" si="462"/>
        <v>6.164567925276061</v>
      </c>
      <c r="BC580">
        <f t="shared" si="463"/>
        <v>-1.5249406980752993</v>
      </c>
      <c r="BD580">
        <f t="shared" si="451"/>
        <v>-267.37266610728602</v>
      </c>
      <c r="BF580">
        <f t="shared" si="452"/>
        <v>-69.583232542389823</v>
      </c>
      <c r="BG580">
        <f t="shared" si="453"/>
        <v>-210.10878413995553</v>
      </c>
      <c r="BH580">
        <f t="shared" si="464"/>
        <v>-30.108784139955532</v>
      </c>
      <c r="BI580">
        <f t="shared" si="465"/>
        <v>-30.108784139955532</v>
      </c>
      <c r="BJ580">
        <f t="shared" si="454"/>
        <v>0</v>
      </c>
      <c r="BK580">
        <f t="shared" si="466"/>
        <v>0</v>
      </c>
      <c r="BM580">
        <f t="shared" si="467"/>
        <v>-75.747800467665883</v>
      </c>
      <c r="BN580">
        <f t="shared" si="455"/>
        <v>-122.73611803266952</v>
      </c>
      <c r="BQ580" s="56">
        <f t="shared" si="468"/>
        <v>23.066528725561199</v>
      </c>
    </row>
    <row r="581" spans="1:69" x14ac:dyDescent="0.25">
      <c r="A581">
        <f t="shared" si="472"/>
        <v>1835000</v>
      </c>
      <c r="B581">
        <f t="shared" si="456"/>
        <v>1835</v>
      </c>
      <c r="C581">
        <f t="shared" si="425"/>
        <v>1.8500537073814431</v>
      </c>
      <c r="D581">
        <f t="shared" si="426"/>
        <v>0.99973550889867979</v>
      </c>
      <c r="F581">
        <f t="shared" si="427"/>
        <v>5.8587168376799162E-6</v>
      </c>
      <c r="G581">
        <f t="shared" si="428"/>
        <v>9.467045577844647E-4</v>
      </c>
      <c r="H581">
        <f t="shared" si="429"/>
        <v>-3.1406459454422158</v>
      </c>
      <c r="J581">
        <f t="shared" si="430"/>
        <v>15</v>
      </c>
      <c r="M581">
        <f t="shared" si="431"/>
        <v>1.4548600898041416E-3</v>
      </c>
      <c r="N581">
        <f t="shared" si="432"/>
        <v>-1.5707963250000001</v>
      </c>
      <c r="O581">
        <f t="shared" si="433"/>
        <v>494.62278246633332</v>
      </c>
      <c r="P581">
        <f t="shared" si="434"/>
        <v>1.5687745827170045</v>
      </c>
      <c r="Q581">
        <f t="shared" si="435"/>
        <v>468.49666321084294</v>
      </c>
      <c r="R581">
        <f t="shared" si="436"/>
        <v>1.5686618382534263</v>
      </c>
      <c r="S581">
        <f t="shared" si="437"/>
        <v>8.3587439609232164E-2</v>
      </c>
      <c r="T581">
        <f t="shared" si="438"/>
        <v>-1.4871112442512775</v>
      </c>
      <c r="U581">
        <f t="shared" si="439"/>
        <v>0.48727466552136756</v>
      </c>
      <c r="V581">
        <f t="shared" si="440"/>
        <v>-1.0618302154092802</v>
      </c>
      <c r="X581">
        <f t="shared" si="457"/>
        <v>-53.024103867159923</v>
      </c>
      <c r="Y581">
        <f t="shared" si="441"/>
        <v>-178.94685488332144</v>
      </c>
      <c r="Z581">
        <f t="shared" si="458"/>
        <v>1.0531451166785644</v>
      </c>
      <c r="AC581">
        <v>1</v>
      </c>
      <c r="AD581">
        <f t="shared" si="442"/>
        <v>494.62177159394997</v>
      </c>
      <c r="AE581">
        <f t="shared" si="443"/>
        <v>-6.8433761380346209E-2</v>
      </c>
      <c r="AF581">
        <f t="shared" si="444"/>
        <v>3.8186184324456002E-2</v>
      </c>
      <c r="AG581">
        <f t="shared" si="473"/>
        <v>3064.3490999752626</v>
      </c>
      <c r="AH581">
        <f t="shared" si="474"/>
        <v>-5517.8316142689773</v>
      </c>
      <c r="AJ581">
        <f t="shared" si="445"/>
        <v>18000</v>
      </c>
      <c r="AK581">
        <f t="shared" si="446"/>
        <v>214589.753214606</v>
      </c>
      <c r="AL581">
        <v>1</v>
      </c>
      <c r="AM581">
        <f t="shared" si="447"/>
        <v>468.495595966167</v>
      </c>
      <c r="AN581">
        <f t="shared" si="475"/>
        <v>458.11998674338378</v>
      </c>
      <c r="AO581">
        <f t="shared" si="476"/>
        <v>-37.442998748110803</v>
      </c>
      <c r="AQ581">
        <f t="shared" si="448"/>
        <v>7.4245107303112551E-4</v>
      </c>
      <c r="AR581">
        <f t="shared" si="449"/>
        <v>-2.724795438024231</v>
      </c>
      <c r="AT581">
        <f t="shared" si="470"/>
        <v>-15032.687281068569</v>
      </c>
      <c r="AU581">
        <f t="shared" si="471"/>
        <v>-8353.8211681290722</v>
      </c>
      <c r="AV581">
        <f t="shared" si="459"/>
        <v>-2.6343758067247798</v>
      </c>
      <c r="AW581">
        <f t="shared" si="460"/>
        <v>3778.2925013153699</v>
      </c>
      <c r="AX581">
        <f t="shared" si="461"/>
        <v>-7592.6856397542851</v>
      </c>
      <c r="AY581">
        <f t="shared" si="469"/>
        <v>-1.1090523896758326</v>
      </c>
      <c r="BA581">
        <f t="shared" si="450"/>
        <v>2.027858146213275</v>
      </c>
      <c r="BB581">
        <f t="shared" si="462"/>
        <v>6.1407514346113707</v>
      </c>
      <c r="BC581">
        <f t="shared" si="463"/>
        <v>-1.5253234170489471</v>
      </c>
      <c r="BD581">
        <f t="shared" si="451"/>
        <v>-267.39459428924067</v>
      </c>
      <c r="BF581">
        <f t="shared" si="452"/>
        <v>-69.637686494035648</v>
      </c>
      <c r="BG581">
        <f t="shared" si="453"/>
        <v>-210.05972675886127</v>
      </c>
      <c r="BH581">
        <f t="shared" si="464"/>
        <v>-30.059726758861274</v>
      </c>
      <c r="BI581">
        <f t="shared" si="465"/>
        <v>-30.059726758861274</v>
      </c>
      <c r="BJ581">
        <f t="shared" si="454"/>
        <v>0</v>
      </c>
      <c r="BK581">
        <f t="shared" si="466"/>
        <v>0</v>
      </c>
      <c r="BM581">
        <f t="shared" si="467"/>
        <v>-75.778437928647008</v>
      </c>
      <c r="BN581">
        <f t="shared" si="455"/>
        <v>-122.66513246962059</v>
      </c>
      <c r="BQ581" s="56">
        <f t="shared" si="468"/>
        <v>23.042712234896506</v>
      </c>
    </row>
    <row r="582" spans="1:69" x14ac:dyDescent="0.25">
      <c r="A582">
        <f t="shared" si="472"/>
        <v>1840000</v>
      </c>
      <c r="B582">
        <f t="shared" si="456"/>
        <v>1840</v>
      </c>
      <c r="C582">
        <f t="shared" si="425"/>
        <v>1.8536233234859325</v>
      </c>
      <c r="D582">
        <f t="shared" si="426"/>
        <v>1.0009722475384473</v>
      </c>
      <c r="F582">
        <f t="shared" si="427"/>
        <v>5.8269190718592043E-6</v>
      </c>
      <c r="G582">
        <f t="shared" si="428"/>
        <v>9.4413196185467833E-4</v>
      </c>
      <c r="H582">
        <f t="shared" si="429"/>
        <v>-3.1406485180381454</v>
      </c>
      <c r="J582">
        <f t="shared" si="430"/>
        <v>15</v>
      </c>
      <c r="M582">
        <f t="shared" si="431"/>
        <v>1.4509066656470651E-3</v>
      </c>
      <c r="N582">
        <f t="shared" si="432"/>
        <v>-1.5707963250000001</v>
      </c>
      <c r="O582">
        <f t="shared" si="433"/>
        <v>495.9705229662531</v>
      </c>
      <c r="P582">
        <f t="shared" si="434"/>
        <v>1.5687800765718718</v>
      </c>
      <c r="Q582">
        <f t="shared" si="435"/>
        <v>469.7732150681291</v>
      </c>
      <c r="R582">
        <f t="shared" si="436"/>
        <v>1.5686676384764824</v>
      </c>
      <c r="S582">
        <f t="shared" si="437"/>
        <v>8.3361880403639788E-2</v>
      </c>
      <c r="T582">
        <f t="shared" si="438"/>
        <v>-1.4873375934386217</v>
      </c>
      <c r="U582">
        <f t="shared" si="439"/>
        <v>0.48626396578217135</v>
      </c>
      <c r="V582">
        <f t="shared" si="440"/>
        <v>-1.0629872440220032</v>
      </c>
      <c r="X582">
        <f t="shared" si="457"/>
        <v>-53.072501723363573</v>
      </c>
      <c r="Y582">
        <f t="shared" si="441"/>
        <v>-178.95475698421762</v>
      </c>
      <c r="Z582">
        <f t="shared" si="458"/>
        <v>1.0452430157823756</v>
      </c>
      <c r="AC582">
        <v>1</v>
      </c>
      <c r="AD582">
        <f t="shared" si="442"/>
        <v>495.9695148408</v>
      </c>
      <c r="AE582">
        <f t="shared" si="443"/>
        <v>-6.8807205496900309E-2</v>
      </c>
      <c r="AF582">
        <f t="shared" si="444"/>
        <v>3.8290233873024E-2</v>
      </c>
      <c r="AG582">
        <f t="shared" si="473"/>
        <v>3051.650205361891</v>
      </c>
      <c r="AH582">
        <f t="shared" si="474"/>
        <v>-5509.9042613481879</v>
      </c>
      <c r="AJ582">
        <f t="shared" si="445"/>
        <v>18000</v>
      </c>
      <c r="AK582">
        <f t="shared" si="446"/>
        <v>215174.46643862402</v>
      </c>
      <c r="AL582">
        <v>1</v>
      </c>
      <c r="AM582">
        <f t="shared" si="447"/>
        <v>469.77215072356802</v>
      </c>
      <c r="AN582">
        <f t="shared" si="475"/>
        <v>458.1195529780461</v>
      </c>
      <c r="AO582">
        <f t="shared" si="476"/>
        <v>-37.341252392256585</v>
      </c>
      <c r="AQ582">
        <f t="shared" si="448"/>
        <v>7.3842149556788345E-4</v>
      </c>
      <c r="AR582">
        <f t="shared" si="449"/>
        <v>-2.7173911036898111</v>
      </c>
      <c r="AT582">
        <f t="shared" si="470"/>
        <v>-14970.311417861552</v>
      </c>
      <c r="AU582">
        <f t="shared" si="471"/>
        <v>-8296.5957513686881</v>
      </c>
      <c r="AV582">
        <f t="shared" si="459"/>
        <v>-2.6355280819161786</v>
      </c>
      <c r="AW582">
        <f t="shared" si="460"/>
        <v>3764.6634913123748</v>
      </c>
      <c r="AX582">
        <f t="shared" si="461"/>
        <v>-7579.9431868235715</v>
      </c>
      <c r="AY582">
        <f t="shared" si="469"/>
        <v>-1.1098233432865623</v>
      </c>
      <c r="BA582">
        <f t="shared" si="450"/>
        <v>2.022320528270976</v>
      </c>
      <c r="BB582">
        <f t="shared" si="462"/>
        <v>6.1169998067735731</v>
      </c>
      <c r="BC582">
        <f t="shared" si="463"/>
        <v>-1.5257047386296163</v>
      </c>
      <c r="BD582">
        <f t="shared" si="451"/>
        <v>-267.4164424064752</v>
      </c>
      <c r="BF582">
        <f t="shared" si="452"/>
        <v>-69.691965577104369</v>
      </c>
      <c r="BG582">
        <f t="shared" si="453"/>
        <v>-210.01086237048474</v>
      </c>
      <c r="BH582">
        <f t="shared" si="464"/>
        <v>-30.010862370484745</v>
      </c>
      <c r="BI582">
        <f t="shared" si="465"/>
        <v>-30.010862370484745</v>
      </c>
      <c r="BJ582">
        <f t="shared" si="454"/>
        <v>0</v>
      </c>
      <c r="BK582">
        <f t="shared" si="466"/>
        <v>0</v>
      </c>
      <c r="BM582">
        <f t="shared" si="467"/>
        <v>-75.808965383877947</v>
      </c>
      <c r="BN582">
        <f t="shared" si="455"/>
        <v>-122.59441996400953</v>
      </c>
      <c r="BQ582" s="56">
        <f t="shared" si="468"/>
        <v>23.018960607058709</v>
      </c>
    </row>
    <row r="583" spans="1:69" x14ac:dyDescent="0.25">
      <c r="A583">
        <f t="shared" si="472"/>
        <v>1845000</v>
      </c>
      <c r="B583">
        <f t="shared" si="456"/>
        <v>1845</v>
      </c>
      <c r="C583">
        <f t="shared" si="425"/>
        <v>1.8571957638477974</v>
      </c>
      <c r="D583">
        <f t="shared" si="426"/>
        <v>1.0022042301574179</v>
      </c>
      <c r="F583">
        <f t="shared" si="427"/>
        <v>5.7953794758968036E-6</v>
      </c>
      <c r="G583">
        <f t="shared" si="428"/>
        <v>9.4157330977067636E-4</v>
      </c>
      <c r="H583">
        <f t="shared" si="429"/>
        <v>-3.1406510766902294</v>
      </c>
      <c r="J583">
        <f t="shared" si="430"/>
        <v>15</v>
      </c>
      <c r="M583">
        <f t="shared" si="431"/>
        <v>1.4469746692631978E-3</v>
      </c>
      <c r="N583">
        <f t="shared" si="432"/>
        <v>-1.5707963250000001</v>
      </c>
      <c r="O583">
        <f t="shared" si="433"/>
        <v>497.31826348106131</v>
      </c>
      <c r="P583">
        <f t="shared" si="434"/>
        <v>1.5687855406498685</v>
      </c>
      <c r="Q583">
        <f t="shared" si="435"/>
        <v>471.04976694113401</v>
      </c>
      <c r="R583">
        <f t="shared" si="436"/>
        <v>1.5686734072621573</v>
      </c>
      <c r="S583">
        <f t="shared" si="437"/>
        <v>8.313753103173098E-2</v>
      </c>
      <c r="T583">
        <f t="shared" si="438"/>
        <v>-1.4875627243036547</v>
      </c>
      <c r="U583">
        <f t="shared" si="439"/>
        <v>0.48525680453711362</v>
      </c>
      <c r="V583">
        <f t="shared" si="440"/>
        <v>-1.0641394812427332</v>
      </c>
      <c r="X583">
        <f t="shared" si="457"/>
        <v>-53.120765819161974</v>
      </c>
      <c r="Y583">
        <f t="shared" si="441"/>
        <v>-178.96258996216179</v>
      </c>
      <c r="Z583">
        <f t="shared" si="458"/>
        <v>1.0374100378382138</v>
      </c>
      <c r="AC583">
        <v>1</v>
      </c>
      <c r="AD583">
        <f t="shared" si="442"/>
        <v>497.31725808764998</v>
      </c>
      <c r="AE583">
        <f t="shared" si="443"/>
        <v>-6.9181665787921218E-2</v>
      </c>
      <c r="AF583">
        <f t="shared" si="444"/>
        <v>3.8394283421591999E-2</v>
      </c>
      <c r="AG583">
        <f t="shared" si="473"/>
        <v>3039.021998955332</v>
      </c>
      <c r="AH583">
        <f t="shared" si="474"/>
        <v>-5501.9806447297642</v>
      </c>
      <c r="AJ583">
        <f t="shared" si="445"/>
        <v>18000</v>
      </c>
      <c r="AK583">
        <f t="shared" si="446"/>
        <v>215759.17966264201</v>
      </c>
      <c r="AL583">
        <v>1</v>
      </c>
      <c r="AM583">
        <f t="shared" si="447"/>
        <v>471.04870548096903</v>
      </c>
      <c r="AN583">
        <f t="shared" si="475"/>
        <v>458.11912273445387</v>
      </c>
      <c r="AO583">
        <f t="shared" si="476"/>
        <v>-37.240057499689399</v>
      </c>
      <c r="AQ583">
        <f t="shared" si="448"/>
        <v>7.3442463448236759E-4</v>
      </c>
      <c r="AR583">
        <f t="shared" si="449"/>
        <v>-2.7100269012399365</v>
      </c>
      <c r="AT583">
        <f t="shared" si="470"/>
        <v>-14908.283624698344</v>
      </c>
      <c r="AU583">
        <f t="shared" si="471"/>
        <v>-8239.8721607528496</v>
      </c>
      <c r="AV583">
        <f t="shared" si="459"/>
        <v>-2.636675591479265</v>
      </c>
      <c r="AW583">
        <f t="shared" si="460"/>
        <v>3751.1089396428988</v>
      </c>
      <c r="AX583">
        <f t="shared" si="461"/>
        <v>-7567.2260023745948</v>
      </c>
      <c r="AY583">
        <f t="shared" si="469"/>
        <v>-1.1105909171825703</v>
      </c>
      <c r="BA583">
        <f t="shared" si="450"/>
        <v>2.0168130104748236</v>
      </c>
      <c r="BB583">
        <f t="shared" si="462"/>
        <v>6.0933126862832756</v>
      </c>
      <c r="BC583">
        <f t="shared" si="463"/>
        <v>-1.5260846742966947</v>
      </c>
      <c r="BD583">
        <f t="shared" si="451"/>
        <v>-267.43821111671019</v>
      </c>
      <c r="BF583">
        <f t="shared" si="452"/>
        <v>-69.746070876344376</v>
      </c>
      <c r="BG583">
        <f t="shared" si="453"/>
        <v>-209.96219027610437</v>
      </c>
      <c r="BH583">
        <f t="shared" si="464"/>
        <v>-29.962190276104366</v>
      </c>
      <c r="BI583">
        <f t="shared" si="465"/>
        <v>-29.962190276104366</v>
      </c>
      <c r="BJ583">
        <f t="shared" si="454"/>
        <v>0</v>
      </c>
      <c r="BK583">
        <f t="shared" si="466"/>
        <v>0</v>
      </c>
      <c r="BM583">
        <f t="shared" si="467"/>
        <v>-75.839383562627646</v>
      </c>
      <c r="BN583">
        <f t="shared" si="455"/>
        <v>-122.5239791593942</v>
      </c>
      <c r="BQ583" s="56">
        <f t="shared" si="468"/>
        <v>22.995273486568411</v>
      </c>
    </row>
    <row r="584" spans="1:69" x14ac:dyDescent="0.25">
      <c r="A584">
        <f t="shared" si="472"/>
        <v>1850000</v>
      </c>
      <c r="B584">
        <f t="shared" si="456"/>
        <v>1850</v>
      </c>
      <c r="C584">
        <f t="shared" si="425"/>
        <v>1.8607710122004089</v>
      </c>
      <c r="D584">
        <f t="shared" si="426"/>
        <v>1.0034314804194062</v>
      </c>
      <c r="F584">
        <f t="shared" si="427"/>
        <v>5.7640952625168616E-6</v>
      </c>
      <c r="G584">
        <f t="shared" si="428"/>
        <v>9.3902848847170401E-4</v>
      </c>
      <c r="H584">
        <f t="shared" si="429"/>
        <v>-3.1406536215115284</v>
      </c>
      <c r="J584">
        <f t="shared" si="430"/>
        <v>15</v>
      </c>
      <c r="M584">
        <f t="shared" si="431"/>
        <v>1.4430639269138376E-3</v>
      </c>
      <c r="N584">
        <f t="shared" si="432"/>
        <v>-1.5707963250000001</v>
      </c>
      <c r="O584">
        <f t="shared" si="433"/>
        <v>498.66600401063732</v>
      </c>
      <c r="P584">
        <f t="shared" si="434"/>
        <v>1.5687909751924278</v>
      </c>
      <c r="Q584">
        <f t="shared" si="435"/>
        <v>472.32631882973021</v>
      </c>
      <c r="R584">
        <f t="shared" si="436"/>
        <v>1.5686791448653472</v>
      </c>
      <c r="S584">
        <f t="shared" si="437"/>
        <v>8.2914381819706895E-2</v>
      </c>
      <c r="T584">
        <f t="shared" si="438"/>
        <v>-1.4877866466337493</v>
      </c>
      <c r="U584">
        <f t="shared" si="439"/>
        <v>0.48425316784278588</v>
      </c>
      <c r="V584">
        <f t="shared" si="440"/>
        <v>-1.0652869537319365</v>
      </c>
      <c r="X584">
        <f t="shared" si="457"/>
        <v>-53.168896874319344</v>
      </c>
      <c r="Y584">
        <f t="shared" si="441"/>
        <v>-178.97035452766477</v>
      </c>
      <c r="Z584">
        <f t="shared" si="458"/>
        <v>1.0296454723352326</v>
      </c>
      <c r="AC584">
        <v>1</v>
      </c>
      <c r="AD584">
        <f t="shared" si="442"/>
        <v>498.6650013345</v>
      </c>
      <c r="AE584">
        <f t="shared" si="443"/>
        <v>-6.9557142253408935E-2</v>
      </c>
      <c r="AF584">
        <f t="shared" si="444"/>
        <v>3.8498332970159997E-2</v>
      </c>
      <c r="AG584">
        <f t="shared" si="473"/>
        <v>3026.4640305014154</v>
      </c>
      <c r="AH584">
        <f t="shared" si="474"/>
        <v>-5494.0609833250464</v>
      </c>
      <c r="AJ584">
        <f t="shared" si="445"/>
        <v>18000</v>
      </c>
      <c r="AK584">
        <f t="shared" si="446"/>
        <v>216343.89288666</v>
      </c>
      <c r="AL584">
        <v>1</v>
      </c>
      <c r="AM584">
        <f t="shared" si="447"/>
        <v>472.32526023837005</v>
      </c>
      <c r="AN584">
        <f t="shared" si="475"/>
        <v>458.11869597458622</v>
      </c>
      <c r="AO584">
        <f t="shared" si="476"/>
        <v>-37.139409599165816</v>
      </c>
      <c r="AQ584">
        <f t="shared" si="448"/>
        <v>7.3046013656244435E-4</v>
      </c>
      <c r="AR584">
        <f t="shared" si="449"/>
        <v>-2.7027025052810441</v>
      </c>
      <c r="AT584">
        <f t="shared" si="470"/>
        <v>-14846.601672470417</v>
      </c>
      <c r="AU584">
        <f t="shared" si="471"/>
        <v>-8183.6451099153037</v>
      </c>
      <c r="AV584">
        <f t="shared" si="459"/>
        <v>-2.6378183618656124</v>
      </c>
      <c r="AW584">
        <f t="shared" si="460"/>
        <v>3737.628391853777</v>
      </c>
      <c r="AX584">
        <f t="shared" si="461"/>
        <v>-7554.5341596904163</v>
      </c>
      <c r="AY584">
        <f t="shared" si="469"/>
        <v>-1.1113551264620043</v>
      </c>
      <c r="BA584">
        <f t="shared" si="450"/>
        <v>2.0113353475157028</v>
      </c>
      <c r="BB584">
        <f t="shared" si="462"/>
        <v>6.0696897205749138</v>
      </c>
      <c r="BC584">
        <f t="shared" si="463"/>
        <v>-1.5264632354036081</v>
      </c>
      <c r="BD584">
        <f t="shared" si="451"/>
        <v>-267.45990107044889</v>
      </c>
      <c r="BF584">
        <f t="shared" si="452"/>
        <v>-69.800003466976975</v>
      </c>
      <c r="BG584">
        <f t="shared" si="453"/>
        <v>-209.91370977686475</v>
      </c>
      <c r="BH584">
        <f t="shared" si="464"/>
        <v>-29.913709776864749</v>
      </c>
      <c r="BI584">
        <f t="shared" si="465"/>
        <v>-29.913709776864749</v>
      </c>
      <c r="BJ584">
        <f t="shared" si="454"/>
        <v>0</v>
      </c>
      <c r="BK584">
        <f t="shared" si="466"/>
        <v>0</v>
      </c>
      <c r="BM584">
        <f t="shared" si="467"/>
        <v>-75.869693187551889</v>
      </c>
      <c r="BN584">
        <f t="shared" si="455"/>
        <v>-122.45380870641583</v>
      </c>
      <c r="BQ584" s="56">
        <f t="shared" si="468"/>
        <v>22.971650520860049</v>
      </c>
    </row>
    <row r="585" spans="1:69" x14ac:dyDescent="0.25">
      <c r="A585">
        <f t="shared" si="472"/>
        <v>1855000</v>
      </c>
      <c r="B585">
        <f t="shared" si="456"/>
        <v>1855</v>
      </c>
      <c r="C585">
        <f t="shared" ref="C585:C626" si="477">SQRT((A585/Fesr)^2+1)</f>
        <v>1.8643490523891775</v>
      </c>
      <c r="D585">
        <f t="shared" ref="D585:D614" si="478">ATAN(A585/Fesr)</f>
        <v>1.0046540218638011</v>
      </c>
      <c r="F585">
        <f t="shared" ref="F585:F626" si="479">(Ro/(Ro+Rdcr))/SQRT((A585/(Q*Fo))^2+(1-(A585^2/Fo^2))^2)</f>
        <v>5.7330636819576089E-6</v>
      </c>
      <c r="G585">
        <f t="shared" ref="G585:G614" si="480">-ATAN(A585*Fo/(Q*(Fo^2-A585^2)))</f>
        <v>9.3649738611602533E-4</v>
      </c>
      <c r="H585">
        <f t="shared" ref="H585:H648" si="481">IF(G585&gt;0,G585-Pi,G585)</f>
        <v>-3.1406561526138841</v>
      </c>
      <c r="J585">
        <f t="shared" ref="J585:J648" si="482">Vin/Vramp</f>
        <v>15</v>
      </c>
      <c r="M585">
        <f t="shared" ref="M585:M614" si="483">1/(2*Pi*_Rfb1*(Cc1ea_u+Cc2ea_u)*A585)</f>
        <v>1.4391742667334768E-3</v>
      </c>
      <c r="N585">
        <f t="shared" ref="N585:N648" si="484">-Pi/2</f>
        <v>-1.5707963250000001</v>
      </c>
      <c r="O585">
        <f t="shared" ref="O585:O614" si="485">SQRT(1+(A585/Fz1_u)^2)</f>
        <v>500.0137445548616</v>
      </c>
      <c r="P585">
        <f t="shared" ref="P585:P648" si="486">ATAN2(Fz1_u,A585)</f>
        <v>1.5687963804383791</v>
      </c>
      <c r="Q585">
        <f t="shared" ref="Q585:Q614" si="487">SQRT(1+(A585/Fz2_u)^2)</f>
        <v>473.60287073379158</v>
      </c>
      <c r="R585">
        <f t="shared" ref="R585:R648" si="488">ATAN2(Fz2_u,A585)</f>
        <v>1.5686848515381997</v>
      </c>
      <c r="S585">
        <f t="shared" ref="S585:S614" si="489">1/SQRT(1+(A585/Fp1_u)^2)</f>
        <v>8.2692423196266254E-2</v>
      </c>
      <c r="T585">
        <f t="shared" ref="T585:T648" si="490">-ATAN2(Fp1_u,A585)</f>
        <v>-1.4880093701119648</v>
      </c>
      <c r="U585">
        <f t="shared" ref="U585:U626" si="491">1/SQRT(1+(A585/Fp2_u)^2)</f>
        <v>0.48325304177972034</v>
      </c>
      <c r="V585">
        <f t="shared" ref="V585:V648" si="492">-ATAN2(Fp2_u,A585)</f>
        <v>-1.0664296879802322</v>
      </c>
      <c r="X585">
        <f t="shared" si="457"/>
        <v>-53.216895602974546</v>
      </c>
      <c r="Y585">
        <f t="shared" ref="Y585:Y614" si="493">(180/Pi)*(D585+H585+N585+P585+R585+T585+V585)</f>
        <v>-178.97805138289525</v>
      </c>
      <c r="Z585">
        <f t="shared" si="458"/>
        <v>1.0219486171047549</v>
      </c>
      <c r="AC585">
        <v>1</v>
      </c>
      <c r="AD585">
        <f t="shared" ref="AD585:AD626" si="494">Rcea1_u*Cc1ea_u*A585*2*Pi</f>
        <v>500.01274458135003</v>
      </c>
      <c r="AE585">
        <f t="shared" ref="AE585:AE626" si="495">-Rcea1_u*Cc1ea_u*Cc2ea_u*(A585*2*Pi)^2</f>
        <v>-6.9933634893363475E-2</v>
      </c>
      <c r="AF585">
        <f t="shared" ref="AF585:AF626" si="496">(Cc2ea_u+Cc1ea_u)*A585*2*Pi</f>
        <v>3.8602382518728003E-2</v>
      </c>
      <c r="AG585">
        <f t="shared" si="473"/>
        <v>3013.9758524539448</v>
      </c>
      <c r="AH585">
        <f t="shared" si="474"/>
        <v>-5486.1454921903751</v>
      </c>
      <c r="AJ585">
        <f t="shared" ref="AJ585:AJ648" si="497">_Rfb1</f>
        <v>18000</v>
      </c>
      <c r="AK585">
        <f t="shared" ref="AK585:AK626" si="498">_Rfb1*Rcea2_u*Cc3ea_u*A585*2*Pi</f>
        <v>216928.60611067803</v>
      </c>
      <c r="AL585">
        <v>1</v>
      </c>
      <c r="AM585">
        <f t="shared" ref="AM585:AM626" si="499">(_Rfb1+Rcea2_u)*Cc3ea_u*A585*2*Pi</f>
        <v>473.60181499577101</v>
      </c>
      <c r="AN585">
        <f t="shared" si="475"/>
        <v>458.11827266093366</v>
      </c>
      <c r="AO585">
        <f t="shared" si="476"/>
        <v>-37.039304267648774</v>
      </c>
      <c r="AQ585">
        <f t="shared" ref="AQ585:AQ626" si="500">Eadcg/(1+(Eadcg*A585/GBP)^2)</f>
        <v>7.2652765334982653E-4</v>
      </c>
      <c r="AR585">
        <f t="shared" ref="AR585:AR626" si="501">-(A585*Eadcg*Eadcg/GBP)/(1+(Eadcg*A585/GBP)^2)</f>
        <v>-2.6954175939278562</v>
      </c>
      <c r="AT585">
        <f t="shared" si="470"/>
        <v>-14785.263345694599</v>
      </c>
      <c r="AU585">
        <f t="shared" si="471"/>
        <v>-8127.9093767884478</v>
      </c>
      <c r="AV585">
        <f t="shared" si="459"/>
        <v>-2.6389564193591983</v>
      </c>
      <c r="AW585">
        <f t="shared" si="460"/>
        <v>3724.2213958652974</v>
      </c>
      <c r="AX585">
        <f t="shared" si="461"/>
        <v>-7541.8677295963853</v>
      </c>
      <c r="AY585">
        <f t="shared" si="469"/>
        <v>-1.1121159861796543</v>
      </c>
      <c r="BA585">
        <f t="shared" ref="BA585:BA648" si="502">SQRT(AT585^2+AU585^2)/SQRT(AW585^2+AX585^2)</f>
        <v>2.005887296745803</v>
      </c>
      <c r="BB585">
        <f t="shared" si="462"/>
        <v>6.0461305599649409</v>
      </c>
      <c r="BC585">
        <f t="shared" si="463"/>
        <v>-1.526840433179544</v>
      </c>
      <c r="BD585">
        <f t="shared" ref="BD585:BD648" si="503">BC585*180/Pi-180</f>
        <v>-267.48151291107649</v>
      </c>
      <c r="BF585">
        <f t="shared" ref="BF585:BF648" si="504">20*LOG(BA585*J585*F585*C585)</f>
        <v>-69.8537644148021</v>
      </c>
      <c r="BG585">
        <f t="shared" ref="BG585:BG648" si="505">(180/Pi)*(D585+H585+BC585)</f>
        <v>-209.86542017385125</v>
      </c>
      <c r="BH585">
        <f t="shared" si="464"/>
        <v>-29.865420173851248</v>
      </c>
      <c r="BI585">
        <f t="shared" si="465"/>
        <v>-29.865420173851248</v>
      </c>
      <c r="BJ585">
        <f t="shared" ref="BJ585:BJ648" si="506">SUM((BF586&lt;0)*(BF585&gt;0))*A585</f>
        <v>0</v>
      </c>
      <c r="BK585">
        <f t="shared" si="466"/>
        <v>0</v>
      </c>
      <c r="BM585">
        <f t="shared" si="467"/>
        <v>-75.899894974767051</v>
      </c>
      <c r="BN585">
        <f t="shared" ref="BN585:BN648" si="507">(H585+D585)*180/Pi</f>
        <v>-122.38390726277481</v>
      </c>
      <c r="BQ585" s="56">
        <f t="shared" si="468"/>
        <v>22.948091360250075</v>
      </c>
    </row>
    <row r="586" spans="1:69" x14ac:dyDescent="0.25">
      <c r="A586">
        <f t="shared" si="472"/>
        <v>1860000</v>
      </c>
      <c r="B586">
        <f t="shared" ref="B586:B649" si="508">A586/1000</f>
        <v>1860</v>
      </c>
      <c r="C586">
        <f t="shared" si="477"/>
        <v>1.8679298683707248</v>
      </c>
      <c r="D586">
        <f t="shared" si="478"/>
        <v>1.005871877906005</v>
      </c>
      <c r="F586">
        <f t="shared" si="479"/>
        <v>5.7022820213670926E-6</v>
      </c>
      <c r="G586">
        <f t="shared" si="480"/>
        <v>9.3397989206453632E-4</v>
      </c>
      <c r="H586">
        <f t="shared" si="481"/>
        <v>-3.1406586701079355</v>
      </c>
      <c r="J586">
        <f t="shared" si="482"/>
        <v>15</v>
      </c>
      <c r="M586">
        <f t="shared" si="483"/>
        <v>1.4353055187046235E-3</v>
      </c>
      <c r="N586">
        <f t="shared" si="484"/>
        <v>-1.5707963250000001</v>
      </c>
      <c r="O586">
        <f t="shared" si="485"/>
        <v>501.36148511361614</v>
      </c>
      <c r="P586">
        <f t="shared" si="486"/>
        <v>1.5688017566239842</v>
      </c>
      <c r="Q586">
        <f t="shared" si="487"/>
        <v>474.87942265319339</v>
      </c>
      <c r="R586">
        <f t="shared" si="488"/>
        <v>1.5686905275301519</v>
      </c>
      <c r="S586">
        <f t="shared" si="489"/>
        <v>8.2471645691256215E-2</v>
      </c>
      <c r="T586">
        <f t="shared" si="490"/>
        <v>-1.488230904318429</v>
      </c>
      <c r="U586">
        <f t="shared" si="491"/>
        <v>0.48225641245318468</v>
      </c>
      <c r="V586">
        <f t="shared" si="492"/>
        <v>-1.0675677103094168</v>
      </c>
      <c r="X586">
        <f t="shared" ref="X586:X614" si="509">20*LOG(C586*J586*O586*Q586*F586*M586*S586*U586)</f>
        <v>-53.264762713698218</v>
      </c>
      <c r="Y586">
        <f t="shared" si="493"/>
        <v>-178.98568122178892</v>
      </c>
      <c r="Z586">
        <f t="shared" ref="Z586:Z649" si="510">Y586+180</f>
        <v>1.0143187782110772</v>
      </c>
      <c r="AC586">
        <v>1</v>
      </c>
      <c r="AD586">
        <f t="shared" si="494"/>
        <v>501.36048782820001</v>
      </c>
      <c r="AE586">
        <f t="shared" si="495"/>
        <v>-7.0311143707784823E-2</v>
      </c>
      <c r="AF586">
        <f t="shared" si="496"/>
        <v>3.8706432067296001E-2</v>
      </c>
      <c r="AG586">
        <f t="shared" si="473"/>
        <v>3001.5570199688545</v>
      </c>
      <c r="AH586">
        <f t="shared" si="474"/>
        <v>-5478.2343825821308</v>
      </c>
      <c r="AJ586">
        <f t="shared" si="497"/>
        <v>18000</v>
      </c>
      <c r="AK586">
        <f t="shared" si="498"/>
        <v>217513.31933469602</v>
      </c>
      <c r="AL586">
        <v>1</v>
      </c>
      <c r="AM586">
        <f t="shared" si="499"/>
        <v>474.87836975317202</v>
      </c>
      <c r="AN586">
        <f t="shared" si="475"/>
        <v>458.11785275649004</v>
      </c>
      <c r="AO586">
        <f t="shared" si="476"/>
        <v>-36.939737129659683</v>
      </c>
      <c r="AQ586">
        <f t="shared" si="500"/>
        <v>7.2262684106350148E-4</v>
      </c>
      <c r="AR586">
        <f t="shared" si="501"/>
        <v>-2.6881718487562254</v>
      </c>
      <c r="AT586">
        <f t="shared" si="470"/>
        <v>-14724.266442478112</v>
      </c>
      <c r="AU586">
        <f t="shared" si="471"/>
        <v>-8072.6598027233931</v>
      </c>
      <c r="AV586">
        <f t="shared" ref="AV586:AV649" si="511">ATAN2(AT586,AU586)</f>
        <v>-2.6400897900773996</v>
      </c>
      <c r="AW586">
        <f t="shared" ref="AW586:AW649" si="512">AG586-AH586*AO586/_Rfb2+AG586*AN586/_Rfb2+AN586-AO586*AR586+AQ586*AN586</f>
        <v>3710.8875019751499</v>
      </c>
      <c r="AX586">
        <f t="shared" ref="AX586:AX649" si="513">AH586+AH586*AN586/_Rfb2+AG586*AO586/_Rfb2+AO586+AO586*AQ586+AN586*AR586</f>
        <v>-7529.2267804967478</v>
      </c>
      <c r="AY586">
        <f t="shared" si="469"/>
        <v>-1.1128735113462467</v>
      </c>
      <c r="BA586">
        <f t="shared" si="502"/>
        <v>2.0004686181425915</v>
      </c>
      <c r="BB586">
        <f t="shared" ref="BB586:BB649" si="514">20*LOG(BA586)</f>
        <v>6.0226348576204458</v>
      </c>
      <c r="BC586">
        <f t="shared" ref="BC586:BC649" si="515">AV586-AY586</f>
        <v>-1.527216278731153</v>
      </c>
      <c r="BD586">
        <f t="shared" si="503"/>
        <v>-267.503047274957</v>
      </c>
      <c r="BF586">
        <f t="shared" si="504"/>
        <v>-69.907354776302512</v>
      </c>
      <c r="BG586">
        <f t="shared" si="505"/>
        <v>-209.81732076816357</v>
      </c>
      <c r="BH586">
        <f t="shared" ref="BH586:BH649" si="516">IF(BG586&gt;180,BG586-180,BG586+180)</f>
        <v>-29.817320768163569</v>
      </c>
      <c r="BI586">
        <f t="shared" ref="BI586:BI649" si="517">IF(BH586&gt;180,BH586-360,BH586)</f>
        <v>-29.817320768163569</v>
      </c>
      <c r="BJ586">
        <f t="shared" si="506"/>
        <v>0</v>
      </c>
      <c r="BK586">
        <f t="shared" ref="BK586:BK649" si="518">IF(BJ586&gt;0,BI586,0)</f>
        <v>0</v>
      </c>
      <c r="BM586">
        <f t="shared" ref="BM586:BM649" si="519">20*LOG(J586*F586*C586)</f>
        <v>-75.929989633922958</v>
      </c>
      <c r="BN586">
        <f t="shared" si="507"/>
        <v>-122.31427349320654</v>
      </c>
      <c r="BQ586" s="56">
        <f t="shared" ref="BQ586:BQ649" si="520">20*LOG(BA586*7)</f>
        <v>22.924595657905584</v>
      </c>
    </row>
    <row r="587" spans="1:69" x14ac:dyDescent="0.25">
      <c r="A587">
        <f t="shared" si="472"/>
        <v>1865000</v>
      </c>
      <c r="B587">
        <f t="shared" si="508"/>
        <v>1865</v>
      </c>
      <c r="C587">
        <f t="shared" si="477"/>
        <v>1.8715134442120587</v>
      </c>
      <c r="D587">
        <f t="shared" si="478"/>
        <v>1.0070850718378799</v>
      </c>
      <c r="F587">
        <f t="shared" si="479"/>
        <v>5.6717476042102502E-6</v>
      </c>
      <c r="G587">
        <f t="shared" si="480"/>
        <v>9.3147589686464469E-4</v>
      </c>
      <c r="H587">
        <f t="shared" si="481"/>
        <v>-3.1406611741031356</v>
      </c>
      <c r="J587">
        <f t="shared" si="482"/>
        <v>15</v>
      </c>
      <c r="M587">
        <f t="shared" si="483"/>
        <v>1.4314575146330295E-3</v>
      </c>
      <c r="N587">
        <f t="shared" si="484"/>
        <v>-1.5707963250000001</v>
      </c>
      <c r="O587">
        <f t="shared" si="485"/>
        <v>502.70922568678395</v>
      </c>
      <c r="P587">
        <f t="shared" si="486"/>
        <v>1.5688071039829712</v>
      </c>
      <c r="Q587">
        <f t="shared" si="487"/>
        <v>476.15597458781241</v>
      </c>
      <c r="R587">
        <f t="shared" si="488"/>
        <v>1.5686961730879656</v>
      </c>
      <c r="S587">
        <f t="shared" si="489"/>
        <v>8.2252039934344531E-2</v>
      </c>
      <c r="T587">
        <f t="shared" si="490"/>
        <v>-1.4884512587316994</v>
      </c>
      <c r="U587">
        <f t="shared" si="491"/>
        <v>0.48126326599395503</v>
      </c>
      <c r="V587">
        <f t="shared" si="492"/>
        <v>-1.0687010468734846</v>
      </c>
      <c r="X587">
        <f t="shared" si="509"/>
        <v>-53.312498909549106</v>
      </c>
      <c r="Y587">
        <f t="shared" si="493"/>
        <v>-178.99324473015633</v>
      </c>
      <c r="Z587">
        <f t="shared" si="510"/>
        <v>1.0067552698436657</v>
      </c>
      <c r="AC587">
        <v>1</v>
      </c>
      <c r="AD587">
        <f t="shared" si="494"/>
        <v>502.70823107505004</v>
      </c>
      <c r="AE587">
        <f t="shared" si="495"/>
        <v>-7.0689668696672966E-2</v>
      </c>
      <c r="AF587">
        <f t="shared" si="496"/>
        <v>3.8810481615864E-2</v>
      </c>
      <c r="AG587">
        <f t="shared" si="473"/>
        <v>2989.20709089805</v>
      </c>
      <c r="AH587">
        <f t="shared" si="474"/>
        <v>-5470.3278620110568</v>
      </c>
      <c r="AJ587">
        <f t="shared" si="497"/>
        <v>18000</v>
      </c>
      <c r="AK587">
        <f t="shared" si="498"/>
        <v>218098.03255871401</v>
      </c>
      <c r="AL587">
        <v>1</v>
      </c>
      <c r="AM587">
        <f t="shared" si="499"/>
        <v>476.15492451057304</v>
      </c>
      <c r="AN587">
        <f t="shared" si="475"/>
        <v>458.11743622474489</v>
      </c>
      <c r="AO587">
        <f t="shared" si="476"/>
        <v>-36.840703856640964</v>
      </c>
      <c r="AQ587">
        <f t="shared" si="500"/>
        <v>7.1875736052459508E-4</v>
      </c>
      <c r="AR587">
        <f t="shared" si="501"/>
        <v>-2.6809649547567398</v>
      </c>
      <c r="AT587">
        <f t="shared" si="470"/>
        <v>-14663.608774482291</v>
      </c>
      <c r="AU587">
        <f t="shared" si="471"/>
        <v>-8017.8912916233194</v>
      </c>
      <c r="AV587">
        <f t="shared" si="511"/>
        <v>-2.6412184999719841</v>
      </c>
      <c r="AW587">
        <f t="shared" si="512"/>
        <v>3697.6262628618288</v>
      </c>
      <c r="AX587">
        <f t="shared" si="513"/>
        <v>-7516.6113784108602</v>
      </c>
      <c r="AY587">
        <f t="shared" ref="AY587:AY650" si="521">ATAN2(AW587,AX587)</f>
        <v>-1.1136277169277664</v>
      </c>
      <c r="BA587">
        <f t="shared" si="502"/>
        <v>1.9950790742733704</v>
      </c>
      <c r="BB587">
        <f t="shared" si="514"/>
        <v>5.9992022695282143</v>
      </c>
      <c r="BC587">
        <f t="shared" si="515"/>
        <v>-1.5275907830442177</v>
      </c>
      <c r="BD587">
        <f t="shared" si="503"/>
        <v>-267.52450479152958</v>
      </c>
      <c r="BF587">
        <f t="shared" si="504"/>
        <v>-69.960775598746551</v>
      </c>
      <c r="BG587">
        <f t="shared" si="505"/>
        <v>-209.76941086098643</v>
      </c>
      <c r="BH587">
        <f t="shared" si="516"/>
        <v>-29.769410860986426</v>
      </c>
      <c r="BI587">
        <f t="shared" si="517"/>
        <v>-29.769410860986426</v>
      </c>
      <c r="BJ587">
        <f t="shared" si="506"/>
        <v>0</v>
      </c>
      <c r="BK587">
        <f t="shared" si="518"/>
        <v>0</v>
      </c>
      <c r="BM587">
        <f t="shared" si="519"/>
        <v>-75.959977868274763</v>
      </c>
      <c r="BN587">
        <f t="shared" si="507"/>
        <v>-122.24490606945683</v>
      </c>
      <c r="BQ587" s="56">
        <f t="shared" si="520"/>
        <v>22.90116306981335</v>
      </c>
    </row>
    <row r="588" spans="1:69" x14ac:dyDescent="0.25">
      <c r="A588">
        <f t="shared" si="472"/>
        <v>1870000</v>
      </c>
      <c r="B588">
        <f t="shared" si="508"/>
        <v>1870</v>
      </c>
      <c r="C588">
        <f t="shared" si="477"/>
        <v>1.8750997640897542</v>
      </c>
      <c r="D588">
        <f t="shared" si="478"/>
        <v>1.0082936268281963</v>
      </c>
      <c r="F588">
        <f t="shared" si="479"/>
        <v>5.6414577896870515E-6</v>
      </c>
      <c r="G588">
        <f t="shared" si="480"/>
        <v>9.2898529223440639E-4</v>
      </c>
      <c r="H588">
        <f t="shared" si="481"/>
        <v>-3.1406636647077657</v>
      </c>
      <c r="J588">
        <f t="shared" si="482"/>
        <v>15</v>
      </c>
      <c r="M588">
        <f t="shared" si="483"/>
        <v>1.4276300881233153E-3</v>
      </c>
      <c r="N588">
        <f t="shared" si="484"/>
        <v>-1.5707963250000001</v>
      </c>
      <c r="O588">
        <f t="shared" si="485"/>
        <v>504.05696627424959</v>
      </c>
      <c r="P588">
        <f t="shared" si="486"/>
        <v>1.5688124227465685</v>
      </c>
      <c r="Q588">
        <f t="shared" si="487"/>
        <v>477.43252653752643</v>
      </c>
      <c r="R588">
        <f t="shared" si="488"/>
        <v>1.5687017884557632</v>
      </c>
      <c r="S588">
        <f t="shared" si="489"/>
        <v>8.2033596653712515E-2</v>
      </c>
      <c r="T588">
        <f t="shared" si="490"/>
        <v>-1.488670442730103</v>
      </c>
      <c r="U588">
        <f t="shared" si="491"/>
        <v>0.48027358855906782</v>
      </c>
      <c r="V588">
        <f t="shared" si="492"/>
        <v>-1.0698297236596466</v>
      </c>
      <c r="X588">
        <f t="shared" si="509"/>
        <v>-53.360104888129769</v>
      </c>
      <c r="Y588">
        <f t="shared" si="493"/>
        <v>-179.00074258578925</v>
      </c>
      <c r="Z588">
        <f t="shared" si="510"/>
        <v>0.99925741421074576</v>
      </c>
      <c r="AC588">
        <v>1</v>
      </c>
      <c r="AD588">
        <f t="shared" si="494"/>
        <v>504.05597432190001</v>
      </c>
      <c r="AE588">
        <f t="shared" si="495"/>
        <v>-7.1069209860027946E-2</v>
      </c>
      <c r="AF588">
        <f t="shared" si="496"/>
        <v>3.8914531164431998E-2</v>
      </c>
      <c r="AG588">
        <f t="shared" si="473"/>
        <v>2976.9256257829534</v>
      </c>
      <c r="AH588">
        <f t="shared" si="474"/>
        <v>-5462.4261342958507</v>
      </c>
      <c r="AJ588">
        <f t="shared" si="497"/>
        <v>18000</v>
      </c>
      <c r="AK588">
        <f t="shared" si="498"/>
        <v>218682.74578273203</v>
      </c>
      <c r="AL588">
        <v>1</v>
      </c>
      <c r="AM588">
        <f t="shared" si="499"/>
        <v>477.431479267974</v>
      </c>
      <c r="AN588">
        <f t="shared" si="475"/>
        <v>458.11702302967529</v>
      </c>
      <c r="AO588">
        <f t="shared" si="476"/>
        <v>-36.742200166328729</v>
      </c>
      <c r="AQ588">
        <f t="shared" si="500"/>
        <v>7.1491887708263909E-4</v>
      </c>
      <c r="AR588">
        <f t="shared" si="501"/>
        <v>-2.6737966002890703</v>
      </c>
      <c r="AT588">
        <f t="shared" si="470"/>
        <v>-14603.288166884869</v>
      </c>
      <c r="AU588">
        <f t="shared" si="471"/>
        <v>-7963.5988090899518</v>
      </c>
      <c r="AV588">
        <f t="shared" si="511"/>
        <v>-2.6423425748300988</v>
      </c>
      <c r="AW588">
        <f t="shared" si="512"/>
        <v>3684.4372335875137</v>
      </c>
      <c r="AX588">
        <f t="shared" si="513"/>
        <v>-7504.0215870089733</v>
      </c>
      <c r="AY588">
        <f t="shared" si="521"/>
        <v>-1.114378617844803</v>
      </c>
      <c r="BA588">
        <f t="shared" si="502"/>
        <v>1.9897184302604052</v>
      </c>
      <c r="BB588">
        <f t="shared" si="514"/>
        <v>5.9758324544641805</v>
      </c>
      <c r="BC588">
        <f t="shared" si="515"/>
        <v>-1.5279639569852959</v>
      </c>
      <c r="BD588">
        <f t="shared" si="503"/>
        <v>-267.54588608340208</v>
      </c>
      <c r="BF588">
        <f t="shared" si="504"/>
        <v>-70.014027920289777</v>
      </c>
      <c r="BG588">
        <f t="shared" si="505"/>
        <v>-209.72168975365909</v>
      </c>
      <c r="BH588">
        <f t="shared" si="516"/>
        <v>-29.721689753659092</v>
      </c>
      <c r="BI588">
        <f t="shared" si="517"/>
        <v>-29.721689753659092</v>
      </c>
      <c r="BJ588">
        <f t="shared" si="506"/>
        <v>0</v>
      </c>
      <c r="BK588">
        <f t="shared" si="518"/>
        <v>0</v>
      </c>
      <c r="BM588">
        <f t="shared" si="519"/>
        <v>-75.98986037475396</v>
      </c>
      <c r="BN588">
        <f t="shared" si="507"/>
        <v>-122.17580367025704</v>
      </c>
      <c r="BQ588" s="56">
        <f t="shared" si="520"/>
        <v>22.877793254749321</v>
      </c>
    </row>
    <row r="589" spans="1:69" x14ac:dyDescent="0.25">
      <c r="A589">
        <f t="shared" si="472"/>
        <v>1875000</v>
      </c>
      <c r="B589">
        <f t="shared" si="508"/>
        <v>1875</v>
      </c>
      <c r="C589">
        <f t="shared" si="477"/>
        <v>1.8786888122891401</v>
      </c>
      <c r="D589">
        <f t="shared" si="478"/>
        <v>1.0094975659230874</v>
      </c>
      <c r="F589">
        <f t="shared" si="479"/>
        <v>5.6114099721615007E-6</v>
      </c>
      <c r="G589">
        <f t="shared" si="480"/>
        <v>9.265079710469163E-4</v>
      </c>
      <c r="H589">
        <f t="shared" si="481"/>
        <v>-3.1406661420289534</v>
      </c>
      <c r="J589">
        <f t="shared" si="482"/>
        <v>15</v>
      </c>
      <c r="M589">
        <f t="shared" si="483"/>
        <v>1.4238230745549864E-3</v>
      </c>
      <c r="N589">
        <f t="shared" si="484"/>
        <v>-1.5707963250000001</v>
      </c>
      <c r="O589">
        <f t="shared" si="485"/>
        <v>505.40470687589846</v>
      </c>
      <c r="P589">
        <f t="shared" si="486"/>
        <v>1.5688177131435379</v>
      </c>
      <c r="Q589">
        <f t="shared" si="487"/>
        <v>478.70907850221477</v>
      </c>
      <c r="R589">
        <f t="shared" si="488"/>
        <v>1.5687073738750636</v>
      </c>
      <c r="S589">
        <f t="shared" si="489"/>
        <v>8.1816306674768191E-2</v>
      </c>
      <c r="T589">
        <f t="shared" si="490"/>
        <v>-1.4888884655930545</v>
      </c>
      <c r="U589">
        <f t="shared" si="491"/>
        <v>0.47928736633255181</v>
      </c>
      <c r="V589">
        <f t="shared" si="492"/>
        <v>-1.070953766489348</v>
      </c>
      <c r="X589">
        <f t="shared" si="509"/>
        <v>-53.407581341641588</v>
      </c>
      <c r="Y589">
        <f t="shared" si="493"/>
        <v>-179.00817545856555</v>
      </c>
      <c r="Z589">
        <f t="shared" si="510"/>
        <v>0.99182454143445398</v>
      </c>
      <c r="AC589">
        <v>1</v>
      </c>
      <c r="AD589">
        <f t="shared" si="494"/>
        <v>505.40371756875004</v>
      </c>
      <c r="AE589">
        <f t="shared" si="495"/>
        <v>-7.1449767197849734E-2</v>
      </c>
      <c r="AF589">
        <f t="shared" si="496"/>
        <v>3.9018580712999996E-2</v>
      </c>
      <c r="AG589">
        <f t="shared" si="473"/>
        <v>2964.7121878477819</v>
      </c>
      <c r="AH589">
        <f t="shared" si="474"/>
        <v>-5454.5293996160872</v>
      </c>
      <c r="AJ589">
        <f t="shared" si="497"/>
        <v>18000</v>
      </c>
      <c r="AK589">
        <f t="shared" si="498"/>
        <v>219267.45900675002</v>
      </c>
      <c r="AL589">
        <v>1</v>
      </c>
      <c r="AM589">
        <f t="shared" si="499"/>
        <v>478.70803402537501</v>
      </c>
      <c r="AN589">
        <f t="shared" si="475"/>
        <v>458.11661313573745</v>
      </c>
      <c r="AO589">
        <f t="shared" si="476"/>
        <v>-36.644221822135563</v>
      </c>
      <c r="AQ589">
        <f t="shared" si="500"/>
        <v>7.1111106054321351E-4</v>
      </c>
      <c r="AR589">
        <f t="shared" si="501"/>
        <v>-2.6666664770370505</v>
      </c>
      <c r="AT589">
        <f t="shared" si="470"/>
        <v>-14543.302458341144</v>
      </c>
      <c r="AU589">
        <f t="shared" si="471"/>
        <v>-7909.777381582976</v>
      </c>
      <c r="AV589">
        <f t="shared" si="511"/>
        <v>-2.6434620402752573</v>
      </c>
      <c r="AW589">
        <f t="shared" si="512"/>
        <v>3671.3199716004651</v>
      </c>
      <c r="AX589">
        <f t="shared" si="513"/>
        <v>-7491.4574676476514</v>
      </c>
      <c r="AY589">
        <f t="shared" si="521"/>
        <v>-1.1151262289719199</v>
      </c>
      <c r="BA589">
        <f t="shared" si="502"/>
        <v>1.9843864537466218</v>
      </c>
      <c r="BB589">
        <f t="shared" si="514"/>
        <v>5.95252507396334</v>
      </c>
      <c r="BC589">
        <f t="shared" si="515"/>
        <v>-1.5283358113033374</v>
      </c>
      <c r="BD589">
        <f t="shared" si="503"/>
        <v>-267.5671917664439</v>
      </c>
      <c r="BF589">
        <f t="shared" si="504"/>
        <v>-70.067112770074942</v>
      </c>
      <c r="BG589">
        <f t="shared" si="505"/>
        <v>-209.67415674774276</v>
      </c>
      <c r="BH589">
        <f t="shared" si="516"/>
        <v>-29.674156747742757</v>
      </c>
      <c r="BI589">
        <f t="shared" si="517"/>
        <v>-29.674156747742757</v>
      </c>
      <c r="BJ589">
        <f t="shared" si="506"/>
        <v>0</v>
      </c>
      <c r="BK589">
        <f t="shared" si="518"/>
        <v>0</v>
      </c>
      <c r="BM589">
        <f t="shared" si="519"/>
        <v>-76.019637844038286</v>
      </c>
      <c r="BN589">
        <f t="shared" si="507"/>
        <v>-122.10696498129884</v>
      </c>
      <c r="BQ589" s="56">
        <f t="shared" si="520"/>
        <v>22.854485874248475</v>
      </c>
    </row>
    <row r="590" spans="1:69" x14ac:dyDescent="0.25">
      <c r="A590">
        <f t="shared" si="472"/>
        <v>1880000</v>
      </c>
      <c r="B590">
        <f t="shared" si="508"/>
        <v>1880</v>
      </c>
      <c r="C590">
        <f t="shared" si="477"/>
        <v>1.8822805732034926</v>
      </c>
      <c r="D590">
        <f t="shared" si="478"/>
        <v>1.0106969120465046</v>
      </c>
      <c r="F590">
        <f t="shared" si="479"/>
        <v>5.5816015806012438E-6</v>
      </c>
      <c r="G590">
        <f t="shared" si="480"/>
        <v>9.2404382731494825E-4</v>
      </c>
      <c r="H590">
        <f t="shared" si="481"/>
        <v>-3.1406686061726852</v>
      </c>
      <c r="J590">
        <f t="shared" si="482"/>
        <v>15</v>
      </c>
      <c r="M590">
        <f t="shared" si="483"/>
        <v>1.4200363110588295E-3</v>
      </c>
      <c r="N590">
        <f t="shared" si="484"/>
        <v>-1.5707963250000001</v>
      </c>
      <c r="O590">
        <f t="shared" si="485"/>
        <v>506.75244749161754</v>
      </c>
      <c r="P590">
        <f t="shared" si="486"/>
        <v>1.5688229754002077</v>
      </c>
      <c r="Q590">
        <f t="shared" si="487"/>
        <v>479.98563048175782</v>
      </c>
      <c r="R590">
        <f t="shared" si="488"/>
        <v>1.5687129295848163</v>
      </c>
      <c r="S590">
        <f t="shared" si="489"/>
        <v>8.1600160918879894E-2</v>
      </c>
      <c r="T590">
        <f t="shared" si="490"/>
        <v>-1.4891053365023534</v>
      </c>
      <c r="U590">
        <f t="shared" si="491"/>
        <v>0.47830458552613997</v>
      </c>
      <c r="V590">
        <f t="shared" si="492"/>
        <v>-1.0720732010192804</v>
      </c>
      <c r="X590">
        <f t="shared" si="509"/>
        <v>-53.454928956939078</v>
      </c>
      <c r="Y590">
        <f t="shared" si="493"/>
        <v>-179.01554401055216</v>
      </c>
      <c r="Z590">
        <f t="shared" si="510"/>
        <v>0.98445598944783796</v>
      </c>
      <c r="AC590">
        <v>1</v>
      </c>
      <c r="AD590">
        <f t="shared" si="494"/>
        <v>506.75146081560001</v>
      </c>
      <c r="AE590">
        <f t="shared" si="495"/>
        <v>-7.1831340710138344E-2</v>
      </c>
      <c r="AF590">
        <f t="shared" si="496"/>
        <v>3.9122630261568002E-2</v>
      </c>
      <c r="AG590">
        <f t="shared" si="473"/>
        <v>2952.5663429925285</v>
      </c>
      <c r="AH590">
        <f t="shared" si="474"/>
        <v>-5446.6378545644138</v>
      </c>
      <c r="AJ590">
        <f t="shared" si="497"/>
        <v>18000</v>
      </c>
      <c r="AK590">
        <f t="shared" si="498"/>
        <v>219852.17223076799</v>
      </c>
      <c r="AL590">
        <v>1</v>
      </c>
      <c r="AM590">
        <f t="shared" si="499"/>
        <v>479.98458878277603</v>
      </c>
      <c r="AN590">
        <f t="shared" si="475"/>
        <v>458.11620650786011</v>
      </c>
      <c r="AO590">
        <f t="shared" si="476"/>
        <v>-36.54676463254318</v>
      </c>
      <c r="AQ590">
        <f t="shared" si="500"/>
        <v>7.073335850969341E-4</v>
      </c>
      <c r="AR590">
        <f t="shared" si="501"/>
        <v>-2.6595742799644722</v>
      </c>
      <c r="AT590">
        <f t="shared" si="470"/>
        <v>-14483.649500943764</v>
      </c>
      <c r="AU590">
        <f t="shared" si="471"/>
        <v>-7856.4220955920819</v>
      </c>
      <c r="AV590">
        <f t="shared" si="511"/>
        <v>-2.6445769217683281</v>
      </c>
      <c r="AW590">
        <f t="shared" si="512"/>
        <v>3658.2740367369011</v>
      </c>
      <c r="AX590">
        <f t="shared" si="513"/>
        <v>-7478.9190794047781</v>
      </c>
      <c r="AY590">
        <f t="shared" si="521"/>
        <v>-1.1158705651370524</v>
      </c>
      <c r="BA590">
        <f t="shared" si="502"/>
        <v>1.9790829148618438</v>
      </c>
      <c r="BB590">
        <f t="shared" si="514"/>
        <v>5.9292797922899965</v>
      </c>
      <c r="BC590">
        <f t="shared" si="515"/>
        <v>-1.5287063566312757</v>
      </c>
      <c r="BD590">
        <f t="shared" si="503"/>
        <v>-267.58842244987733</v>
      </c>
      <c r="BF590">
        <f t="shared" si="504"/>
        <v>-70.120031168330939</v>
      </c>
      <c r="BG590">
        <f t="shared" si="505"/>
        <v>-209.62681114508658</v>
      </c>
      <c r="BH590">
        <f t="shared" si="516"/>
        <v>-29.626811145086577</v>
      </c>
      <c r="BI590">
        <f t="shared" si="517"/>
        <v>-29.626811145086577</v>
      </c>
      <c r="BJ590">
        <f t="shared" si="506"/>
        <v>0</v>
      </c>
      <c r="BK590">
        <f t="shared" si="518"/>
        <v>0</v>
      </c>
      <c r="BM590">
        <f t="shared" si="519"/>
        <v>-76.049310960620929</v>
      </c>
      <c r="BN590">
        <f t="shared" si="507"/>
        <v>-122.03838869520928</v>
      </c>
      <c r="BQ590" s="56">
        <f t="shared" si="520"/>
        <v>22.831240592575135</v>
      </c>
    </row>
    <row r="591" spans="1:69" x14ac:dyDescent="0.25">
      <c r="A591">
        <f t="shared" si="472"/>
        <v>1885000</v>
      </c>
      <c r="B591">
        <f t="shared" si="508"/>
        <v>1885</v>
      </c>
      <c r="C591">
        <f t="shared" si="477"/>
        <v>1.8858750313332315</v>
      </c>
      <c r="D591">
        <f t="shared" si="478"/>
        <v>1.0118916880006803</v>
      </c>
      <c r="F591">
        <f t="shared" si="479"/>
        <v>5.5520300780275764E-6</v>
      </c>
      <c r="G591">
        <f t="shared" si="480"/>
        <v>9.2159275617583998E-4</v>
      </c>
      <c r="H591">
        <f t="shared" si="481"/>
        <v>-3.1406710572438246</v>
      </c>
      <c r="J591">
        <f t="shared" si="482"/>
        <v>15</v>
      </c>
      <c r="M591">
        <f t="shared" si="483"/>
        <v>1.4162696364936869E-3</v>
      </c>
      <c r="N591">
        <f t="shared" si="484"/>
        <v>-1.5707963250000001</v>
      </c>
      <c r="O591">
        <f t="shared" si="485"/>
        <v>508.10018812129488</v>
      </c>
      <c r="P591">
        <f t="shared" si="486"/>
        <v>1.5688282097405051</v>
      </c>
      <c r="Q591">
        <f t="shared" si="487"/>
        <v>481.26218247603754</v>
      </c>
      <c r="R591">
        <f t="shared" si="488"/>
        <v>1.5687184558214351</v>
      </c>
      <c r="S591">
        <f t="shared" si="489"/>
        <v>8.1385150402129083E-2</v>
      </c>
      <c r="T591">
        <f t="shared" si="490"/>
        <v>-1.4893210645434618</v>
      </c>
      <c r="U591">
        <f t="shared" si="491"/>
        <v>0.47732523237996111</v>
      </c>
      <c r="V591">
        <f t="shared" si="492"/>
        <v>-1.0731880527423936</v>
      </c>
      <c r="X591">
        <f t="shared" si="509"/>
        <v>-53.50214841558347</v>
      </c>
      <c r="Y591">
        <f t="shared" si="493"/>
        <v>-179.02284889610709</v>
      </c>
      <c r="Z591">
        <f t="shared" si="510"/>
        <v>0.97715110389290771</v>
      </c>
      <c r="AC591">
        <v>1</v>
      </c>
      <c r="AD591">
        <f t="shared" si="494"/>
        <v>508.09920406245004</v>
      </c>
      <c r="AE591">
        <f t="shared" si="495"/>
        <v>-7.2213930396893763E-2</v>
      </c>
      <c r="AF591">
        <f t="shared" si="496"/>
        <v>3.9226679810136E-2</v>
      </c>
      <c r="AG591">
        <f t="shared" si="473"/>
        <v>2940.4876597856983</v>
      </c>
      <c r="AH591">
        <f t="shared" si="474"/>
        <v>-5438.7516921980796</v>
      </c>
      <c r="AJ591">
        <f t="shared" si="497"/>
        <v>18000</v>
      </c>
      <c r="AK591">
        <f t="shared" si="498"/>
        <v>220436.88545478604</v>
      </c>
      <c r="AL591">
        <v>1</v>
      </c>
      <c r="AM591">
        <f t="shared" si="499"/>
        <v>481.26114354017704</v>
      </c>
      <c r="AN591">
        <f t="shared" si="475"/>
        <v>458.11580311143655</v>
      </c>
      <c r="AO591">
        <f t="shared" si="476"/>
        <v>-36.449824450504636</v>
      </c>
      <c r="AQ591">
        <f t="shared" si="500"/>
        <v>7.0358612924975692E-4</v>
      </c>
      <c r="AR591">
        <f t="shared" si="501"/>
        <v>-2.6525197072715838</v>
      </c>
      <c r="AT591">
        <f t="shared" si="470"/>
        <v>-14424.327160181427</v>
      </c>
      <c r="AU591">
        <f t="shared" si="471"/>
        <v>-7803.5280968215284</v>
      </c>
      <c r="AV591">
        <f t="shared" si="511"/>
        <v>-2.6456872446085127</v>
      </c>
      <c r="AW591">
        <f t="shared" si="512"/>
        <v>3645.2989912224216</v>
      </c>
      <c r="AX591">
        <f t="shared" si="513"/>
        <v>-7466.4064791141573</v>
      </c>
      <c r="AY591">
        <f t="shared" si="521"/>
        <v>-1.1166116411209239</v>
      </c>
      <c r="BA591">
        <f t="shared" si="502"/>
        <v>1.9738075861895843</v>
      </c>
      <c r="BB591">
        <f t="shared" si="514"/>
        <v>5.906096276408487</v>
      </c>
      <c r="BC591">
        <f t="shared" si="515"/>
        <v>-1.5290756034875888</v>
      </c>
      <c r="BD591">
        <f t="shared" si="503"/>
        <v>-267.6095787363667</v>
      </c>
      <c r="BF591">
        <f t="shared" si="504"/>
        <v>-70.172784126470248</v>
      </c>
      <c r="BG591">
        <f t="shared" si="505"/>
        <v>-209.57965224789146</v>
      </c>
      <c r="BH591">
        <f t="shared" si="516"/>
        <v>-29.57965224789146</v>
      </c>
      <c r="BI591">
        <f t="shared" si="517"/>
        <v>-29.57965224789146</v>
      </c>
      <c r="BJ591">
        <f t="shared" si="506"/>
        <v>0</v>
      </c>
      <c r="BK591">
        <f t="shared" si="518"/>
        <v>0</v>
      </c>
      <c r="BM591">
        <f t="shared" si="519"/>
        <v>-76.078880402878738</v>
      </c>
      <c r="BN591">
        <f t="shared" si="507"/>
        <v>-121.97007351152479</v>
      </c>
      <c r="BQ591" s="56">
        <f t="shared" si="520"/>
        <v>22.808057076693622</v>
      </c>
    </row>
    <row r="592" spans="1:69" x14ac:dyDescent="0.25">
      <c r="A592">
        <f>A591+5000</f>
        <v>1890000</v>
      </c>
      <c r="B592">
        <f t="shared" si="508"/>
        <v>1890</v>
      </c>
      <c r="C592">
        <f t="shared" si="477"/>
        <v>1.8894721712851252</v>
      </c>
      <c r="D592">
        <f t="shared" si="478"/>
        <v>1.0130819164665914</v>
      </c>
      <c r="F592">
        <f t="shared" si="479"/>
        <v>5.5226929609756172E-6</v>
      </c>
      <c r="G592">
        <f t="shared" si="480"/>
        <v>9.191546538766162E-4</v>
      </c>
      <c r="H592">
        <f t="shared" si="481"/>
        <v>-3.1406734953461237</v>
      </c>
      <c r="J592">
        <f t="shared" si="482"/>
        <v>15</v>
      </c>
      <c r="M592">
        <f t="shared" si="483"/>
        <v>1.4125228914235977E-3</v>
      </c>
      <c r="N592">
        <f t="shared" si="484"/>
        <v>-1.5707963250000001</v>
      </c>
      <c r="O592">
        <f t="shared" si="485"/>
        <v>509.44792876481961</v>
      </c>
      <c r="P592">
        <f t="shared" si="486"/>
        <v>1.5688334163859872</v>
      </c>
      <c r="Q592">
        <f t="shared" si="487"/>
        <v>482.53873448493687</v>
      </c>
      <c r="R592">
        <f t="shared" si="488"/>
        <v>1.5687239528188328</v>
      </c>
      <c r="S592">
        <f t="shared" si="489"/>
        <v>8.117126623408287E-2</v>
      </c>
      <c r="T592">
        <f t="shared" si="490"/>
        <v>-1.4895356587067621</v>
      </c>
      <c r="U592">
        <f t="shared" si="491"/>
        <v>0.47634929316321256</v>
      </c>
      <c r="V592">
        <f t="shared" si="492"/>
        <v>-1.074298346988904</v>
      </c>
      <c r="X592">
        <f t="shared" si="509"/>
        <v>-53.54924039389573</v>
      </c>
      <c r="Y592">
        <f t="shared" si="493"/>
        <v>-179.03009076197964</v>
      </c>
      <c r="Z592">
        <f t="shared" si="510"/>
        <v>0.96990923802036377</v>
      </c>
      <c r="AC592">
        <v>1</v>
      </c>
      <c r="AD592">
        <f t="shared" si="494"/>
        <v>509.44694730930007</v>
      </c>
      <c r="AE592">
        <f t="shared" si="495"/>
        <v>-7.2597536258116005E-2</v>
      </c>
      <c r="AF592">
        <f t="shared" si="496"/>
        <v>3.9330729358703999E-2</v>
      </c>
      <c r="AG592">
        <f t="shared" si="473"/>
        <v>2928.4757094567672</v>
      </c>
      <c r="AH592">
        <f t="shared" si="474"/>
        <v>-5430.8711020897808</v>
      </c>
      <c r="AJ592">
        <f t="shared" si="497"/>
        <v>18000</v>
      </c>
      <c r="AK592">
        <f t="shared" si="498"/>
        <v>221021.598678804</v>
      </c>
      <c r="AL592">
        <v>1</v>
      </c>
      <c r="AM592">
        <f t="shared" si="499"/>
        <v>482.537698297578</v>
      </c>
      <c r="AN592">
        <f t="shared" si="475"/>
        <v>458.11540291231671</v>
      </c>
      <c r="AO592">
        <f t="shared" si="476"/>
        <v>-36.353397172856148</v>
      </c>
      <c r="AQ592">
        <f t="shared" si="500"/>
        <v>6.9986837575457185E-4</v>
      </c>
      <c r="AR592">
        <f t="shared" si="501"/>
        <v>-2.6455024603522816</v>
      </c>
      <c r="AT592">
        <f t="shared" si="470"/>
        <v>-14365.333314896408</v>
      </c>
      <c r="AU592">
        <f t="shared" si="471"/>
        <v>-7751.0905893869231</v>
      </c>
      <c r="AV592">
        <f t="shared" si="511"/>
        <v>-2.6467930339343315</v>
      </c>
      <c r="AW592">
        <f t="shared" si="512"/>
        <v>3632.3943996729495</v>
      </c>
      <c r="AX592">
        <f t="shared" si="513"/>
        <v>-7453.9197213997404</v>
      </c>
      <c r="AY592">
        <f t="shared" si="521"/>
        <v>-1.1173494716564898</v>
      </c>
      <c r="BA592">
        <f t="shared" si="502"/>
        <v>1.9685602427343614</v>
      </c>
      <c r="BB592">
        <f t="shared" si="514"/>
        <v>5.8829741959542456</v>
      </c>
      <c r="BC592">
        <f t="shared" si="515"/>
        <v>-1.5294435622778417</v>
      </c>
      <c r="BD592">
        <f t="shared" si="503"/>
        <v>-267.63066122210705</v>
      </c>
      <c r="BF592">
        <f t="shared" si="504"/>
        <v>-70.225372647185253</v>
      </c>
      <c r="BG592">
        <f t="shared" si="505"/>
        <v>-209.53267935877278</v>
      </c>
      <c r="BH592">
        <f t="shared" si="516"/>
        <v>-29.532679358772782</v>
      </c>
      <c r="BI592">
        <f t="shared" si="517"/>
        <v>-29.532679358772782</v>
      </c>
      <c r="BJ592">
        <f t="shared" si="506"/>
        <v>0</v>
      </c>
      <c r="BK592">
        <f t="shared" si="518"/>
        <v>0</v>
      </c>
      <c r="BM592">
        <f t="shared" si="519"/>
        <v>-76.1083468431395</v>
      </c>
      <c r="BN592">
        <f t="shared" si="507"/>
        <v>-121.90201813666576</v>
      </c>
      <c r="BQ592" s="56">
        <f t="shared" si="520"/>
        <v>22.784934996239382</v>
      </c>
    </row>
    <row r="593" spans="1:69" x14ac:dyDescent="0.25">
      <c r="A593">
        <f t="shared" ref="A593:A598" si="522">A592+5000</f>
        <v>1895000</v>
      </c>
      <c r="B593">
        <f t="shared" si="508"/>
        <v>1895</v>
      </c>
      <c r="C593">
        <f t="shared" si="477"/>
        <v>1.8930719777714986</v>
      </c>
      <c r="D593">
        <f t="shared" si="478"/>
        <v>1.0142676200044276</v>
      </c>
      <c r="F593">
        <f t="shared" si="479"/>
        <v>5.493587758964442E-6</v>
      </c>
      <c r="G593">
        <f t="shared" si="480"/>
        <v>9.1672941775935014E-4</v>
      </c>
      <c r="H593">
        <f t="shared" si="481"/>
        <v>-3.140675920582241</v>
      </c>
      <c r="J593">
        <f t="shared" si="482"/>
        <v>15</v>
      </c>
      <c r="M593">
        <f t="shared" si="483"/>
        <v>1.4087959180953034E-3</v>
      </c>
      <c r="N593">
        <f t="shared" si="484"/>
        <v>-1.5707963250000001</v>
      </c>
      <c r="O593">
        <f t="shared" si="485"/>
        <v>510.7956694220822</v>
      </c>
      <c r="P593">
        <f t="shared" si="486"/>
        <v>1.568838595555873</v>
      </c>
      <c r="Q593">
        <f t="shared" si="487"/>
        <v>483.81528650834008</v>
      </c>
      <c r="R593">
        <f t="shared" si="488"/>
        <v>1.5687294208084528</v>
      </c>
      <c r="S593">
        <f t="shared" si="489"/>
        <v>8.0958499616585286E-2</v>
      </c>
      <c r="T593">
        <f t="shared" si="490"/>
        <v>-1.4897491278887938</v>
      </c>
      <c r="U593">
        <f t="shared" si="491"/>
        <v>0.47537675417481368</v>
      </c>
      <c r="V593">
        <f t="shared" si="492"/>
        <v>-1.0754041089272994</v>
      </c>
      <c r="X593">
        <f t="shared" si="509"/>
        <v>-53.596205563008859</v>
      </c>
      <c r="Y593">
        <f t="shared" si="493"/>
        <v>-179.03727024740923</v>
      </c>
      <c r="Z593">
        <f t="shared" si="510"/>
        <v>0.96272975259077498</v>
      </c>
      <c r="AC593">
        <v>1</v>
      </c>
      <c r="AD593">
        <f t="shared" si="494"/>
        <v>510.79469055615004</v>
      </c>
      <c r="AE593">
        <f t="shared" si="495"/>
        <v>-7.2982158293805055E-2</v>
      </c>
      <c r="AF593">
        <f t="shared" si="496"/>
        <v>3.9434778907272004E-2</v>
      </c>
      <c r="AG593">
        <f t="shared" si="473"/>
        <v>2916.5300658884175</v>
      </c>
      <c r="AH593">
        <f t="shared" si="474"/>
        <v>-5422.9962703778247</v>
      </c>
      <c r="AJ593">
        <f t="shared" si="497"/>
        <v>18000</v>
      </c>
      <c r="AK593">
        <f t="shared" si="498"/>
        <v>221606.311902822</v>
      </c>
      <c r="AL593">
        <v>1</v>
      </c>
      <c r="AM593">
        <f t="shared" si="499"/>
        <v>483.81425305497902</v>
      </c>
      <c r="AN593">
        <f t="shared" si="475"/>
        <v>458.11500587680081</v>
      </c>
      <c r="AO593">
        <f t="shared" si="476"/>
        <v>-36.257478739738161</v>
      </c>
      <c r="AQ593">
        <f t="shared" si="500"/>
        <v>6.9618001154405696E-4</v>
      </c>
      <c r="AR593">
        <f t="shared" si="501"/>
        <v>-2.638522243751976</v>
      </c>
      <c r="AT593">
        <f t="shared" si="470"/>
        <v>-14306.665857240956</v>
      </c>
      <c r="AU593">
        <f t="shared" si="471"/>
        <v>-7699.1048350241208</v>
      </c>
      <c r="AV593">
        <f t="shared" si="511"/>
        <v>-2.6478943147245984</v>
      </c>
      <c r="AW593">
        <f t="shared" si="512"/>
        <v>3619.5598290952439</v>
      </c>
      <c r="AX593">
        <f t="shared" si="513"/>
        <v>-7441.4588587094377</v>
      </c>
      <c r="AY593">
        <f t="shared" si="521"/>
        <v>-1.1180840714283988</v>
      </c>
      <c r="BA593">
        <f t="shared" si="502"/>
        <v>1.9633406618895353</v>
      </c>
      <c r="BB593">
        <f t="shared" si="514"/>
        <v>5.8599132232052735</v>
      </c>
      <c r="BC593">
        <f t="shared" si="515"/>
        <v>-1.5298102432961995</v>
      </c>
      <c r="BD593">
        <f t="shared" si="503"/>
        <v>-267.65167049691047</v>
      </c>
      <c r="BF593">
        <f t="shared" si="504"/>
        <v>-70.277797724543177</v>
      </c>
      <c r="BG593">
        <f t="shared" si="505"/>
        <v>-209.48589178082088</v>
      </c>
      <c r="BH593">
        <f t="shared" si="516"/>
        <v>-29.485891780820879</v>
      </c>
      <c r="BI593">
        <f t="shared" si="517"/>
        <v>-29.485891780820879</v>
      </c>
      <c r="BJ593">
        <f t="shared" si="506"/>
        <v>0</v>
      </c>
      <c r="BK593">
        <f t="shared" si="518"/>
        <v>0</v>
      </c>
      <c r="BM593">
        <f t="shared" si="519"/>
        <v>-76.137710947748445</v>
      </c>
      <c r="BN593">
        <f t="shared" si="507"/>
        <v>-121.83422128391037</v>
      </c>
      <c r="BQ593" s="56">
        <f t="shared" si="520"/>
        <v>22.76187402349041</v>
      </c>
    </row>
    <row r="594" spans="1:69" x14ac:dyDescent="0.25">
      <c r="A594">
        <f t="shared" si="522"/>
        <v>1900000</v>
      </c>
      <c r="B594">
        <f t="shared" si="508"/>
        <v>1900</v>
      </c>
      <c r="C594">
        <f t="shared" si="477"/>
        <v>1.8966744356094487</v>
      </c>
      <c r="D594">
        <f t="shared" si="478"/>
        <v>1.0154488210540618</v>
      </c>
      <c r="F594">
        <f t="shared" si="479"/>
        <v>5.4647120339769613E-6</v>
      </c>
      <c r="G594">
        <f t="shared" si="480"/>
        <v>9.1431694624675259E-4</v>
      </c>
      <c r="H594">
        <f t="shared" si="481"/>
        <v>-3.1406783330537533</v>
      </c>
      <c r="J594">
        <f t="shared" si="482"/>
        <v>15</v>
      </c>
      <c r="M594">
        <f t="shared" si="483"/>
        <v>1.4050885604161051E-3</v>
      </c>
      <c r="N594">
        <f t="shared" si="484"/>
        <v>-1.5707963250000001</v>
      </c>
      <c r="O594">
        <f t="shared" si="485"/>
        <v>512.14341009297414</v>
      </c>
      <c r="P594">
        <f t="shared" si="486"/>
        <v>1.5688437474670742</v>
      </c>
      <c r="Q594">
        <f t="shared" si="487"/>
        <v>485.09183854613281</v>
      </c>
      <c r="R594">
        <f t="shared" si="488"/>
        <v>1.5687348600193027</v>
      </c>
      <c r="S594">
        <f t="shared" si="489"/>
        <v>8.0746841842567266E-2</v>
      </c>
      <c r="T594">
        <f t="shared" si="490"/>
        <v>-1.4899614808934729</v>
      </c>
      <c r="U594">
        <f t="shared" si="491"/>
        <v>0.47440760174404162</v>
      </c>
      <c r="V594">
        <f t="shared" si="492"/>
        <v>-1.0765053635653421</v>
      </c>
      <c r="X594">
        <f t="shared" si="509"/>
        <v>-53.643044588919565</v>
      </c>
      <c r="Y594">
        <f t="shared" si="493"/>
        <v>-179.04438798422296</v>
      </c>
      <c r="Z594">
        <f t="shared" si="510"/>
        <v>0.95561201577703514</v>
      </c>
      <c r="AC594">
        <v>1</v>
      </c>
      <c r="AD594">
        <f t="shared" si="494"/>
        <v>512.14243380300002</v>
      </c>
      <c r="AE594">
        <f t="shared" si="495"/>
        <v>-7.33677965039609E-2</v>
      </c>
      <c r="AF594">
        <f t="shared" si="496"/>
        <v>3.9538828455839996E-2</v>
      </c>
      <c r="AG594">
        <f t="shared" si="473"/>
        <v>2904.6503056085153</v>
      </c>
      <c r="AH594">
        <f t="shared" si="474"/>
        <v>-5415.1273798156517</v>
      </c>
      <c r="AJ594">
        <f t="shared" si="497"/>
        <v>18000</v>
      </c>
      <c r="AK594">
        <f t="shared" si="498"/>
        <v>222191.02512684005</v>
      </c>
      <c r="AL594">
        <v>1</v>
      </c>
      <c r="AM594">
        <f t="shared" si="499"/>
        <v>485.09080781238004</v>
      </c>
      <c r="AN594">
        <f t="shared" si="475"/>
        <v>458.11461197163214</v>
      </c>
      <c r="AO594">
        <f t="shared" si="476"/>
        <v>-36.162065134025568</v>
      </c>
      <c r="AQ594">
        <f t="shared" si="500"/>
        <v>6.9252072766476955E-4</v>
      </c>
      <c r="AR594">
        <f t="shared" si="501"/>
        <v>-2.6315787651261244</v>
      </c>
      <c r="AT594">
        <f t="shared" si="470"/>
        <v>-14248.322692632686</v>
      </c>
      <c r="AU594">
        <f t="shared" si="471"/>
        <v>-7647.5661523099443</v>
      </c>
      <c r="AV594">
        <f t="shared" si="511"/>
        <v>-2.6489911117993987</v>
      </c>
      <c r="AW594">
        <f t="shared" si="512"/>
        <v>3606.7948488869629</v>
      </c>
      <c r="AX594">
        <f t="shared" si="513"/>
        <v>-7429.0239413485742</v>
      </c>
      <c r="AY594">
        <f t="shared" si="521"/>
        <v>-1.1188154550724823</v>
      </c>
      <c r="BA594">
        <f t="shared" si="502"/>
        <v>1.9581486234056589</v>
      </c>
      <c r="BB594">
        <f t="shared" si="514"/>
        <v>5.83691303305398</v>
      </c>
      <c r="BC594">
        <f t="shared" si="515"/>
        <v>-1.5301756567269165</v>
      </c>
      <c r="BD594">
        <f t="shared" si="503"/>
        <v>-267.67260714429193</v>
      </c>
      <c r="BF594">
        <f t="shared" si="504"/>
        <v>-70.330060344079868</v>
      </c>
      <c r="BG594">
        <f t="shared" si="505"/>
        <v>-209.43928881766047</v>
      </c>
      <c r="BH594">
        <f t="shared" si="516"/>
        <v>-29.439288817660469</v>
      </c>
      <c r="BI594">
        <f t="shared" si="517"/>
        <v>-29.439288817660469</v>
      </c>
      <c r="BJ594">
        <f t="shared" si="506"/>
        <v>0</v>
      </c>
      <c r="BK594">
        <f t="shared" si="518"/>
        <v>0</v>
      </c>
      <c r="BM594">
        <f t="shared" si="519"/>
        <v>-76.166973377133843</v>
      </c>
      <c r="BN594">
        <f t="shared" si="507"/>
        <v>-121.76668167336859</v>
      </c>
      <c r="BQ594" s="56">
        <f t="shared" si="520"/>
        <v>22.738873833339113</v>
      </c>
    </row>
    <row r="595" spans="1:69" x14ac:dyDescent="0.25">
      <c r="A595">
        <f t="shared" si="522"/>
        <v>1905000</v>
      </c>
      <c r="B595">
        <f t="shared" si="508"/>
        <v>1905</v>
      </c>
      <c r="C595">
        <f t="shared" si="477"/>
        <v>1.9002795297200641</v>
      </c>
      <c r="D595">
        <f t="shared" si="478"/>
        <v>1.0166255419355257</v>
      </c>
      <c r="F595">
        <f t="shared" si="479"/>
        <v>5.4360633799493483E-6</v>
      </c>
      <c r="G595">
        <f t="shared" si="480"/>
        <v>9.1191713882799212E-4</v>
      </c>
      <c r="H595">
        <f t="shared" si="481"/>
        <v>-3.1406807328611723</v>
      </c>
      <c r="J595">
        <f t="shared" si="482"/>
        <v>15</v>
      </c>
      <c r="M595">
        <f t="shared" si="483"/>
        <v>1.4014006639320735E-3</v>
      </c>
      <c r="N595">
        <f t="shared" si="484"/>
        <v>-1.5707963250000001</v>
      </c>
      <c r="O595">
        <f t="shared" si="485"/>
        <v>513.49115077738804</v>
      </c>
      <c r="P595">
        <f t="shared" si="486"/>
        <v>1.5688488723342251</v>
      </c>
      <c r="Q595">
        <f t="shared" si="487"/>
        <v>486.36839059820159</v>
      </c>
      <c r="R595">
        <f t="shared" si="488"/>
        <v>1.5687402706779858</v>
      </c>
      <c r="S595">
        <f t="shared" si="489"/>
        <v>8.0536284294874957E-2</v>
      </c>
      <c r="T595">
        <f t="shared" si="490"/>
        <v>-1.4901727264332909</v>
      </c>
      <c r="U595">
        <f t="shared" si="491"/>
        <v>0.47344182223114806</v>
      </c>
      <c r="V595">
        <f t="shared" si="492"/>
        <v>-1.0776021357510672</v>
      </c>
      <c r="X595">
        <f t="shared" si="509"/>
        <v>-53.689758132539268</v>
      </c>
      <c r="Y595">
        <f t="shared" si="493"/>
        <v>-179.05144459693167</v>
      </c>
      <c r="Z595">
        <f t="shared" si="510"/>
        <v>0.94855540306832609</v>
      </c>
      <c r="AC595">
        <v>1</v>
      </c>
      <c r="AD595">
        <f t="shared" si="494"/>
        <v>513.49017704984999</v>
      </c>
      <c r="AE595">
        <f t="shared" si="495"/>
        <v>-7.3754450888583581E-2</v>
      </c>
      <c r="AF595">
        <f t="shared" si="496"/>
        <v>3.9642878004407994E-2</v>
      </c>
      <c r="AG595">
        <f t="shared" si="473"/>
        <v>2892.8360077818647</v>
      </c>
      <c r="AH595">
        <f t="shared" si="474"/>
        <v>-5407.2646098206724</v>
      </c>
      <c r="AJ595">
        <f t="shared" si="497"/>
        <v>18000</v>
      </c>
      <c r="AK595">
        <f t="shared" si="498"/>
        <v>222775.73835085801</v>
      </c>
      <c r="AL595">
        <v>1</v>
      </c>
      <c r="AM595">
        <f t="shared" si="499"/>
        <v>486.36736256978105</v>
      </c>
      <c r="AN595">
        <f t="shared" si="475"/>
        <v>458.11422116398916</v>
      </c>
      <c r="AO595">
        <f t="shared" si="476"/>
        <v>-36.067152380766927</v>
      </c>
      <c r="AQ595">
        <f t="shared" si="500"/>
        <v>6.8889021921244556E-4</v>
      </c>
      <c r="AR595">
        <f t="shared" si="501"/>
        <v>-2.6246717351994175</v>
      </c>
      <c r="AT595">
        <f t="shared" si="470"/>
        <v>-14190.301739708879</v>
      </c>
      <c r="AU595">
        <f t="shared" si="471"/>
        <v>-7596.4699158945814</v>
      </c>
      <c r="AV595">
        <f t="shared" si="511"/>
        <v>-2.6500834498210613</v>
      </c>
      <c r="AW595">
        <f t="shared" si="512"/>
        <v>3594.0990308363043</v>
      </c>
      <c r="AX595">
        <f t="shared" si="513"/>
        <v>-7416.6150175129105</v>
      </c>
      <c r="AY595">
        <f t="shared" si="521"/>
        <v>-1.1195436371752583</v>
      </c>
      <c r="BA595">
        <f t="shared" si="502"/>
        <v>1.952983909359332</v>
      </c>
      <c r="BB595">
        <f t="shared" si="514"/>
        <v>5.8139733029794147</v>
      </c>
      <c r="BC595">
        <f t="shared" si="515"/>
        <v>-1.530539812645803</v>
      </c>
      <c r="BD595">
        <f t="shared" si="503"/>
        <v>-267.69347174155263</v>
      </c>
      <c r="BF595">
        <f t="shared" si="504"/>
        <v>-70.382161482892329</v>
      </c>
      <c r="BG595">
        <f t="shared" si="505"/>
        <v>-209.39286977350829</v>
      </c>
      <c r="BH595">
        <f t="shared" si="516"/>
        <v>-29.392869773508295</v>
      </c>
      <c r="BI595">
        <f t="shared" si="517"/>
        <v>-29.392869773508295</v>
      </c>
      <c r="BJ595">
        <f t="shared" si="506"/>
        <v>0</v>
      </c>
      <c r="BK595">
        <f t="shared" si="518"/>
        <v>0</v>
      </c>
      <c r="BM595">
        <f t="shared" si="519"/>
        <v>-76.196134785871749</v>
      </c>
      <c r="BN595">
        <f t="shared" si="507"/>
        <v>-121.69939803195565</v>
      </c>
      <c r="BQ595" s="56">
        <f t="shared" si="520"/>
        <v>22.715934103264551</v>
      </c>
    </row>
    <row r="596" spans="1:69" x14ac:dyDescent="0.25">
      <c r="A596">
        <f t="shared" si="522"/>
        <v>1910000</v>
      </c>
      <c r="B596">
        <f t="shared" si="508"/>
        <v>1910</v>
      </c>
      <c r="C596">
        <f t="shared" si="477"/>
        <v>1.9038872451276507</v>
      </c>
      <c r="D596">
        <f t="shared" si="478"/>
        <v>1.017797804849486</v>
      </c>
      <c r="F596">
        <f t="shared" si="479"/>
        <v>5.4076394222698077E-6</v>
      </c>
      <c r="G596">
        <f t="shared" si="480"/>
        <v>9.0952989604473381E-4</v>
      </c>
      <c r="H596">
        <f t="shared" si="481"/>
        <v>-3.1406831201039553</v>
      </c>
      <c r="J596">
        <f t="shared" si="482"/>
        <v>15</v>
      </c>
      <c r="M596">
        <f t="shared" si="483"/>
        <v>1.3977320758065967E-3</v>
      </c>
      <c r="N596">
        <f t="shared" si="484"/>
        <v>-1.5707963250000001</v>
      </c>
      <c r="O596">
        <f t="shared" si="485"/>
        <v>514.83889147521802</v>
      </c>
      <c r="P596">
        <f t="shared" si="486"/>
        <v>1.5688539703697122</v>
      </c>
      <c r="Q596">
        <f t="shared" si="487"/>
        <v>487.64494266443444</v>
      </c>
      <c r="R596">
        <f t="shared" si="488"/>
        <v>1.5687456530087325</v>
      </c>
      <c r="S596">
        <f t="shared" si="489"/>
        <v>8.0326818445115994E-2</v>
      </c>
      <c r="T596">
        <f t="shared" si="490"/>
        <v>-1.4903828731304964</v>
      </c>
      <c r="U596">
        <f t="shared" si="491"/>
        <v>0.47247940202795807</v>
      </c>
      <c r="V596">
        <f t="shared" si="492"/>
        <v>-1.0786944501737799</v>
      </c>
      <c r="X596">
        <f t="shared" si="509"/>
        <v>-53.736346849744592</v>
      </c>
      <c r="Y596">
        <f t="shared" si="493"/>
        <v>-179.05844070282444</v>
      </c>
      <c r="Z596">
        <f t="shared" si="510"/>
        <v>0.94155929717555864</v>
      </c>
      <c r="AC596">
        <v>1</v>
      </c>
      <c r="AD596">
        <f t="shared" si="494"/>
        <v>514.83792029669996</v>
      </c>
      <c r="AE596">
        <f t="shared" si="495"/>
        <v>-7.4142121447673071E-2</v>
      </c>
      <c r="AF596">
        <f t="shared" si="496"/>
        <v>3.9746927552976E-2</v>
      </c>
      <c r="AG596">
        <f t="shared" si="473"/>
        <v>2881.08675420175</v>
      </c>
      <c r="AH596">
        <f t="shared" si="474"/>
        <v>-5399.4081365224856</v>
      </c>
      <c r="AJ596">
        <f t="shared" si="497"/>
        <v>18000</v>
      </c>
      <c r="AK596">
        <f t="shared" si="498"/>
        <v>223360.451574876</v>
      </c>
      <c r="AL596">
        <v>1</v>
      </c>
      <c r="AM596">
        <f t="shared" si="499"/>
        <v>487.64391732718201</v>
      </c>
      <c r="AN596">
        <f t="shared" si="475"/>
        <v>458.11383342148002</v>
      </c>
      <c r="AO596">
        <f t="shared" si="476"/>
        <v>-35.972736546632426</v>
      </c>
      <c r="AQ596">
        <f t="shared" si="500"/>
        <v>6.8528818526848322E-4</v>
      </c>
      <c r="AR596">
        <f t="shared" si="501"/>
        <v>-2.6178008677256059</v>
      </c>
      <c r="AT596">
        <f t="shared" si="470"/>
        <v>-14132.600930279872</v>
      </c>
      <c r="AU596">
        <f t="shared" si="471"/>
        <v>-7545.8115557454921</v>
      </c>
      <c r="AV596">
        <f t="shared" si="511"/>
        <v>-2.6511713532951284</v>
      </c>
      <c r="AW596">
        <f t="shared" si="512"/>
        <v>3581.4719491212577</v>
      </c>
      <c r="AX596">
        <f t="shared" si="513"/>
        <v>-7404.2321333213231</v>
      </c>
      <c r="AY596">
        <f t="shared" si="521"/>
        <v>-1.1202686322734607</v>
      </c>
      <c r="BA596">
        <f t="shared" si="502"/>
        <v>1.9478463041225449</v>
      </c>
      <c r="BB596">
        <f t="shared" si="514"/>
        <v>5.7910937130198539</v>
      </c>
      <c r="BC596">
        <f t="shared" si="515"/>
        <v>-1.5309027210216677</v>
      </c>
      <c r="BD596">
        <f t="shared" si="503"/>
        <v>-267.71426485986342</v>
      </c>
      <c r="BF596">
        <f t="shared" si="504"/>
        <v>-70.434102109730048</v>
      </c>
      <c r="BG596">
        <f t="shared" si="505"/>
        <v>-209.34663395322897</v>
      </c>
      <c r="BH596">
        <f t="shared" si="516"/>
        <v>-29.346633953228974</v>
      </c>
      <c r="BI596">
        <f t="shared" si="517"/>
        <v>-29.346633953228974</v>
      </c>
      <c r="BJ596">
        <f t="shared" si="506"/>
        <v>0</v>
      </c>
      <c r="BK596">
        <f t="shared" si="518"/>
        <v>0</v>
      </c>
      <c r="BM596">
        <f t="shared" si="519"/>
        <v>-76.225195822749896</v>
      </c>
      <c r="BN596">
        <f t="shared" si="507"/>
        <v>-121.63236909336557</v>
      </c>
      <c r="BQ596" s="56">
        <f t="shared" si="520"/>
        <v>22.69305451330499</v>
      </c>
    </row>
    <row r="597" spans="1:69" x14ac:dyDescent="0.25">
      <c r="A597">
        <f t="shared" si="522"/>
        <v>1915000</v>
      </c>
      <c r="B597">
        <f t="shared" si="508"/>
        <v>1915</v>
      </c>
      <c r="C597">
        <f t="shared" si="477"/>
        <v>1.9074975669589627</v>
      </c>
      <c r="D597">
        <f t="shared" si="478"/>
        <v>1.0189656318777249</v>
      </c>
      <c r="F597">
        <f t="shared" si="479"/>
        <v>5.3794378172864894E-6</v>
      </c>
      <c r="G597">
        <f t="shared" si="480"/>
        <v>9.071551194773992E-4</v>
      </c>
      <c r="H597">
        <f t="shared" si="481"/>
        <v>-3.1406854948805227</v>
      </c>
      <c r="J597">
        <f t="shared" si="482"/>
        <v>15</v>
      </c>
      <c r="M597">
        <f t="shared" si="483"/>
        <v>1.3940826447992687E-3</v>
      </c>
      <c r="N597">
        <f t="shared" si="484"/>
        <v>-1.5707963250000001</v>
      </c>
      <c r="O597">
        <f t="shared" si="485"/>
        <v>516.18663218635857</v>
      </c>
      <c r="P597">
        <f t="shared" si="486"/>
        <v>1.5688590417837043</v>
      </c>
      <c r="Q597">
        <f t="shared" si="487"/>
        <v>488.92149474472023</v>
      </c>
      <c r="R597">
        <f t="shared" si="488"/>
        <v>1.568751007233431</v>
      </c>
      <c r="S597">
        <f t="shared" si="489"/>
        <v>8.0118435852523331E-2</v>
      </c>
      <c r="T597">
        <f t="shared" si="490"/>
        <v>-1.4905919295182577</v>
      </c>
      <c r="U597">
        <f t="shared" si="491"/>
        <v>0.47152032755845197</v>
      </c>
      <c r="V597">
        <f t="shared" si="492"/>
        <v>-1.0797823313650472</v>
      </c>
      <c r="X597">
        <f t="shared" si="509"/>
        <v>-53.782811391427067</v>
      </c>
      <c r="Y597">
        <f t="shared" si="493"/>
        <v>-179.06537691206211</v>
      </c>
      <c r="Z597">
        <f t="shared" si="510"/>
        <v>0.93462308793789362</v>
      </c>
      <c r="AC597">
        <v>1</v>
      </c>
      <c r="AD597">
        <f t="shared" si="494"/>
        <v>516.18566354355005</v>
      </c>
      <c r="AE597">
        <f t="shared" si="495"/>
        <v>-7.4530808181229369E-2</v>
      </c>
      <c r="AF597">
        <f t="shared" si="496"/>
        <v>3.9850977101543998E-2</v>
      </c>
      <c r="AG597">
        <f t="shared" si="473"/>
        <v>2869.4021292812486</v>
      </c>
      <c r="AH597">
        <f t="shared" si="474"/>
        <v>-5391.5581328104317</v>
      </c>
      <c r="AJ597">
        <f t="shared" si="497"/>
        <v>18000</v>
      </c>
      <c r="AK597">
        <f t="shared" si="498"/>
        <v>223945.16479889402</v>
      </c>
      <c r="AL597">
        <v>1</v>
      </c>
      <c r="AM597">
        <f t="shared" si="499"/>
        <v>488.92047208458303</v>
      </c>
      <c r="AN597">
        <f t="shared" si="475"/>
        <v>458.11344871213487</v>
      </c>
      <c r="AO597">
        <f t="shared" si="476"/>
        <v>-35.878813739370536</v>
      </c>
      <c r="AQ597">
        <f t="shared" si="500"/>
        <v>6.8171432883758643E-4</v>
      </c>
      <c r="AR597">
        <f t="shared" si="501"/>
        <v>-2.610965879447956</v>
      </c>
      <c r="AT597">
        <f t="shared" si="470"/>
        <v>-14075.21820928144</v>
      </c>
      <c r="AU597">
        <f t="shared" si="471"/>
        <v>-7495.5865564025507</v>
      </c>
      <c r="AV597">
        <f t="shared" si="511"/>
        <v>-2.6522548465713247</v>
      </c>
      <c r="AW597">
        <f t="shared" si="512"/>
        <v>3568.9131803084269</v>
      </c>
      <c r="AX597">
        <f t="shared" si="513"/>
        <v>-7391.875332848067</v>
      </c>
      <c r="AY597">
        <f t="shared" si="521"/>
        <v>-1.1209904548535876</v>
      </c>
      <c r="BA597">
        <f t="shared" si="502"/>
        <v>1.94273559433251</v>
      </c>
      <c r="BB597">
        <f t="shared" si="514"/>
        <v>5.7682739457457535</v>
      </c>
      <c r="BC597">
        <f t="shared" si="515"/>
        <v>-1.5312643917177371</v>
      </c>
      <c r="BD597">
        <f t="shared" si="503"/>
        <v>-267.73498706434543</v>
      </c>
      <c r="BF597">
        <f t="shared" si="504"/>
        <v>-70.485883185085143</v>
      </c>
      <c r="BG597">
        <f t="shared" si="505"/>
        <v>-209.30058066238988</v>
      </c>
      <c r="BH597">
        <f t="shared" si="516"/>
        <v>-29.300580662389876</v>
      </c>
      <c r="BI597">
        <f t="shared" si="517"/>
        <v>-29.300580662389876</v>
      </c>
      <c r="BJ597">
        <f t="shared" si="506"/>
        <v>0</v>
      </c>
      <c r="BK597">
        <f t="shared" si="518"/>
        <v>0</v>
      </c>
      <c r="BM597">
        <f t="shared" si="519"/>
        <v>-76.25415713083089</v>
      </c>
      <c r="BN597">
        <f t="shared" si="507"/>
        <v>-121.56559359804447</v>
      </c>
      <c r="BQ597" s="56">
        <f t="shared" si="520"/>
        <v>22.670234746030889</v>
      </c>
    </row>
    <row r="598" spans="1:69" x14ac:dyDescent="0.25">
      <c r="A598">
        <f t="shared" si="522"/>
        <v>1920000</v>
      </c>
      <c r="B598">
        <f t="shared" si="508"/>
        <v>1920</v>
      </c>
      <c r="C598">
        <f t="shared" si="477"/>
        <v>1.9111104804424386</v>
      </c>
      <c r="D598">
        <f t="shared" si="478"/>
        <v>1.0201290449836231</v>
      </c>
      <c r="F598">
        <f t="shared" si="479"/>
        <v>5.3514562518243699E-6</v>
      </c>
      <c r="G598">
        <f t="shared" si="480"/>
        <v>9.0479271173164115E-4</v>
      </c>
      <c r="H598">
        <f t="shared" si="481"/>
        <v>-3.1406878572882686</v>
      </c>
      <c r="J598">
        <f t="shared" si="482"/>
        <v>15</v>
      </c>
      <c r="M598">
        <f t="shared" si="483"/>
        <v>1.390452221245104E-3</v>
      </c>
      <c r="N598">
        <f t="shared" si="484"/>
        <v>-1.5707963250000001</v>
      </c>
      <c r="O598">
        <f t="shared" si="485"/>
        <v>517.534372910706</v>
      </c>
      <c r="P598">
        <f t="shared" si="486"/>
        <v>1.5688640867841808</v>
      </c>
      <c r="Q598">
        <f t="shared" si="487"/>
        <v>490.19804683894932</v>
      </c>
      <c r="R598">
        <f t="shared" si="488"/>
        <v>1.568756333571659</v>
      </c>
      <c r="S598">
        <f t="shared" si="489"/>
        <v>7.9911128162836659E-2</v>
      </c>
      <c r="T598">
        <f t="shared" si="490"/>
        <v>-1.4907999040418076</v>
      </c>
      <c r="U598">
        <f t="shared" si="491"/>
        <v>0.47056458527933004</v>
      </c>
      <c r="V598">
        <f t="shared" si="492"/>
        <v>-1.0808658036996883</v>
      </c>
      <c r="X598">
        <f t="shared" si="509"/>
        <v>-53.829152403542359</v>
      </c>
      <c r="Y598">
        <f t="shared" si="493"/>
        <v>-179.07225382776923</v>
      </c>
      <c r="Z598">
        <f t="shared" si="510"/>
        <v>0.92774617223076916</v>
      </c>
      <c r="AC598">
        <v>1</v>
      </c>
      <c r="AD598">
        <f t="shared" si="494"/>
        <v>517.53340679040002</v>
      </c>
      <c r="AE598">
        <f t="shared" si="495"/>
        <v>-7.4920511089252489E-2</v>
      </c>
      <c r="AF598">
        <f t="shared" si="496"/>
        <v>3.9955026650112004E-2</v>
      </c>
      <c r="AG598">
        <f t="shared" si="473"/>
        <v>2857.7817200443437</v>
      </c>
      <c r="AH598">
        <f t="shared" si="474"/>
        <v>-5383.7147683805215</v>
      </c>
      <c r="AJ598">
        <f t="shared" si="497"/>
        <v>18000</v>
      </c>
      <c r="AK598">
        <f t="shared" si="498"/>
        <v>224529.87802291202</v>
      </c>
      <c r="AL598">
        <v>1</v>
      </c>
      <c r="AM598">
        <f t="shared" si="499"/>
        <v>490.19702684198404</v>
      </c>
      <c r="AN598">
        <f t="shared" si="475"/>
        <v>458.11306700439957</v>
      </c>
      <c r="AO598">
        <f t="shared" si="476"/>
        <v>-35.785380107273191</v>
      </c>
      <c r="AQ598">
        <f t="shared" si="500"/>
        <v>6.7816835678654263E-4</v>
      </c>
      <c r="AR598">
        <f t="shared" si="501"/>
        <v>-2.6041664900603236</v>
      </c>
      <c r="AT598">
        <f t="shared" ref="AT598:AT626" si="523">-AR598*AH598+AG598*AQ598</f>
        <v>-14018.151534726294</v>
      </c>
      <c r="AU598">
        <f t="shared" ref="AU598:AU626" si="524">AQ598*AH598+AG598*AR598</f>
        <v>-7445.7904562443127</v>
      </c>
      <c r="AV598">
        <f t="shared" si="511"/>
        <v>-2.6533339538445211</v>
      </c>
      <c r="AW598">
        <f t="shared" si="512"/>
        <v>3556.4223033514922</v>
      </c>
      <c r="AX598">
        <f t="shared" si="513"/>
        <v>-7379.5446581546739</v>
      </c>
      <c r="AY598">
        <f t="shared" si="521"/>
        <v>-1.1217091193514679</v>
      </c>
      <c r="BA598">
        <f t="shared" si="502"/>
        <v>1.9376515688619631</v>
      </c>
      <c r="BB598">
        <f t="shared" si="514"/>
        <v>5.7455136862330525</v>
      </c>
      <c r="BC598">
        <f t="shared" si="515"/>
        <v>-1.5316248344930532</v>
      </c>
      <c r="BD598">
        <f t="shared" si="503"/>
        <v>-267.75563891415061</v>
      </c>
      <c r="BF598">
        <f t="shared" si="504"/>
        <v>-70.537505661281358</v>
      </c>
      <c r="BG598">
        <f t="shared" si="505"/>
        <v>-209.25470920731422</v>
      </c>
      <c r="BH598">
        <f t="shared" si="516"/>
        <v>-29.254709207314221</v>
      </c>
      <c r="BI598">
        <f t="shared" si="517"/>
        <v>-29.254709207314221</v>
      </c>
      <c r="BJ598">
        <f t="shared" si="506"/>
        <v>0</v>
      </c>
      <c r="BK598">
        <f t="shared" si="518"/>
        <v>0</v>
      </c>
      <c r="BM598">
        <f t="shared" si="519"/>
        <v>-76.283019347514411</v>
      </c>
      <c r="BN598">
        <f t="shared" si="507"/>
        <v>-121.49907029316363</v>
      </c>
      <c r="BQ598" s="56">
        <f t="shared" si="520"/>
        <v>22.647474486518192</v>
      </c>
    </row>
    <row r="599" spans="1:69" x14ac:dyDescent="0.25">
      <c r="A599">
        <f t="shared" ref="A599:A614" si="525">A598+5000</f>
        <v>1925000</v>
      </c>
      <c r="B599">
        <f t="shared" si="508"/>
        <v>1925</v>
      </c>
      <c r="C599">
        <f t="shared" si="477"/>
        <v>1.9147259709074445</v>
      </c>
      <c r="D599">
        <f t="shared" si="478"/>
        <v>1.0212880660126453</v>
      </c>
      <c r="F599">
        <f t="shared" si="479"/>
        <v>5.3236924427108934E-6</v>
      </c>
      <c r="G599">
        <f t="shared" si="480"/>
        <v>9.024425764250282E-4</v>
      </c>
      <c r="H599">
        <f t="shared" si="481"/>
        <v>-3.140690207423575</v>
      </c>
      <c r="J599">
        <f t="shared" si="482"/>
        <v>15</v>
      </c>
      <c r="M599">
        <f t="shared" si="483"/>
        <v>1.3868406570340776E-3</v>
      </c>
      <c r="N599">
        <f t="shared" si="484"/>
        <v>-1.5707963250000001</v>
      </c>
      <c r="O599">
        <f t="shared" si="485"/>
        <v>518.8821136481572</v>
      </c>
      <c r="P599">
        <f t="shared" si="486"/>
        <v>1.5688691055769599</v>
      </c>
      <c r="Q599">
        <f t="shared" si="487"/>
        <v>491.47459894701308</v>
      </c>
      <c r="R599">
        <f t="shared" si="488"/>
        <v>1.5687616322407125</v>
      </c>
      <c r="S599">
        <f t="shared" si="489"/>
        <v>7.9704887107200598E-2</v>
      </c>
      <c r="T599">
        <f t="shared" si="490"/>
        <v>-1.4910068050595708</v>
      </c>
      <c r="U599">
        <f t="shared" si="491"/>
        <v>0.46961216168056019</v>
      </c>
      <c r="V599">
        <f t="shared" si="492"/>
        <v>-1.0819448913967606</v>
      </c>
      <c r="X599">
        <f t="shared" si="509"/>
        <v>-53.875370527158857</v>
      </c>
      <c r="Y599">
        <f t="shared" si="493"/>
        <v>-179.07907204612474</v>
      </c>
      <c r="Z599">
        <f t="shared" si="510"/>
        <v>0.92092795387526394</v>
      </c>
      <c r="AC599">
        <v>1</v>
      </c>
      <c r="AD599">
        <f t="shared" si="494"/>
        <v>518.88115003724999</v>
      </c>
      <c r="AE599">
        <f t="shared" si="495"/>
        <v>-7.5311230171742433E-2</v>
      </c>
      <c r="AF599">
        <f t="shared" si="496"/>
        <v>4.0059076198680002E-2</v>
      </c>
      <c r="AG599">
        <f t="shared" si="473"/>
        <v>2846.2251161168524</v>
      </c>
      <c r="AH599">
        <f t="shared" si="474"/>
        <v>-5375.878209781752</v>
      </c>
      <c r="AJ599">
        <f t="shared" si="497"/>
        <v>18000</v>
      </c>
      <c r="AK599">
        <f t="shared" si="498"/>
        <v>225114.59124693001</v>
      </c>
      <c r="AL599">
        <v>1</v>
      </c>
      <c r="AM599">
        <f t="shared" si="499"/>
        <v>491.47358159938506</v>
      </c>
      <c r="AN599">
        <f t="shared" si="475"/>
        <v>458.11268826712933</v>
      </c>
      <c r="AO599">
        <f t="shared" si="476"/>
        <v>-35.692431838649249</v>
      </c>
      <c r="AQ599">
        <f t="shared" si="500"/>
        <v>6.7464997978411336E-4</v>
      </c>
      <c r="AR599">
        <f t="shared" si="501"/>
        <v>-2.5974024221688365</v>
      </c>
      <c r="AT599">
        <f t="shared" si="523"/>
        <v>-13961.398877654741</v>
      </c>
      <c r="AU599">
        <f t="shared" si="524"/>
        <v>-7396.4188467652421</v>
      </c>
      <c r="AV599">
        <f t="shared" si="511"/>
        <v>-2.6544086991556948</v>
      </c>
      <c r="AW599">
        <f t="shared" si="512"/>
        <v>3543.9988995892959</v>
      </c>
      <c r="AX599">
        <f t="shared" si="513"/>
        <v>-7367.2401493214775</v>
      </c>
      <c r="AY599">
        <f t="shared" si="521"/>
        <v>-1.122424640151849</v>
      </c>
      <c r="BA599">
        <f t="shared" si="502"/>
        <v>1.9325940187899393</v>
      </c>
      <c r="BB599">
        <f t="shared" si="514"/>
        <v>5.7228126220368534</v>
      </c>
      <c r="BC599">
        <f t="shared" si="515"/>
        <v>-1.5319840590038458</v>
      </c>
      <c r="BD599">
        <f t="shared" si="503"/>
        <v>-267.77622096254021</v>
      </c>
      <c r="BF599">
        <f t="shared" si="504"/>
        <v>-70.588970482561905</v>
      </c>
      <c r="BG599">
        <f t="shared" si="505"/>
        <v>-209.20901889513254</v>
      </c>
      <c r="BH599">
        <f t="shared" si="516"/>
        <v>-29.209018895132544</v>
      </c>
      <c r="BI599">
        <f t="shared" si="517"/>
        <v>-29.209018895132544</v>
      </c>
      <c r="BJ599">
        <f t="shared" si="506"/>
        <v>0</v>
      </c>
      <c r="BK599">
        <f t="shared" si="518"/>
        <v>0</v>
      </c>
      <c r="BM599">
        <f t="shared" si="519"/>
        <v>-76.31178310459876</v>
      </c>
      <c r="BN599">
        <f t="shared" si="507"/>
        <v>-121.43279793259235</v>
      </c>
      <c r="BQ599" s="56">
        <f t="shared" si="520"/>
        <v>22.62477342232199</v>
      </c>
    </row>
    <row r="600" spans="1:69" x14ac:dyDescent="0.25">
      <c r="A600">
        <f t="shared" si="525"/>
        <v>1930000</v>
      </c>
      <c r="B600">
        <f t="shared" si="508"/>
        <v>1930</v>
      </c>
      <c r="C600">
        <f t="shared" si="477"/>
        <v>1.9183440237835188</v>
      </c>
      <c r="D600">
        <f t="shared" si="478"/>
        <v>1.0224427166928272</v>
      </c>
      <c r="F600">
        <f t="shared" si="479"/>
        <v>5.2961441363102191E-6</v>
      </c>
      <c r="G600">
        <f t="shared" si="480"/>
        <v>9.0010461817393564E-4</v>
      </c>
      <c r="H600">
        <f t="shared" si="481"/>
        <v>-3.1406925453818264</v>
      </c>
      <c r="J600">
        <f t="shared" si="482"/>
        <v>15</v>
      </c>
      <c r="M600">
        <f t="shared" si="483"/>
        <v>1.3832478055909843E-3</v>
      </c>
      <c r="N600">
        <f t="shared" si="484"/>
        <v>-1.5707963250000001</v>
      </c>
      <c r="O600">
        <f t="shared" si="485"/>
        <v>520.22985439861054</v>
      </c>
      <c r="P600">
        <f t="shared" si="486"/>
        <v>1.5688740983657279</v>
      </c>
      <c r="Q600">
        <f t="shared" si="487"/>
        <v>492.75115106880389</v>
      </c>
      <c r="R600">
        <f t="shared" si="488"/>
        <v>1.5687669034556355</v>
      </c>
      <c r="S600">
        <f t="shared" si="489"/>
        <v>7.949970450107971E-2</v>
      </c>
      <c r="T600">
        <f t="shared" si="490"/>
        <v>-1.4912126408442743</v>
      </c>
      <c r="U600">
        <f t="shared" si="491"/>
        <v>0.46866304328590874</v>
      </c>
      <c r="V600">
        <f t="shared" si="492"/>
        <v>-1.0830196185205421</v>
      </c>
      <c r="X600">
        <f t="shared" si="509"/>
        <v>-53.921466398505721</v>
      </c>
      <c r="Y600">
        <f t="shared" si="493"/>
        <v>-179.0858321564514</v>
      </c>
      <c r="Z600">
        <f t="shared" si="510"/>
        <v>0.91416784354859715</v>
      </c>
      <c r="AC600">
        <v>1</v>
      </c>
      <c r="AD600">
        <f t="shared" si="494"/>
        <v>520.22889328409997</v>
      </c>
      <c r="AE600">
        <f t="shared" si="495"/>
        <v>-7.570296542869917E-2</v>
      </c>
      <c r="AF600">
        <f t="shared" si="496"/>
        <v>4.0163125747248E-2</v>
      </c>
      <c r="AG600">
        <f t="shared" si="473"/>
        <v>2834.7319097171439</v>
      </c>
      <c r="AH600">
        <f t="shared" si="474"/>
        <v>-5368.0486204617737</v>
      </c>
      <c r="AJ600">
        <f t="shared" si="497"/>
        <v>18000</v>
      </c>
      <c r="AK600">
        <f t="shared" si="498"/>
        <v>225699.30447094803</v>
      </c>
      <c r="AL600">
        <v>1</v>
      </c>
      <c r="AM600">
        <f t="shared" si="499"/>
        <v>492.75013635678602</v>
      </c>
      <c r="AN600">
        <f t="shared" si="475"/>
        <v>458.11231246958249</v>
      </c>
      <c r="AO600">
        <f t="shared" si="476"/>
        <v>-35.599965161306116</v>
      </c>
      <c r="AQ600">
        <f t="shared" si="500"/>
        <v>6.7115891224201244E-4</v>
      </c>
      <c r="AR600">
        <f t="shared" si="501"/>
        <v>-2.5906734012541679</v>
      </c>
      <c r="AT600">
        <f t="shared" si="523"/>
        <v>-13904.958222084422</v>
      </c>
      <c r="AU600">
        <f t="shared" si="524"/>
        <v>-7347.4673718636068</v>
      </c>
      <c r="AV600">
        <f t="shared" si="511"/>
        <v>-2.6554791063928902</v>
      </c>
      <c r="AW600">
        <f t="shared" si="512"/>
        <v>3531.6425527435608</v>
      </c>
      <c r="AX600">
        <f t="shared" si="513"/>
        <v>-7354.9618444787375</v>
      </c>
      <c r="AY600">
        <f t="shared" si="521"/>
        <v>-1.1231370315880016</v>
      </c>
      <c r="BA600">
        <f t="shared" si="502"/>
        <v>1.927562737372994</v>
      </c>
      <c r="BB600">
        <f t="shared" si="514"/>
        <v>5.7001704431653941</v>
      </c>
      <c r="BC600">
        <f t="shared" si="515"/>
        <v>-1.5323420748048886</v>
      </c>
      <c r="BD600">
        <f t="shared" si="503"/>
        <v>-267.7967337569624</v>
      </c>
      <c r="BF600">
        <f t="shared" si="504"/>
        <v>-70.640278585176148</v>
      </c>
      <c r="BG600">
        <f t="shared" si="505"/>
        <v>-209.16350903383346</v>
      </c>
      <c r="BH600">
        <f t="shared" si="516"/>
        <v>-29.163509033833463</v>
      </c>
      <c r="BI600">
        <f t="shared" si="517"/>
        <v>-29.163509033833463</v>
      </c>
      <c r="BJ600">
        <f t="shared" si="506"/>
        <v>0</v>
      </c>
      <c r="BK600">
        <f t="shared" si="518"/>
        <v>0</v>
      </c>
      <c r="BM600">
        <f t="shared" si="519"/>
        <v>-76.340449028341538</v>
      </c>
      <c r="BN600">
        <f t="shared" si="507"/>
        <v>-121.36677527687105</v>
      </c>
      <c r="BQ600" s="56">
        <f t="shared" si="520"/>
        <v>22.602131243450533</v>
      </c>
    </row>
    <row r="601" spans="1:69" x14ac:dyDescent="0.25">
      <c r="A601">
        <f t="shared" si="525"/>
        <v>1935000</v>
      </c>
      <c r="B601">
        <f t="shared" si="508"/>
        <v>1935</v>
      </c>
      <c r="C601">
        <f t="shared" si="477"/>
        <v>1.9219646245996276</v>
      </c>
      <c r="D601">
        <f t="shared" si="478"/>
        <v>1.0235930186352664</v>
      </c>
      <c r="F601">
        <f t="shared" si="479"/>
        <v>5.2688091080658728E-6</v>
      </c>
      <c r="G601">
        <f t="shared" si="480"/>
        <v>8.9777874258064239E-4</v>
      </c>
      <c r="H601">
        <f t="shared" si="481"/>
        <v>-3.1406948712574194</v>
      </c>
      <c r="J601">
        <f t="shared" si="482"/>
        <v>15</v>
      </c>
      <c r="M601">
        <f t="shared" si="483"/>
        <v>1.3796735218556072E-3</v>
      </c>
      <c r="N601">
        <f t="shared" si="484"/>
        <v>-1.5707963250000001</v>
      </c>
      <c r="O601">
        <f t="shared" si="485"/>
        <v>521.57759516196506</v>
      </c>
      <c r="P601">
        <f t="shared" si="486"/>
        <v>1.568879065352065</v>
      </c>
      <c r="Q601">
        <f t="shared" si="487"/>
        <v>494.02770320421536</v>
      </c>
      <c r="R601">
        <f t="shared" si="488"/>
        <v>1.5687721474292495</v>
      </c>
      <c r="S601">
        <f t="shared" si="489"/>
        <v>7.929557224319006E-2</v>
      </c>
      <c r="T601">
        <f t="shared" si="490"/>
        <v>-1.4914174195840404</v>
      </c>
      <c r="U601">
        <f t="shared" si="491"/>
        <v>0.46771721665345672</v>
      </c>
      <c r="V601">
        <f t="shared" si="492"/>
        <v>-1.0840900089815106</v>
      </c>
      <c r="X601">
        <f t="shared" si="509"/>
        <v>-53.96744064902019</v>
      </c>
      <c r="Y601">
        <f t="shared" si="493"/>
        <v>-179.09253474130395</v>
      </c>
      <c r="Z601">
        <f t="shared" si="510"/>
        <v>0.90746525869604966</v>
      </c>
      <c r="AC601">
        <v>1</v>
      </c>
      <c r="AD601">
        <f t="shared" si="494"/>
        <v>521.57663653095005</v>
      </c>
      <c r="AE601">
        <f t="shared" si="495"/>
        <v>-7.6095716860122731E-2</v>
      </c>
      <c r="AF601">
        <f t="shared" si="496"/>
        <v>4.0267175295815999E-2</v>
      </c>
      <c r="AG601">
        <f t="shared" si="473"/>
        <v>2823.301695646684</v>
      </c>
      <c r="AH601">
        <f t="shared" si="474"/>
        <v>-5360.2261608119716</v>
      </c>
      <c r="AJ601">
        <f t="shared" si="497"/>
        <v>18000</v>
      </c>
      <c r="AK601">
        <f t="shared" si="498"/>
        <v>226284.01769496602</v>
      </c>
      <c r="AL601">
        <v>1</v>
      </c>
      <c r="AM601">
        <f t="shared" si="499"/>
        <v>494.02669111418703</v>
      </c>
      <c r="AN601">
        <f t="shared" si="475"/>
        <v>458.11193958141348</v>
      </c>
      <c r="AO601">
        <f t="shared" si="476"/>
        <v>-35.507976342039456</v>
      </c>
      <c r="AQ601">
        <f t="shared" si="500"/>
        <v>6.6769487225695084E-4</v>
      </c>
      <c r="AR601">
        <f t="shared" si="501"/>
        <v>-2.5839791556343998</v>
      </c>
      <c r="AT601">
        <f t="shared" si="523"/>
        <v>-13848.827564959322</v>
      </c>
      <c r="AU601">
        <f t="shared" si="524"/>
        <v>-7298.9317271399996</v>
      </c>
      <c r="AV601">
        <f t="shared" si="511"/>
        <v>-2.6565451992921734</v>
      </c>
      <c r="AW601">
        <f t="shared" si="512"/>
        <v>3519.3528489162532</v>
      </c>
      <c r="AX601">
        <f t="shared" si="513"/>
        <v>-7342.7097798374052</v>
      </c>
      <c r="AY601">
        <f t="shared" si="521"/>
        <v>-1.1238463079413434</v>
      </c>
      <c r="BA601">
        <f t="shared" si="502"/>
        <v>1.9225575200168894</v>
      </c>
      <c r="BB601">
        <f t="shared" si="514"/>
        <v>5.677586842054434</v>
      </c>
      <c r="BC601">
        <f t="shared" si="515"/>
        <v>-1.5326988913508299</v>
      </c>
      <c r="BD601">
        <f t="shared" si="503"/>
        <v>-267.81717783912859</v>
      </c>
      <c r="BF601">
        <f t="shared" si="504"/>
        <v>-70.69143089746521</v>
      </c>
      <c r="BG601">
        <f t="shared" si="505"/>
        <v>-209.11817893231222</v>
      </c>
      <c r="BH601">
        <f t="shared" si="516"/>
        <v>-29.118178932312219</v>
      </c>
      <c r="BI601">
        <f t="shared" si="517"/>
        <v>-29.118178932312219</v>
      </c>
      <c r="BJ601">
        <f t="shared" si="506"/>
        <v>0</v>
      </c>
      <c r="BK601">
        <f t="shared" si="518"/>
        <v>0</v>
      </c>
      <c r="BM601">
        <f t="shared" si="519"/>
        <v>-76.369017739519649</v>
      </c>
      <c r="BN601">
        <f t="shared" si="507"/>
        <v>-121.3010010931836</v>
      </c>
      <c r="BQ601" s="56">
        <f t="shared" si="520"/>
        <v>22.579547642339573</v>
      </c>
    </row>
    <row r="602" spans="1:69" x14ac:dyDescent="0.25">
      <c r="A602">
        <f t="shared" si="525"/>
        <v>1940000</v>
      </c>
      <c r="B602">
        <f t="shared" si="508"/>
        <v>1940</v>
      </c>
      <c r="C602">
        <f t="shared" si="477"/>
        <v>1.9255877589834209</v>
      </c>
      <c r="D602">
        <f t="shared" si="478"/>
        <v>1.0247389933346152</v>
      </c>
      <c r="F602">
        <f t="shared" si="479"/>
        <v>5.2416851620516388E-6</v>
      </c>
      <c r="G602">
        <f t="shared" si="480"/>
        <v>8.9546485622062414E-4</v>
      </c>
      <c r="H602">
        <f t="shared" si="481"/>
        <v>-3.1406971851437797</v>
      </c>
      <c r="J602">
        <f t="shared" si="482"/>
        <v>15</v>
      </c>
      <c r="M602">
        <f t="shared" si="483"/>
        <v>1.3761176622631957E-3</v>
      </c>
      <c r="N602">
        <f t="shared" si="484"/>
        <v>-1.5707963250000001</v>
      </c>
      <c r="O602">
        <f t="shared" si="485"/>
        <v>522.92533593812118</v>
      </c>
      <c r="P602">
        <f t="shared" si="486"/>
        <v>1.5688840067354737</v>
      </c>
      <c r="Q602">
        <f t="shared" si="487"/>
        <v>495.30425535314225</v>
      </c>
      <c r="R602">
        <f t="shared" si="488"/>
        <v>1.5687773643721823</v>
      </c>
      <c r="S602">
        <f t="shared" si="489"/>
        <v>7.9092482314446905E-2</v>
      </c>
      <c r="T602">
        <f t="shared" si="490"/>
        <v>-1.491621149383463</v>
      </c>
      <c r="U602">
        <f t="shared" si="491"/>
        <v>0.46677466837609771</v>
      </c>
      <c r="V602">
        <f t="shared" si="492"/>
        <v>-1.0851560865373195</v>
      </c>
      <c r="X602">
        <f t="shared" si="509"/>
        <v>-54.013293905394534</v>
      </c>
      <c r="Y602">
        <f t="shared" si="493"/>
        <v>-179.09918037655595</v>
      </c>
      <c r="Z602">
        <f t="shared" si="510"/>
        <v>0.90081962344405042</v>
      </c>
      <c r="AC602">
        <v>1</v>
      </c>
      <c r="AD602">
        <f t="shared" si="494"/>
        <v>522.92437977780003</v>
      </c>
      <c r="AE602">
        <f t="shared" si="495"/>
        <v>-7.64894844660131E-2</v>
      </c>
      <c r="AF602">
        <f t="shared" si="496"/>
        <v>4.0371224844383997E-2</v>
      </c>
      <c r="AG602">
        <f t="shared" si="473"/>
        <v>2811.934071280406</v>
      </c>
      <c r="AH602">
        <f t="shared" si="474"/>
        <v>-5352.4109882119355</v>
      </c>
      <c r="AJ602">
        <f t="shared" si="497"/>
        <v>18000</v>
      </c>
      <c r="AK602">
        <f t="shared" si="498"/>
        <v>226868.73091898402</v>
      </c>
      <c r="AL602">
        <v>1</v>
      </c>
      <c r="AM602">
        <f t="shared" si="499"/>
        <v>495.30324587158805</v>
      </c>
      <c r="AN602">
        <f t="shared" si="475"/>
        <v>458.11156957266763</v>
      </c>
      <c r="AO602">
        <f t="shared" si="476"/>
        <v>-35.416461686130823</v>
      </c>
      <c r="AQ602">
        <f t="shared" si="500"/>
        <v>6.6425758155372642E-4</v>
      </c>
      <c r="AR602">
        <f t="shared" si="501"/>
        <v>-2.5773194164284585</v>
      </c>
      <c r="AT602">
        <f t="shared" si="523"/>
        <v>-13793.004916097978</v>
      </c>
      <c r="AU602">
        <f t="shared" si="524"/>
        <v>-7250.8076592062262</v>
      </c>
      <c r="AV602">
        <f t="shared" si="511"/>
        <v>-2.6576070014385826</v>
      </c>
      <c r="AW602">
        <f t="shared" si="512"/>
        <v>3507.1293765866239</v>
      </c>
      <c r="AX602">
        <f t="shared" si="513"/>
        <v>-7330.4839897195252</v>
      </c>
      <c r="AY602">
        <f t="shared" si="521"/>
        <v>-1.1245524834410821</v>
      </c>
      <c r="BA602">
        <f t="shared" si="502"/>
        <v>1.9175781642487075</v>
      </c>
      <c r="BB602">
        <f t="shared" si="514"/>
        <v>5.6550615135419093</v>
      </c>
      <c r="BC602">
        <f t="shared" si="515"/>
        <v>-1.5330545179975006</v>
      </c>
      <c r="BD602">
        <f t="shared" si="503"/>
        <v>-267.83755374508854</v>
      </c>
      <c r="BF602">
        <f t="shared" si="504"/>
        <v>-70.7424283399465</v>
      </c>
      <c r="BG602">
        <f t="shared" si="505"/>
        <v>-209.07302790041848</v>
      </c>
      <c r="BH602">
        <f t="shared" si="516"/>
        <v>-29.073027900418481</v>
      </c>
      <c r="BI602">
        <f t="shared" si="517"/>
        <v>-29.073027900418481</v>
      </c>
      <c r="BJ602">
        <f t="shared" si="506"/>
        <v>0</v>
      </c>
      <c r="BK602">
        <f t="shared" si="518"/>
        <v>0</v>
      </c>
      <c r="BM602">
        <f t="shared" si="519"/>
        <v>-76.397489853488409</v>
      </c>
      <c r="BN602">
        <f t="shared" si="507"/>
        <v>-121.23547415532998</v>
      </c>
      <c r="BQ602" s="56">
        <f t="shared" si="520"/>
        <v>22.557022313827044</v>
      </c>
    </row>
    <row r="603" spans="1:69" x14ac:dyDescent="0.25">
      <c r="A603">
        <f t="shared" si="525"/>
        <v>1945000</v>
      </c>
      <c r="B603">
        <f t="shared" si="508"/>
        <v>1945</v>
      </c>
      <c r="C603">
        <f t="shared" si="477"/>
        <v>1.9292134126604963</v>
      </c>
      <c r="D603">
        <f t="shared" si="478"/>
        <v>1.0258806621695737</v>
      </c>
      <c r="F603">
        <f t="shared" si="479"/>
        <v>5.2147701305305284E-6</v>
      </c>
      <c r="G603">
        <f t="shared" si="480"/>
        <v>8.9316286663004439E-4</v>
      </c>
      <c r="H603">
        <f t="shared" si="481"/>
        <v>-3.1406994871333702</v>
      </c>
      <c r="J603">
        <f t="shared" si="482"/>
        <v>15</v>
      </c>
      <c r="M603">
        <f t="shared" si="483"/>
        <v>1.3725800847252439E-3</v>
      </c>
      <c r="N603">
        <f t="shared" si="484"/>
        <v>-1.5707963250000001</v>
      </c>
      <c r="O603">
        <f t="shared" si="485"/>
        <v>524.27307672697987</v>
      </c>
      <c r="P603">
        <f t="shared" si="486"/>
        <v>1.5688889227134049</v>
      </c>
      <c r="Q603">
        <f t="shared" si="487"/>
        <v>496.58080751548027</v>
      </c>
      <c r="R603">
        <f t="shared" si="488"/>
        <v>1.5687825544928953</v>
      </c>
      <c r="S603">
        <f t="shared" si="489"/>
        <v>7.8890426776927994E-2</v>
      </c>
      <c r="T603">
        <f t="shared" si="490"/>
        <v>-1.4918238382646682</v>
      </c>
      <c r="U603">
        <f t="shared" si="491"/>
        <v>0.46583538508202316</v>
      </c>
      <c r="V603">
        <f t="shared" si="492"/>
        <v>-1.0862178747937696</v>
      </c>
      <c r="X603">
        <f t="shared" si="509"/>
        <v>-54.059026789622322</v>
      </c>
      <c r="Y603">
        <f t="shared" si="493"/>
        <v>-179.10576963148549</v>
      </c>
      <c r="Z603">
        <f t="shared" si="510"/>
        <v>0.89423036851451343</v>
      </c>
      <c r="AC603">
        <v>1</v>
      </c>
      <c r="AD603">
        <f t="shared" si="494"/>
        <v>524.27212302465</v>
      </c>
      <c r="AE603">
        <f t="shared" si="495"/>
        <v>-7.6884268246370277E-2</v>
      </c>
      <c r="AF603">
        <f t="shared" si="496"/>
        <v>4.0475274392952003E-2</v>
      </c>
      <c r="AG603">
        <f t="shared" si="473"/>
        <v>2800.6286365569122</v>
      </c>
      <c r="AH603">
        <f t="shared" si="474"/>
        <v>-5344.6032570733278</v>
      </c>
      <c r="AJ603">
        <f t="shared" si="497"/>
        <v>18000</v>
      </c>
      <c r="AK603">
        <f t="shared" si="498"/>
        <v>227453.44414300198</v>
      </c>
      <c r="AL603">
        <v>1</v>
      </c>
      <c r="AM603">
        <f t="shared" si="499"/>
        <v>496.57980062898901</v>
      </c>
      <c r="AN603">
        <f t="shared" si="475"/>
        <v>458.11120241377506</v>
      </c>
      <c r="AO603">
        <f t="shared" si="476"/>
        <v>-35.325417536852939</v>
      </c>
      <c r="AQ603">
        <f t="shared" si="500"/>
        <v>6.6084676542933459E-4</v>
      </c>
      <c r="AR603">
        <f t="shared" si="501"/>
        <v>-2.5706939175201118</v>
      </c>
      <c r="AT603">
        <f t="shared" si="523"/>
        <v>-13737.488298140945</v>
      </c>
      <c r="AU603">
        <f t="shared" si="524"/>
        <v>-7203.0909650044377</v>
      </c>
      <c r="AV603">
        <f t="shared" si="511"/>
        <v>-2.6586645362670804</v>
      </c>
      <c r="AW603">
        <f t="shared" si="512"/>
        <v>3494.971726607911</v>
      </c>
      <c r="AX603">
        <f t="shared" si="513"/>
        <v>-7318.2845065882539</v>
      </c>
      <c r="AY603">
        <f t="shared" si="521"/>
        <v>-1.1252555722638713</v>
      </c>
      <c r="BA603">
        <f t="shared" si="502"/>
        <v>1.912624469689405</v>
      </c>
      <c r="BB603">
        <f t="shared" si="514"/>
        <v>5.6325941548429492</v>
      </c>
      <c r="BC603">
        <f t="shared" si="515"/>
        <v>-1.5334089640032091</v>
      </c>
      <c r="BD603">
        <f t="shared" si="503"/>
        <v>-267.85786200530413</v>
      </c>
      <c r="BF603">
        <f t="shared" si="504"/>
        <v>-70.793271825397071</v>
      </c>
      <c r="BG603">
        <f t="shared" si="505"/>
        <v>-209.02805524900276</v>
      </c>
      <c r="BH603">
        <f t="shared" si="516"/>
        <v>-29.028055249002762</v>
      </c>
      <c r="BI603">
        <f t="shared" si="517"/>
        <v>-29.028055249002762</v>
      </c>
      <c r="BJ603">
        <f t="shared" si="506"/>
        <v>0</v>
      </c>
      <c r="BK603">
        <f t="shared" si="518"/>
        <v>0</v>
      </c>
      <c r="BM603">
        <f t="shared" si="519"/>
        <v>-76.425865980240019</v>
      </c>
      <c r="BN603">
        <f t="shared" si="507"/>
        <v>-121.17019324369865</v>
      </c>
      <c r="BQ603" s="56">
        <f t="shared" si="520"/>
        <v>22.534554955128087</v>
      </c>
    </row>
    <row r="604" spans="1:69" x14ac:dyDescent="0.25">
      <c r="A604">
        <f t="shared" si="525"/>
        <v>1950000</v>
      </c>
      <c r="B604">
        <f t="shared" si="508"/>
        <v>1950</v>
      </c>
      <c r="C604">
        <f t="shared" si="477"/>
        <v>1.9328415714536678</v>
      </c>
      <c r="D604">
        <f t="shared" si="478"/>
        <v>1.0270180464033876</v>
      </c>
      <c r="F604">
        <f t="shared" si="479"/>
        <v>5.1880618735216491E-6</v>
      </c>
      <c r="G604">
        <f t="shared" si="480"/>
        <v>8.9087268229343845E-4</v>
      </c>
      <c r="H604">
        <f t="shared" si="481"/>
        <v>-3.1407017773177066</v>
      </c>
      <c r="J604">
        <f t="shared" si="482"/>
        <v>15</v>
      </c>
      <c r="M604">
        <f t="shared" si="483"/>
        <v>1.369060648610564E-3</v>
      </c>
      <c r="N604">
        <f t="shared" si="484"/>
        <v>-1.5707963250000001</v>
      </c>
      <c r="O604">
        <f t="shared" si="485"/>
        <v>525.62081752844381</v>
      </c>
      <c r="P604">
        <f t="shared" si="486"/>
        <v>1.5688938134812842</v>
      </c>
      <c r="Q604">
        <f t="shared" si="487"/>
        <v>497.85735969112619</v>
      </c>
      <c r="R604">
        <f t="shared" si="488"/>
        <v>1.5687877179977123</v>
      </c>
      <c r="S604">
        <f t="shared" si="489"/>
        <v>7.8689397772852873E-2</v>
      </c>
      <c r="T604">
        <f t="shared" si="490"/>
        <v>-1.4920254941683579</v>
      </c>
      <c r="U604">
        <f t="shared" si="491"/>
        <v>0.46489935343518995</v>
      </c>
      <c r="V604">
        <f t="shared" si="492"/>
        <v>-1.0872753972057767</v>
      </c>
      <c r="X604">
        <f t="shared" si="509"/>
        <v>-54.104639919044075</v>
      </c>
      <c r="Y604">
        <f t="shared" si="493"/>
        <v>-179.11230306885975</v>
      </c>
      <c r="Z604">
        <f t="shared" si="510"/>
        <v>0.88769693114025472</v>
      </c>
      <c r="AC604">
        <v>1</v>
      </c>
      <c r="AD604">
        <f t="shared" si="494"/>
        <v>525.61986627150009</v>
      </c>
      <c r="AE604">
        <f t="shared" si="495"/>
        <v>-7.7280068201194291E-2</v>
      </c>
      <c r="AF604">
        <f t="shared" si="496"/>
        <v>4.0579323941520001E-2</v>
      </c>
      <c r="AG604">
        <f t="shared" si="473"/>
        <v>2789.3849939685069</v>
      </c>
      <c r="AH604">
        <f t="shared" si="474"/>
        <v>-5336.8031188831628</v>
      </c>
      <c r="AJ604">
        <f t="shared" si="497"/>
        <v>18000</v>
      </c>
      <c r="AK604">
        <f t="shared" si="498"/>
        <v>228038.15736702003</v>
      </c>
      <c r="AL604">
        <v>1</v>
      </c>
      <c r="AM604">
        <f t="shared" si="499"/>
        <v>497.85635538639002</v>
      </c>
      <c r="AN604">
        <f t="shared" si="475"/>
        <v>458.11083807554405</v>
      </c>
      <c r="AO604">
        <f t="shared" si="476"/>
        <v>-35.234840274982666</v>
      </c>
      <c r="AQ604">
        <f t="shared" si="500"/>
        <v>6.5746215269808328E-4</v>
      </c>
      <c r="AR604">
        <f t="shared" si="501"/>
        <v>-2.5641023955225251</v>
      </c>
      <c r="AT604">
        <f t="shared" si="523"/>
        <v>-13682.275746497562</v>
      </c>
      <c r="AU604">
        <f t="shared" si="524"/>
        <v>-7155.7774911362994</v>
      </c>
      <c r="AV604">
        <f t="shared" si="511"/>
        <v>-2.6597178270634947</v>
      </c>
      <c r="AW604">
        <f t="shared" si="512"/>
        <v>3482.8794922037191</v>
      </c>
      <c r="AX604">
        <f t="shared" si="513"/>
        <v>-7306.1113610775092</v>
      </c>
      <c r="AY604">
        <f t="shared" si="521"/>
        <v>-1.1259555885334878</v>
      </c>
      <c r="BA604">
        <f t="shared" si="502"/>
        <v>1.9076962380267912</v>
      </c>
      <c r="BB604">
        <f t="shared" si="514"/>
        <v>5.6101844655252178</v>
      </c>
      <c r="BC604">
        <f t="shared" si="515"/>
        <v>-1.5337622385300069</v>
      </c>
      <c r="BD604">
        <f t="shared" si="503"/>
        <v>-267.87810314472222</v>
      </c>
      <c r="BF604">
        <f t="shared" si="504"/>
        <v>-70.843962258936017</v>
      </c>
      <c r="BG604">
        <f t="shared" si="505"/>
        <v>-208.98326028996107</v>
      </c>
      <c r="BH604">
        <f t="shared" si="516"/>
        <v>-28.983260289961066</v>
      </c>
      <c r="BI604">
        <f t="shared" si="517"/>
        <v>-28.983260289961066</v>
      </c>
      <c r="BJ604">
        <f t="shared" si="506"/>
        <v>0</v>
      </c>
      <c r="BK604">
        <f t="shared" si="518"/>
        <v>0</v>
      </c>
      <c r="BM604">
        <f t="shared" si="519"/>
        <v>-76.454146724461239</v>
      </c>
      <c r="BN604">
        <f t="shared" si="507"/>
        <v>-121.10515714523889</v>
      </c>
      <c r="BQ604" s="56">
        <f t="shared" si="520"/>
        <v>22.512145265810354</v>
      </c>
    </row>
    <row r="605" spans="1:69" x14ac:dyDescent="0.25">
      <c r="A605">
        <f t="shared" si="525"/>
        <v>1955000</v>
      </c>
      <c r="B605">
        <f t="shared" si="508"/>
        <v>1955</v>
      </c>
      <c r="C605">
        <f t="shared" si="477"/>
        <v>1.9364722212822389</v>
      </c>
      <c r="D605">
        <f t="shared" si="478"/>
        <v>1.0281511671843451</v>
      </c>
      <c r="F605">
        <f t="shared" si="479"/>
        <v>5.161558278374826E-6</v>
      </c>
      <c r="G605">
        <f t="shared" si="480"/>
        <v>8.8859421263158382E-4</v>
      </c>
      <c r="H605">
        <f t="shared" si="481"/>
        <v>-3.1407040557873684</v>
      </c>
      <c r="J605">
        <f t="shared" si="482"/>
        <v>15</v>
      </c>
      <c r="M605">
        <f t="shared" si="483"/>
        <v>1.3655592147266496E-3</v>
      </c>
      <c r="N605">
        <f t="shared" si="484"/>
        <v>-1.5707963250000001</v>
      </c>
      <c r="O605">
        <f t="shared" si="485"/>
        <v>526.96855834241592</v>
      </c>
      <c r="P605">
        <f t="shared" si="486"/>
        <v>1.5688986792325383</v>
      </c>
      <c r="Q605">
        <f t="shared" si="487"/>
        <v>499.13391187997809</v>
      </c>
      <c r="R605">
        <f t="shared" si="488"/>
        <v>1.5687928550908463</v>
      </c>
      <c r="S605">
        <f t="shared" si="489"/>
        <v>7.8489387523577175E-2</v>
      </c>
      <c r="T605">
        <f t="shared" si="490"/>
        <v>-1.4922261249548383</v>
      </c>
      <c r="U605">
        <f t="shared" si="491"/>
        <v>0.46396656013577509</v>
      </c>
      <c r="V605">
        <f t="shared" si="492"/>
        <v>-1.0883286770783365</v>
      </c>
      <c r="X605">
        <f t="shared" si="509"/>
        <v>-54.150133906392533</v>
      </c>
      <c r="Y605">
        <f t="shared" si="493"/>
        <v>-179.11878124501794</v>
      </c>
      <c r="Z605">
        <f t="shared" si="510"/>
        <v>0.88121875498205782</v>
      </c>
      <c r="AC605">
        <v>1</v>
      </c>
      <c r="AD605">
        <f t="shared" si="494"/>
        <v>526.96760951835006</v>
      </c>
      <c r="AE605">
        <f t="shared" si="495"/>
        <v>-7.7676884330485099E-2</v>
      </c>
      <c r="AF605">
        <f t="shared" si="496"/>
        <v>4.0683373490088E-2</v>
      </c>
      <c r="AG605">
        <f t="shared" si="473"/>
        <v>2778.2027485510857</v>
      </c>
      <c r="AH605">
        <f t="shared" si="474"/>
        <v>-5329.0107222465112</v>
      </c>
      <c r="AJ605">
        <f t="shared" si="497"/>
        <v>18000</v>
      </c>
      <c r="AK605">
        <f t="shared" si="498"/>
        <v>228622.87059103802</v>
      </c>
      <c r="AL605">
        <v>1</v>
      </c>
      <c r="AM605">
        <f t="shared" si="499"/>
        <v>499.13291014379104</v>
      </c>
      <c r="AN605">
        <f t="shared" si="475"/>
        <v>458.11047652915568</v>
      </c>
      <c r="AO605">
        <f t="shared" si="476"/>
        <v>-35.144726318321403</v>
      </c>
      <c r="AQ605">
        <f t="shared" si="500"/>
        <v>6.5410347563768707E-4</v>
      </c>
      <c r="AR605">
        <f t="shared" si="501"/>
        <v>-2.5575445897433564</v>
      </c>
      <c r="AT605">
        <f t="shared" si="523"/>
        <v>-13627.365309292047</v>
      </c>
      <c r="AU605">
        <f t="shared" si="524"/>
        <v>-7108.8631332020841</v>
      </c>
      <c r="AV605">
        <f t="shared" si="511"/>
        <v>-2.6607668969654643</v>
      </c>
      <c r="AW605">
        <f t="shared" si="512"/>
        <v>3470.8522689641031</v>
      </c>
      <c r="AX605">
        <f t="shared" si="513"/>
        <v>-7293.9645820212672</v>
      </c>
      <c r="AY605">
        <f t="shared" si="521"/>
        <v>-1.1266525463205233</v>
      </c>
      <c r="BA605">
        <f t="shared" si="502"/>
        <v>1.9027932729889236</v>
      </c>
      <c r="BB605">
        <f t="shared" si="514"/>
        <v>5.5878321474845638</v>
      </c>
      <c r="BC605">
        <f t="shared" si="515"/>
        <v>-1.5341143506449411</v>
      </c>
      <c r="BD605">
        <f t="shared" si="503"/>
        <v>-267.89827768284641</v>
      </c>
      <c r="BF605">
        <f t="shared" si="504"/>
        <v>-70.89450053810576</v>
      </c>
      <c r="BG605">
        <f t="shared" si="505"/>
        <v>-208.93864233627917</v>
      </c>
      <c r="BH605">
        <f t="shared" si="516"/>
        <v>-28.938642336279173</v>
      </c>
      <c r="BI605">
        <f t="shared" si="517"/>
        <v>-28.938642336279173</v>
      </c>
      <c r="BJ605">
        <f t="shared" si="506"/>
        <v>0</v>
      </c>
      <c r="BK605">
        <f t="shared" si="518"/>
        <v>0</v>
      </c>
      <c r="BM605">
        <f t="shared" si="519"/>
        <v>-76.482332685590322</v>
      </c>
      <c r="BN605">
        <f t="shared" si="507"/>
        <v>-121.04036465343275</v>
      </c>
      <c r="BQ605" s="56">
        <f t="shared" si="520"/>
        <v>22.489792947769701</v>
      </c>
    </row>
    <row r="606" spans="1:69" x14ac:dyDescent="0.25">
      <c r="A606">
        <f t="shared" si="525"/>
        <v>1960000</v>
      </c>
      <c r="B606">
        <f t="shared" si="508"/>
        <v>1960</v>
      </c>
      <c r="C606">
        <f t="shared" si="477"/>
        <v>1.9401053481612829</v>
      </c>
      <c r="D606">
        <f t="shared" si="478"/>
        <v>1.0292800455462783</v>
      </c>
      <c r="F606">
        <f t="shared" si="479"/>
        <v>5.1352572593527941E-6</v>
      </c>
      <c r="G606">
        <f t="shared" si="480"/>
        <v>8.8632736798955995E-4</v>
      </c>
      <c r="H606">
        <f t="shared" si="481"/>
        <v>-3.1407063226320107</v>
      </c>
      <c r="J606">
        <f t="shared" si="482"/>
        <v>15</v>
      </c>
      <c r="M606">
        <f t="shared" si="483"/>
        <v>1.3620756453013264E-3</v>
      </c>
      <c r="N606">
        <f t="shared" si="484"/>
        <v>-1.5707963250000001</v>
      </c>
      <c r="O606">
        <f t="shared" si="485"/>
        <v>528.3162991688007</v>
      </c>
      <c r="P606">
        <f t="shared" si="486"/>
        <v>1.5689035201586201</v>
      </c>
      <c r="Q606">
        <f t="shared" si="487"/>
        <v>500.41046408193478</v>
      </c>
      <c r="R606">
        <f t="shared" si="488"/>
        <v>1.5687979659744264</v>
      </c>
      <c r="S606">
        <f t="shared" si="489"/>
        <v>7.8290388328602148E-2</v>
      </c>
      <c r="T606">
        <f t="shared" si="490"/>
        <v>-1.4924257384050326</v>
      </c>
      <c r="U606">
        <f t="shared" si="491"/>
        <v>0.46303699192061398</v>
      </c>
      <c r="V606">
        <f t="shared" si="492"/>
        <v>-1.0893777375674853</v>
      </c>
      <c r="X606">
        <f t="shared" si="509"/>
        <v>-54.19550935983726</v>
      </c>
      <c r="Y606">
        <f t="shared" si="493"/>
        <v>-179.12520470995395</v>
      </c>
      <c r="Z606">
        <f t="shared" si="510"/>
        <v>0.87479529004605183</v>
      </c>
      <c r="AC606">
        <v>1</v>
      </c>
      <c r="AD606">
        <f t="shared" si="494"/>
        <v>528.31535276520003</v>
      </c>
      <c r="AE606">
        <f t="shared" si="495"/>
        <v>-7.807471663424273E-2</v>
      </c>
      <c r="AF606">
        <f t="shared" si="496"/>
        <v>4.0787423038655998E-2</v>
      </c>
      <c r="AG606">
        <f t="shared" si="473"/>
        <v>2767.0815078738638</v>
      </c>
      <c r="AH606">
        <f t="shared" si="474"/>
        <v>-5321.226212928621</v>
      </c>
      <c r="AJ606">
        <f t="shared" si="497"/>
        <v>18000</v>
      </c>
      <c r="AK606">
        <f t="shared" si="498"/>
        <v>229207.58381505599</v>
      </c>
      <c r="AL606">
        <v>1</v>
      </c>
      <c r="AM606">
        <f t="shared" si="499"/>
        <v>500.40946490119205</v>
      </c>
      <c r="AN606">
        <f t="shared" si="475"/>
        <v>458.11011774615838</v>
      </c>
      <c r="AO606">
        <f t="shared" si="476"/>
        <v>-35.055072121222885</v>
      </c>
      <c r="AQ606">
        <f t="shared" si="500"/>
        <v>6.5077046993632407E-4</v>
      </c>
      <c r="AR606">
        <f t="shared" si="501"/>
        <v>-2.5510202421503902</v>
      </c>
      <c r="AT606">
        <f t="shared" si="523"/>
        <v>-13572.755047308943</v>
      </c>
      <c r="AU606">
        <f t="shared" si="524"/>
        <v>-7062.343835149476</v>
      </c>
      <c r="AV606">
        <f t="shared" si="511"/>
        <v>-2.6618117689633758</v>
      </c>
      <c r="AW606">
        <f t="shared" si="512"/>
        <v>3458.8896548413459</v>
      </c>
      <c r="AX606">
        <f t="shared" si="513"/>
        <v>-7281.8441964825015</v>
      </c>
      <c r="AY606">
        <f t="shared" si="521"/>
        <v>-1.1273464596420923</v>
      </c>
      <c r="BA606">
        <f t="shared" si="502"/>
        <v>1.8979153803179145</v>
      </c>
      <c r="BB606">
        <f t="shared" si="514"/>
        <v>5.5655369049209984</v>
      </c>
      <c r="BC606">
        <f t="shared" si="515"/>
        <v>-1.5344653093212834</v>
      </c>
      <c r="BD606">
        <f t="shared" si="503"/>
        <v>-267.9183861338073</v>
      </c>
      <c r="BF606">
        <f t="shared" si="504"/>
        <v>-70.944887552952338</v>
      </c>
      <c r="BG606">
        <f t="shared" si="505"/>
        <v>-208.89420070207473</v>
      </c>
      <c r="BH606">
        <f t="shared" si="516"/>
        <v>-28.894200702074727</v>
      </c>
      <c r="BI606">
        <f t="shared" si="517"/>
        <v>-28.894200702074727</v>
      </c>
      <c r="BJ606">
        <f t="shared" si="506"/>
        <v>0</v>
      </c>
      <c r="BK606">
        <f t="shared" si="518"/>
        <v>0</v>
      </c>
      <c r="BM606">
        <f t="shared" si="519"/>
        <v>-76.510424457873327</v>
      </c>
      <c r="BN606">
        <f t="shared" si="507"/>
        <v>-120.9758145682674</v>
      </c>
      <c r="BQ606" s="56">
        <f t="shared" si="520"/>
        <v>22.467497705206135</v>
      </c>
    </row>
    <row r="607" spans="1:69" x14ac:dyDescent="0.25">
      <c r="A607">
        <f t="shared" si="525"/>
        <v>1965000</v>
      </c>
      <c r="B607">
        <f t="shared" si="508"/>
        <v>1965</v>
      </c>
      <c r="C607">
        <f t="shared" si="477"/>
        <v>1.9437409382009265</v>
      </c>
      <c r="D607">
        <f t="shared" si="478"/>
        <v>1.0304047024090635</v>
      </c>
      <c r="F607">
        <f t="shared" si="479"/>
        <v>5.1091567572208442E-6</v>
      </c>
      <c r="G607">
        <f t="shared" si="480"/>
        <v>8.8407205962498698E-4</v>
      </c>
      <c r="H607">
        <f t="shared" si="481"/>
        <v>-3.1407085779403752</v>
      </c>
      <c r="J607">
        <f t="shared" si="482"/>
        <v>15</v>
      </c>
      <c r="M607">
        <f t="shared" si="483"/>
        <v>1.3586098039646817E-3</v>
      </c>
      <c r="N607">
        <f t="shared" si="484"/>
        <v>-1.5707963250000001</v>
      </c>
      <c r="O607">
        <f t="shared" si="485"/>
        <v>529.66404000750333</v>
      </c>
      <c r="P607">
        <f t="shared" si="486"/>
        <v>1.5689083364490339</v>
      </c>
      <c r="Q607">
        <f t="shared" si="487"/>
        <v>501.68701629689616</v>
      </c>
      <c r="R607">
        <f t="shared" si="488"/>
        <v>1.5688030508485244</v>
      </c>
      <c r="S607">
        <f t="shared" si="489"/>
        <v>7.8092392564598906E-2</v>
      </c>
      <c r="T607">
        <f t="shared" si="490"/>
        <v>-1.4926243422214789</v>
      </c>
      <c r="U607">
        <f t="shared" si="491"/>
        <v>0.46211063556362642</v>
      </c>
      <c r="V607">
        <f t="shared" si="492"/>
        <v>-1.0904226016812555</v>
      </c>
      <c r="X607">
        <f t="shared" si="509"/>
        <v>-54.240766883028762</v>
      </c>
      <c r="Y607">
        <f t="shared" si="493"/>
        <v>-179.13157400739644</v>
      </c>
      <c r="Z607">
        <f t="shared" si="510"/>
        <v>0.86842599260356224</v>
      </c>
      <c r="AC607">
        <v>1</v>
      </c>
      <c r="AD607">
        <f t="shared" si="494"/>
        <v>529.66309601205</v>
      </c>
      <c r="AE607">
        <f t="shared" si="495"/>
        <v>-7.8473565112467183E-2</v>
      </c>
      <c r="AF607">
        <f t="shared" si="496"/>
        <v>4.0891472587223997E-2</v>
      </c>
      <c r="AG607">
        <f t="shared" si="473"/>
        <v>2756.0208820289727</v>
      </c>
      <c r="AH607">
        <f t="shared" si="474"/>
        <v>-5313.449733896462</v>
      </c>
      <c r="AJ607">
        <f t="shared" si="497"/>
        <v>18000</v>
      </c>
      <c r="AK607">
        <f t="shared" si="498"/>
        <v>229792.29703907404</v>
      </c>
      <c r="AL607">
        <v>1</v>
      </c>
      <c r="AM607">
        <f t="shared" si="499"/>
        <v>501.68601965859301</v>
      </c>
      <c r="AN607">
        <f t="shared" si="475"/>
        <v>458.10976169846236</v>
      </c>
      <c r="AO607">
        <f t="shared" si="476"/>
        <v>-34.965874174128139</v>
      </c>
      <c r="AQ607">
        <f t="shared" si="500"/>
        <v>6.4746287464063381E-4</v>
      </c>
      <c r="AR607">
        <f t="shared" si="501"/>
        <v>-2.5445290973376911</v>
      </c>
      <c r="AT607">
        <f t="shared" si="523"/>
        <v>-13518.443033937911</v>
      </c>
      <c r="AU607">
        <f t="shared" si="524"/>
        <v>-7016.2155886319761</v>
      </c>
      <c r="AV607">
        <f t="shared" si="511"/>
        <v>-2.662852465901298</v>
      </c>
      <c r="AW607">
        <f t="shared" si="512"/>
        <v>3446.9912501454564</v>
      </c>
      <c r="AX607">
        <f t="shared" si="513"/>
        <v>-7269.7502297817373</v>
      </c>
      <c r="AY607">
        <f t="shared" si="521"/>
        <v>-1.1280373424615542</v>
      </c>
      <c r="BA607">
        <f t="shared" si="502"/>
        <v>1.8930623677441361</v>
      </c>
      <c r="BB607">
        <f t="shared" si="514"/>
        <v>5.5432984443149502</v>
      </c>
      <c r="BC607">
        <f t="shared" si="515"/>
        <v>-1.5348151234397438</v>
      </c>
      <c r="BD607">
        <f t="shared" si="503"/>
        <v>-267.9384290064321</v>
      </c>
      <c r="BF607">
        <f t="shared" si="504"/>
        <v>-70.995124186104619</v>
      </c>
      <c r="BG607">
        <f t="shared" si="505"/>
        <v>-208.84993470263876</v>
      </c>
      <c r="BH607">
        <f t="shared" si="516"/>
        <v>-28.849934702638762</v>
      </c>
      <c r="BI607">
        <f t="shared" si="517"/>
        <v>-28.849934702638762</v>
      </c>
      <c r="BJ607">
        <f t="shared" si="506"/>
        <v>0</v>
      </c>
      <c r="BK607">
        <f t="shared" si="518"/>
        <v>0</v>
      </c>
      <c r="BM607">
        <f t="shared" si="519"/>
        <v>-76.538422630419575</v>
      </c>
      <c r="BN607">
        <f t="shared" si="507"/>
        <v>-120.91150569620669</v>
      </c>
      <c r="BQ607" s="56">
        <f t="shared" si="520"/>
        <v>22.445259244600088</v>
      </c>
    </row>
    <row r="608" spans="1:69" x14ac:dyDescent="0.25">
      <c r="A608">
        <f t="shared" si="525"/>
        <v>1970000</v>
      </c>
      <c r="B608">
        <f t="shared" si="508"/>
        <v>1970</v>
      </c>
      <c r="C608">
        <f t="shared" si="477"/>
        <v>1.9473789776056385</v>
      </c>
      <c r="D608">
        <f t="shared" si="478"/>
        <v>1.0315251585791247</v>
      </c>
      <c r="F608">
        <f t="shared" si="479"/>
        <v>5.0832547388437312E-6</v>
      </c>
      <c r="G608">
        <f t="shared" si="480"/>
        <v>8.8182819969644501E-4</v>
      </c>
      <c r="H608">
        <f t="shared" si="481"/>
        <v>-3.1407108218003037</v>
      </c>
      <c r="J608">
        <f t="shared" si="482"/>
        <v>15</v>
      </c>
      <c r="M608">
        <f t="shared" si="483"/>
        <v>1.3551615557312689E-3</v>
      </c>
      <c r="N608">
        <f t="shared" si="484"/>
        <v>-1.5707963250000001</v>
      </c>
      <c r="O608">
        <f t="shared" si="485"/>
        <v>531.01178085843014</v>
      </c>
      <c r="P608">
        <f t="shared" si="486"/>
        <v>1.5689131282913598</v>
      </c>
      <c r="Q608">
        <f t="shared" si="487"/>
        <v>502.96356852476333</v>
      </c>
      <c r="R608">
        <f t="shared" si="488"/>
        <v>1.5688081099111812</v>
      </c>
      <c r="S608">
        <f t="shared" si="489"/>
        <v>7.7895392684447201E-2</v>
      </c>
      <c r="T608">
        <f t="shared" si="490"/>
        <v>-1.492821944029312</v>
      </c>
      <c r="U608">
        <f t="shared" si="491"/>
        <v>0.46118747787622677</v>
      </c>
      <c r="V608">
        <f t="shared" si="492"/>
        <v>-1.0914632922806289</v>
      </c>
      <c r="X608">
        <f t="shared" si="509"/>
        <v>-54.285907075142063</v>
      </c>
      <c r="Y608">
        <f t="shared" si="493"/>
        <v>-179.13788967488964</v>
      </c>
      <c r="Z608">
        <f t="shared" si="510"/>
        <v>0.86211032511036478</v>
      </c>
      <c r="AC608">
        <v>1</v>
      </c>
      <c r="AD608">
        <f t="shared" si="494"/>
        <v>531.01083925890009</v>
      </c>
      <c r="AE608">
        <f t="shared" si="495"/>
        <v>-7.8873429765158432E-2</v>
      </c>
      <c r="AF608">
        <f t="shared" si="496"/>
        <v>4.0995522135791995E-2</v>
      </c>
      <c r="AG608">
        <f t="shared" si="473"/>
        <v>2745.0204836209127</v>
      </c>
      <c r="AH608">
        <f t="shared" si="474"/>
        <v>-5305.6814253597322</v>
      </c>
      <c r="AJ608">
        <f t="shared" si="497"/>
        <v>18000</v>
      </c>
      <c r="AK608">
        <f t="shared" si="498"/>
        <v>230377.010263092</v>
      </c>
      <c r="AL608">
        <v>1</v>
      </c>
      <c r="AM608">
        <f t="shared" si="499"/>
        <v>502.96257441599403</v>
      </c>
      <c r="AN608">
        <f t="shared" si="475"/>
        <v>458.1094083583331</v>
      </c>
      <c r="AO608">
        <f t="shared" si="476"/>
        <v>-34.87712900310747</v>
      </c>
      <c r="AQ608">
        <f t="shared" si="500"/>
        <v>6.4418043210463858E-4</v>
      </c>
      <c r="AR608">
        <f t="shared" si="501"/>
        <v>-2.5380709024922763</v>
      </c>
      <c r="AT608">
        <f t="shared" si="523"/>
        <v>-13464.427355118007</v>
      </c>
      <c r="AU608">
        <f t="shared" si="524"/>
        <v>-6970.4744323767127</v>
      </c>
      <c r="AV608">
        <f t="shared" si="511"/>
        <v>-2.6638890104779134</v>
      </c>
      <c r="AW608">
        <f t="shared" si="512"/>
        <v>3435.1566575393736</v>
      </c>
      <c r="AX608">
        <f t="shared" si="513"/>
        <v>-7257.6827055252816</v>
      </c>
      <c r="AY608">
        <f t="shared" si="521"/>
        <v>-1.1287252086882538</v>
      </c>
      <c r="BA608">
        <f t="shared" si="502"/>
        <v>1.8882340449608306</v>
      </c>
      <c r="BB608">
        <f t="shared" si="514"/>
        <v>5.5211164744038861</v>
      </c>
      <c r="BC608">
        <f t="shared" si="515"/>
        <v>-1.5351638017896596</v>
      </c>
      <c r="BD608">
        <f t="shared" si="503"/>
        <v>-267.95840680431269</v>
      </c>
      <c r="BF608">
        <f t="shared" si="504"/>
        <v>-71.045211312852643</v>
      </c>
      <c r="BG608">
        <f t="shared" si="505"/>
        <v>-208.80584365447598</v>
      </c>
      <c r="BH608">
        <f t="shared" si="516"/>
        <v>-28.805843654475979</v>
      </c>
      <c r="BI608">
        <f t="shared" si="517"/>
        <v>-28.805843654475979</v>
      </c>
      <c r="BJ608">
        <f t="shared" si="506"/>
        <v>0</v>
      </c>
      <c r="BK608">
        <f t="shared" si="518"/>
        <v>0</v>
      </c>
      <c r="BM608">
        <f t="shared" si="519"/>
        <v>-76.566327787256526</v>
      </c>
      <c r="BN608">
        <f t="shared" si="507"/>
        <v>-120.84743685016329</v>
      </c>
      <c r="BQ608" s="56">
        <f t="shared" si="520"/>
        <v>22.423077274689021</v>
      </c>
    </row>
    <row r="609" spans="1:69" x14ac:dyDescent="0.25">
      <c r="A609">
        <f t="shared" si="525"/>
        <v>1975000</v>
      </c>
      <c r="B609">
        <f t="shared" si="508"/>
        <v>1975</v>
      </c>
      <c r="C609">
        <f t="shared" si="477"/>
        <v>1.9510194526735261</v>
      </c>
      <c r="D609">
        <f t="shared" si="478"/>
        <v>1.0326414347499389</v>
      </c>
      <c r="F609">
        <f t="shared" si="479"/>
        <v>5.0575491967897299E-6</v>
      </c>
      <c r="G609">
        <f t="shared" si="480"/>
        <v>8.7959570125206959E-4</v>
      </c>
      <c r="H609">
        <f t="shared" si="481"/>
        <v>-3.140713054298748</v>
      </c>
      <c r="J609">
        <f t="shared" si="482"/>
        <v>15</v>
      </c>
      <c r="M609">
        <f t="shared" si="483"/>
        <v>1.351730766982582E-3</v>
      </c>
      <c r="N609">
        <f t="shared" si="484"/>
        <v>-1.5707963250000001</v>
      </c>
      <c r="O609">
        <f t="shared" si="485"/>
        <v>532.35952172148802</v>
      </c>
      <c r="P609">
        <f t="shared" si="486"/>
        <v>1.5689178958712788</v>
      </c>
      <c r="Q609">
        <f t="shared" si="487"/>
        <v>504.24012076543823</v>
      </c>
      <c r="R609">
        <f t="shared" si="488"/>
        <v>1.5688131433584318</v>
      </c>
      <c r="S609">
        <f t="shared" si="489"/>
        <v>7.7699381216288541E-2</v>
      </c>
      <c r="T609">
        <f t="shared" si="490"/>
        <v>-1.4930185513772318</v>
      </c>
      <c r="U609">
        <f t="shared" si="491"/>
        <v>0.46026750570772168</v>
      </c>
      <c r="V609">
        <f t="shared" si="492"/>
        <v>-1.0924998320804857</v>
      </c>
      <c r="X609">
        <f t="shared" si="509"/>
        <v>-54.330930530919744</v>
      </c>
      <c r="Y609">
        <f t="shared" si="493"/>
        <v>-179.14415224387122</v>
      </c>
      <c r="Z609">
        <f t="shared" si="510"/>
        <v>0.85584775612878161</v>
      </c>
      <c r="AC609">
        <v>1</v>
      </c>
      <c r="AD609">
        <f t="shared" si="494"/>
        <v>532.35858250574995</v>
      </c>
      <c r="AE609">
        <f t="shared" si="495"/>
        <v>-7.9274310592316502E-2</v>
      </c>
      <c r="AF609">
        <f t="shared" si="496"/>
        <v>4.1099571684360001E-2</v>
      </c>
      <c r="AG609">
        <f t="shared" si="473"/>
        <v>2734.0799277558799</v>
      </c>
      <c r="AH609">
        <f t="shared" si="474"/>
        <v>-5297.9214248112803</v>
      </c>
      <c r="AJ609">
        <f t="shared" si="497"/>
        <v>18000</v>
      </c>
      <c r="AK609">
        <f t="shared" si="498"/>
        <v>230961.72348710999</v>
      </c>
      <c r="AL609">
        <v>1</v>
      </c>
      <c r="AM609">
        <f t="shared" si="499"/>
        <v>504.23912917339504</v>
      </c>
      <c r="AN609">
        <f t="shared" si="475"/>
        <v>458.10905769838729</v>
      </c>
      <c r="AO609">
        <f t="shared" si="476"/>
        <v>-34.788833169409585</v>
      </c>
      <c r="AQ609">
        <f t="shared" si="500"/>
        <v>6.4092288793956816E-4</v>
      </c>
      <c r="AR609">
        <f t="shared" si="501"/>
        <v>-2.5316454073612942</v>
      </c>
      <c r="AT609">
        <f t="shared" si="523"/>
        <v>-13410.706109281327</v>
      </c>
      <c r="AU609">
        <f t="shared" si="524"/>
        <v>-6925.1164515615392</v>
      </c>
      <c r="AV609">
        <f t="shared" si="511"/>
        <v>-2.6649214252474467</v>
      </c>
      <c r="AW609">
        <f t="shared" si="512"/>
        <v>3423.3854820339229</v>
      </c>
      <c r="AX609">
        <f t="shared" si="513"/>
        <v>-7245.641645633079</v>
      </c>
      <c r="AY609">
        <f t="shared" si="521"/>
        <v>-1.1294100721772722</v>
      </c>
      <c r="BA609">
        <f t="shared" si="502"/>
        <v>1.8834302235990981</v>
      </c>
      <c r="BB609">
        <f t="shared" si="514"/>
        <v>5.4989907061591659</v>
      </c>
      <c r="BC609">
        <f t="shared" si="515"/>
        <v>-1.5355113530701745</v>
      </c>
      <c r="BD609">
        <f t="shared" si="503"/>
        <v>-267.9783200258733</v>
      </c>
      <c r="BF609">
        <f t="shared" si="504"/>
        <v>-71.095149801224721</v>
      </c>
      <c r="BG609">
        <f t="shared" si="505"/>
        <v>-208.76192687534362</v>
      </c>
      <c r="BH609">
        <f t="shared" si="516"/>
        <v>-28.761926875343619</v>
      </c>
      <c r="BI609">
        <f t="shared" si="517"/>
        <v>-28.761926875343619</v>
      </c>
      <c r="BJ609">
        <f t="shared" si="506"/>
        <v>0</v>
      </c>
      <c r="BK609">
        <f t="shared" si="518"/>
        <v>0</v>
      </c>
      <c r="BM609">
        <f t="shared" si="519"/>
        <v>-76.594140507383898</v>
      </c>
      <c r="BN609">
        <f t="shared" si="507"/>
        <v>-120.78360684947033</v>
      </c>
      <c r="BQ609" s="56">
        <f t="shared" si="520"/>
        <v>22.400951506444301</v>
      </c>
    </row>
    <row r="610" spans="1:69" x14ac:dyDescent="0.25">
      <c r="A610">
        <f t="shared" si="525"/>
        <v>1980000</v>
      </c>
      <c r="B610">
        <f t="shared" si="508"/>
        <v>1980</v>
      </c>
      <c r="C610">
        <f t="shared" si="477"/>
        <v>1.9546623497956341</v>
      </c>
      <c r="D610">
        <f t="shared" si="478"/>
        <v>1.0337535515025404</v>
      </c>
      <c r="F610">
        <f t="shared" si="479"/>
        <v>5.0320381489416721E-6</v>
      </c>
      <c r="G610">
        <f t="shared" si="480"/>
        <v>8.7737447821832019E-4</v>
      </c>
      <c r="H610">
        <f t="shared" si="481"/>
        <v>-3.140715275521782</v>
      </c>
      <c r="J610">
        <f t="shared" si="482"/>
        <v>15</v>
      </c>
      <c r="M610">
        <f t="shared" si="483"/>
        <v>1.348317305449798E-3</v>
      </c>
      <c r="N610">
        <f t="shared" si="484"/>
        <v>-1.5707963250000001</v>
      </c>
      <c r="O610">
        <f t="shared" si="485"/>
        <v>533.70726259658522</v>
      </c>
      <c r="P610">
        <f t="shared" si="486"/>
        <v>1.5689226393725961</v>
      </c>
      <c r="Q610">
        <f t="shared" si="487"/>
        <v>505.51667301882384</v>
      </c>
      <c r="R610">
        <f t="shared" si="488"/>
        <v>1.5688181513843313</v>
      </c>
      <c r="S610">
        <f t="shared" si="489"/>
        <v>7.750435076259328E-2</v>
      </c>
      <c r="T610">
        <f t="shared" si="490"/>
        <v>-1.4932141717384571</v>
      </c>
      <c r="U610">
        <f t="shared" si="491"/>
        <v>0.4593507059456936</v>
      </c>
      <c r="V610">
        <f t="shared" si="492"/>
        <v>-1.0935322436505479</v>
      </c>
      <c r="X610">
        <f t="shared" si="509"/>
        <v>-54.375837840714574</v>
      </c>
      <c r="Y610">
        <f t="shared" si="493"/>
        <v>-179.15036223975039</v>
      </c>
      <c r="Z610">
        <f t="shared" si="510"/>
        <v>0.8496377602496068</v>
      </c>
      <c r="AC610">
        <v>1</v>
      </c>
      <c r="AD610">
        <f t="shared" si="494"/>
        <v>533.70632575260004</v>
      </c>
      <c r="AE610">
        <f t="shared" si="495"/>
        <v>-7.9676207593941381E-2</v>
      </c>
      <c r="AF610">
        <f t="shared" si="496"/>
        <v>4.1203621232927999E-2</v>
      </c>
      <c r="AG610">
        <f t="shared" si="473"/>
        <v>2723.198832030967</v>
      </c>
      <c r="AH610">
        <f t="shared" si="474"/>
        <v>-5290.1698670670075</v>
      </c>
      <c r="AJ610">
        <f t="shared" si="497"/>
        <v>18000</v>
      </c>
      <c r="AK610">
        <f t="shared" si="498"/>
        <v>231546.43671112802</v>
      </c>
      <c r="AL610">
        <v>1</v>
      </c>
      <c r="AM610">
        <f t="shared" si="499"/>
        <v>505.51568393079606</v>
      </c>
      <c r="AN610">
        <f t="shared" si="475"/>
        <v>458.10870969158691</v>
      </c>
      <c r="AO610">
        <f t="shared" si="476"/>
        <v>-34.700983269017343</v>
      </c>
      <c r="AQ610">
        <f t="shared" si="500"/>
        <v>6.3768999096457048E-4</v>
      </c>
      <c r="AR610">
        <f t="shared" si="501"/>
        <v>-2.5252523642196993</v>
      </c>
      <c r="AT610">
        <f t="shared" si="523"/>
        <v>-13357.27740729618</v>
      </c>
      <c r="AU610">
        <f t="shared" si="524"/>
        <v>-6880.1377772012547</v>
      </c>
      <c r="AV610">
        <f t="shared" si="511"/>
        <v>-2.6659497326205872</v>
      </c>
      <c r="AW610">
        <f t="shared" si="512"/>
        <v>3411.6773309824939</v>
      </c>
      <c r="AX610">
        <f t="shared" si="513"/>
        <v>-7233.6270703662394</v>
      </c>
      <c r="AY610">
        <f t="shared" si="521"/>
        <v>-1.1300919467291974</v>
      </c>
      <c r="BA610">
        <f t="shared" si="502"/>
        <v>1.8786507172032731</v>
      </c>
      <c r="BB610">
        <f t="shared" si="514"/>
        <v>5.4769208527632269</v>
      </c>
      <c r="BC610">
        <f t="shared" si="515"/>
        <v>-1.5358577858913898</v>
      </c>
      <c r="BD610">
        <f t="shared" si="503"/>
        <v>-267.99816916443643</v>
      </c>
      <c r="BF610">
        <f t="shared" si="504"/>
        <v>-71.14494051206394</v>
      </c>
      <c r="BG610">
        <f t="shared" si="505"/>
        <v>-208.71818368428941</v>
      </c>
      <c r="BH610">
        <f t="shared" si="516"/>
        <v>-28.718183684289414</v>
      </c>
      <c r="BI610">
        <f t="shared" si="517"/>
        <v>-28.718183684289414</v>
      </c>
      <c r="BJ610">
        <f t="shared" si="506"/>
        <v>0</v>
      </c>
      <c r="BK610">
        <f t="shared" si="518"/>
        <v>0</v>
      </c>
      <c r="BM610">
        <f t="shared" si="519"/>
        <v>-76.621861364827183</v>
      </c>
      <c r="BN610">
        <f t="shared" si="507"/>
        <v>-120.720014519853</v>
      </c>
      <c r="BQ610" s="56">
        <f t="shared" si="520"/>
        <v>22.378881653048364</v>
      </c>
    </row>
    <row r="611" spans="1:69" x14ac:dyDescent="0.25">
      <c r="A611">
        <f t="shared" si="525"/>
        <v>1985000</v>
      </c>
      <c r="B611">
        <f t="shared" si="508"/>
        <v>1985</v>
      </c>
      <c r="C611">
        <f t="shared" si="477"/>
        <v>1.9583076554552485</v>
      </c>
      <c r="D611">
        <f t="shared" si="478"/>
        <v>1.0348615293060295</v>
      </c>
      <c r="F611">
        <f t="shared" si="479"/>
        <v>5.0067196381148409E-6</v>
      </c>
      <c r="G611">
        <f t="shared" si="480"/>
        <v>8.7516444538891639E-4</v>
      </c>
      <c r="H611">
        <f t="shared" si="481"/>
        <v>-3.1407174855546112</v>
      </c>
      <c r="J611">
        <f t="shared" si="482"/>
        <v>15</v>
      </c>
      <c r="M611">
        <f t="shared" si="483"/>
        <v>1.3449210401967758E-3</v>
      </c>
      <c r="N611">
        <f t="shared" si="484"/>
        <v>-1.5707963250000001</v>
      </c>
      <c r="O611">
        <f t="shared" si="485"/>
        <v>535.0550034836308</v>
      </c>
      <c r="P611">
        <f t="shared" si="486"/>
        <v>1.568927358977265</v>
      </c>
      <c r="Q611">
        <f t="shared" si="487"/>
        <v>506.79322528482402</v>
      </c>
      <c r="R611">
        <f t="shared" si="488"/>
        <v>1.5688231341809797</v>
      </c>
      <c r="S611">
        <f t="shared" si="489"/>
        <v>7.7310293999241594E-2</v>
      </c>
      <c r="T611">
        <f t="shared" si="490"/>
        <v>-1.4934088125116634</v>
      </c>
      <c r="U611">
        <f t="shared" si="491"/>
        <v>0.45843706551637203</v>
      </c>
      <c r="V611">
        <f t="shared" si="492"/>
        <v>-1.0945605494163204</v>
      </c>
      <c r="X611">
        <f t="shared" si="509"/>
        <v>-54.42062959053149</v>
      </c>
      <c r="Y611">
        <f t="shared" si="493"/>
        <v>-179.15652018198401</v>
      </c>
      <c r="Z611">
        <f t="shared" si="510"/>
        <v>0.84347981801599303</v>
      </c>
      <c r="AC611">
        <v>1</v>
      </c>
      <c r="AD611">
        <f t="shared" si="494"/>
        <v>535.05406899945001</v>
      </c>
      <c r="AE611">
        <f t="shared" si="495"/>
        <v>-8.0079120770033083E-2</v>
      </c>
      <c r="AF611">
        <f t="shared" si="496"/>
        <v>4.1307670781496005E-2</v>
      </c>
      <c r="AG611">
        <f t="shared" si="473"/>
        <v>2712.3768165232455</v>
      </c>
      <c r="AH611">
        <f t="shared" si="474"/>
        <v>-5282.4268843051987</v>
      </c>
      <c r="AJ611">
        <f t="shared" si="497"/>
        <v>18000</v>
      </c>
      <c r="AK611">
        <f t="shared" si="498"/>
        <v>232131.14993514601</v>
      </c>
      <c r="AL611">
        <v>1</v>
      </c>
      <c r="AM611">
        <f t="shared" si="499"/>
        <v>506.79223868819702</v>
      </c>
      <c r="AN611">
        <f t="shared" si="475"/>
        <v>458.10836431123357</v>
      </c>
      <c r="AO611">
        <f t="shared" si="476"/>
        <v>-34.613575932210317</v>
      </c>
      <c r="AQ611">
        <f t="shared" si="500"/>
        <v>6.344814931582909E-4</v>
      </c>
      <c r="AR611">
        <f t="shared" si="501"/>
        <v>-2.5188915278384147</v>
      </c>
      <c r="AT611">
        <f t="shared" si="523"/>
        <v>-13304.139372409683</v>
      </c>
      <c r="AU611">
        <f t="shared" si="524"/>
        <v>-6835.5345855427868</v>
      </c>
      <c r="AV611">
        <f t="shared" si="511"/>
        <v>-2.6669739548654103</v>
      </c>
      <c r="AW611">
        <f t="shared" si="512"/>
        <v>3400.031814075478</v>
      </c>
      <c r="AX611">
        <f t="shared" si="513"/>
        <v>-7221.6389983541749</v>
      </c>
      <c r="AY611">
        <f t="shared" si="521"/>
        <v>-1.1307708460899029</v>
      </c>
      <c r="BA611">
        <f t="shared" si="502"/>
        <v>1.8738953412066759</v>
      </c>
      <c r="BB611">
        <f t="shared" si="514"/>
        <v>5.4549066295870743</v>
      </c>
      <c r="BC611">
        <f t="shared" si="515"/>
        <v>-1.5362031087755075</v>
      </c>
      <c r="BD611">
        <f t="shared" si="503"/>
        <v>-268.01795470828824</v>
      </c>
      <c r="BF611">
        <f t="shared" si="504"/>
        <v>-71.194584299103298</v>
      </c>
      <c r="BG611">
        <f t="shared" si="505"/>
        <v>-208.67461340168845</v>
      </c>
      <c r="BH611">
        <f t="shared" si="516"/>
        <v>-28.674613401688447</v>
      </c>
      <c r="BI611">
        <f t="shared" si="517"/>
        <v>-28.674613401688447</v>
      </c>
      <c r="BJ611">
        <f t="shared" si="506"/>
        <v>0</v>
      </c>
      <c r="BK611">
        <f t="shared" si="518"/>
        <v>0</v>
      </c>
      <c r="BM611">
        <f t="shared" si="519"/>
        <v>-76.649490928690383</v>
      </c>
      <c r="BN611">
        <f t="shared" si="507"/>
        <v>-120.6566586934002</v>
      </c>
      <c r="BQ611" s="56">
        <f t="shared" si="520"/>
        <v>22.35686742987221</v>
      </c>
    </row>
    <row r="612" spans="1:69" x14ac:dyDescent="0.25">
      <c r="A612">
        <f t="shared" si="525"/>
        <v>1990000</v>
      </c>
      <c r="B612">
        <f t="shared" si="508"/>
        <v>1990</v>
      </c>
      <c r="C612">
        <f t="shared" si="477"/>
        <v>1.9619553562272092</v>
      </c>
      <c r="D612">
        <f t="shared" si="478"/>
        <v>1.0359653885180788</v>
      </c>
      <c r="F612">
        <f t="shared" si="479"/>
        <v>4.9815917316815672E-6</v>
      </c>
      <c r="G612">
        <f t="shared" si="480"/>
        <v>8.7296551841394335E-4</v>
      </c>
      <c r="H612">
        <f t="shared" si="481"/>
        <v>-3.1407196844815863</v>
      </c>
      <c r="J612">
        <f t="shared" si="482"/>
        <v>15</v>
      </c>
      <c r="M612">
        <f t="shared" si="483"/>
        <v>1.3415418416033165E-3</v>
      </c>
      <c r="N612">
        <f t="shared" si="484"/>
        <v>-1.5707963250000001</v>
      </c>
      <c r="O612">
        <f t="shared" si="485"/>
        <v>536.40274438253482</v>
      </c>
      <c r="P612">
        <f t="shared" si="486"/>
        <v>1.5689320548654102</v>
      </c>
      <c r="Q612">
        <f t="shared" si="487"/>
        <v>508.06977756334385</v>
      </c>
      <c r="R612">
        <f t="shared" si="488"/>
        <v>1.5688280919385462</v>
      </c>
      <c r="S612">
        <f t="shared" si="489"/>
        <v>7.7117203674617871E-2</v>
      </c>
      <c r="T612">
        <f t="shared" si="490"/>
        <v>-1.4936024810219095</v>
      </c>
      <c r="U612">
        <f t="shared" si="491"/>
        <v>0.45752657138499059</v>
      </c>
      <c r="V612">
        <f t="shared" si="492"/>
        <v>-1.0955847716600275</v>
      </c>
      <c r="X612">
        <f t="shared" si="509"/>
        <v>-54.4653063620692</v>
      </c>
      <c r="Y612">
        <f t="shared" si="493"/>
        <v>-179.16262658415241</v>
      </c>
      <c r="Z612">
        <f t="shared" si="510"/>
        <v>0.83737341584759406</v>
      </c>
      <c r="AC612">
        <v>1</v>
      </c>
      <c r="AD612">
        <f t="shared" si="494"/>
        <v>536.40181224629998</v>
      </c>
      <c r="AE612">
        <f t="shared" si="495"/>
        <v>-8.0483050120591593E-2</v>
      </c>
      <c r="AF612">
        <f t="shared" si="496"/>
        <v>4.1411720330063996E-2</v>
      </c>
      <c r="AG612">
        <f t="shared" si="473"/>
        <v>2701.6135037787362</v>
      </c>
      <c r="AH612">
        <f t="shared" si="474"/>
        <v>-5274.6926061053482</v>
      </c>
      <c r="AJ612">
        <f t="shared" si="497"/>
        <v>18000</v>
      </c>
      <c r="AK612">
        <f t="shared" si="498"/>
        <v>232715.863159164</v>
      </c>
      <c r="AL612">
        <v>1</v>
      </c>
      <c r="AM612">
        <f t="shared" si="499"/>
        <v>508.06879344559803</v>
      </c>
      <c r="AN612">
        <f t="shared" si="475"/>
        <v>458.10802153096438</v>
      </c>
      <c r="AO612">
        <f t="shared" si="476"/>
        <v>-34.526607823133993</v>
      </c>
      <c r="AQ612">
        <f t="shared" si="500"/>
        <v>6.3129714961130084E-4</v>
      </c>
      <c r="AR612">
        <f t="shared" si="501"/>
        <v>-2.5125626554529776</v>
      </c>
      <c r="AT612">
        <f t="shared" si="523"/>
        <v>-13251.290140189954</v>
      </c>
      <c r="AU612">
        <f t="shared" si="524"/>
        <v>-6791.3030974692347</v>
      </c>
      <c r="AV612">
        <f t="shared" si="511"/>
        <v>-2.667994114108291</v>
      </c>
      <c r="AW612">
        <f t="shared" si="512"/>
        <v>3388.448543334458</v>
      </c>
      <c r="AX612">
        <f t="shared" si="513"/>
        <v>-7209.6774466214583</v>
      </c>
      <c r="AY612">
        <f t="shared" si="521"/>
        <v>-1.131446783950345</v>
      </c>
      <c r="BA612">
        <f t="shared" si="502"/>
        <v>1.8691639129077258</v>
      </c>
      <c r="BB612">
        <f t="shared" si="514"/>
        <v>5.4329477541680067</v>
      </c>
      <c r="BC612">
        <f t="shared" si="515"/>
        <v>-1.536547330157946</v>
      </c>
      <c r="BD612">
        <f t="shared" si="503"/>
        <v>-268.03767714074269</v>
      </c>
      <c r="BF612">
        <f t="shared" si="504"/>
        <v>-71.244082009040227</v>
      </c>
      <c r="BG612">
        <f t="shared" si="505"/>
        <v>-208.63121534927885</v>
      </c>
      <c r="BH612">
        <f t="shared" si="516"/>
        <v>-28.631215349278847</v>
      </c>
      <c r="BI612">
        <f t="shared" si="517"/>
        <v>-28.631215349278847</v>
      </c>
      <c r="BJ612">
        <f t="shared" si="506"/>
        <v>0</v>
      </c>
      <c r="BK612">
        <f t="shared" si="518"/>
        <v>0</v>
      </c>
      <c r="BM612">
        <f t="shared" si="519"/>
        <v>-76.677029763208225</v>
      </c>
      <c r="BN612">
        <f t="shared" si="507"/>
        <v>-120.59353820853616</v>
      </c>
      <c r="BQ612" s="56">
        <f t="shared" si="520"/>
        <v>22.334908554453143</v>
      </c>
    </row>
    <row r="613" spans="1:69" x14ac:dyDescent="0.25">
      <c r="A613">
        <f t="shared" si="525"/>
        <v>1995000</v>
      </c>
      <c r="B613">
        <f t="shared" si="508"/>
        <v>1995</v>
      </c>
      <c r="C613">
        <f t="shared" si="477"/>
        <v>1.965605438777223</v>
      </c>
      <c r="D613">
        <f t="shared" si="478"/>
        <v>1.0370651493854441</v>
      </c>
      <c r="F613">
        <f t="shared" si="479"/>
        <v>4.9566525212024209E-6</v>
      </c>
      <c r="G613">
        <f t="shared" si="480"/>
        <v>8.7077761378912021E-4</v>
      </c>
      <c r="H613">
        <f t="shared" si="481"/>
        <v>-3.1407218723862109</v>
      </c>
      <c r="J613">
        <f t="shared" si="482"/>
        <v>15</v>
      </c>
      <c r="M613">
        <f t="shared" si="483"/>
        <v>1.3381795813486716E-3</v>
      </c>
      <c r="N613">
        <f t="shared" si="484"/>
        <v>-1.5707963250000001</v>
      </c>
      <c r="O613">
        <f t="shared" si="485"/>
        <v>537.75048529320782</v>
      </c>
      <c r="P613">
        <f t="shared" si="486"/>
        <v>1.5689367272153505</v>
      </c>
      <c r="Q613">
        <f t="shared" si="487"/>
        <v>509.34632985428914</v>
      </c>
      <c r="R613">
        <f t="shared" si="488"/>
        <v>1.5688330248452937</v>
      </c>
      <c r="S613">
        <f t="shared" si="489"/>
        <v>7.6925072608718559E-2</v>
      </c>
      <c r="T613">
        <f t="shared" si="490"/>
        <v>-1.4937951845215487</v>
      </c>
      <c r="U613">
        <f t="shared" si="491"/>
        <v>0.45661921055613297</v>
      </c>
      <c r="V613">
        <f t="shared" si="492"/>
        <v>-1.0966049325215443</v>
      </c>
      <c r="X613">
        <f t="shared" si="509"/>
        <v>-54.509868732761234</v>
      </c>
      <c r="Y613">
        <f t="shared" si="493"/>
        <v>-179.16868195403333</v>
      </c>
      <c r="Z613">
        <f t="shared" si="510"/>
        <v>0.83131804596666825</v>
      </c>
      <c r="AC613">
        <v>1</v>
      </c>
      <c r="AD613">
        <f t="shared" si="494"/>
        <v>537.74955549314996</v>
      </c>
      <c r="AE613">
        <f t="shared" si="495"/>
        <v>-8.0887995645616925E-2</v>
      </c>
      <c r="AF613">
        <f t="shared" si="496"/>
        <v>4.1515769878631995E-2</v>
      </c>
      <c r="AG613">
        <f t="shared" si="473"/>
        <v>2690.9085188012718</v>
      </c>
      <c r="AH613">
        <f t="shared" si="474"/>
        <v>-5266.9671594864321</v>
      </c>
      <c r="AJ613">
        <f t="shared" si="497"/>
        <v>18000</v>
      </c>
      <c r="AK613">
        <f t="shared" si="498"/>
        <v>233300.57638318202</v>
      </c>
      <c r="AL613">
        <v>1</v>
      </c>
      <c r="AM613">
        <f t="shared" si="499"/>
        <v>509.34534820299905</v>
      </c>
      <c r="AN613">
        <f t="shared" si="475"/>
        <v>458.10768132474618</v>
      </c>
      <c r="AO613">
        <f t="shared" si="476"/>
        <v>-34.44007563937533</v>
      </c>
      <c r="AQ613">
        <f t="shared" si="500"/>
        <v>6.2813671847936146E-4</v>
      </c>
      <c r="AR613">
        <f t="shared" si="501"/>
        <v>-2.5062655067326518</v>
      </c>
      <c r="AT613">
        <f t="shared" si="523"/>
        <v>-13198.72785846777</v>
      </c>
      <c r="AU613">
        <f t="shared" si="524"/>
        <v>-6747.4395779125771</v>
      </c>
      <c r="AV613">
        <f t="shared" si="511"/>
        <v>-2.6690102323348186</v>
      </c>
      <c r="AW613">
        <f t="shared" si="512"/>
        <v>3376.92713310617</v>
      </c>
      <c r="AX613">
        <f t="shared" si="513"/>
        <v>-7197.7424306142702</v>
      </c>
      <c r="AY613">
        <f t="shared" si="521"/>
        <v>-1.1321197739463698</v>
      </c>
      <c r="BA613">
        <f t="shared" si="502"/>
        <v>1.8644562514464245</v>
      </c>
      <c r="BB613">
        <f t="shared" si="514"/>
        <v>5.4110439461876858</v>
      </c>
      <c r="BC613">
        <f t="shared" si="515"/>
        <v>-1.5368904583884488</v>
      </c>
      <c r="BD613">
        <f t="shared" si="503"/>
        <v>-268.05733694020478</v>
      </c>
      <c r="BF613">
        <f t="shared" si="504"/>
        <v>-71.293434481609921</v>
      </c>
      <c r="BG613">
        <f t="shared" si="505"/>
        <v>-208.58798885019633</v>
      </c>
      <c r="BH613">
        <f t="shared" si="516"/>
        <v>-28.587988850196325</v>
      </c>
      <c r="BI613">
        <f t="shared" si="517"/>
        <v>-28.587988850196325</v>
      </c>
      <c r="BJ613">
        <f t="shared" si="506"/>
        <v>0</v>
      </c>
      <c r="BK613">
        <f t="shared" si="518"/>
        <v>0</v>
      </c>
      <c r="BM613">
        <f t="shared" si="519"/>
        <v>-76.704478427797611</v>
      </c>
      <c r="BN613">
        <f t="shared" si="507"/>
        <v>-120.53065190999158</v>
      </c>
      <c r="BQ613" s="56">
        <f t="shared" si="520"/>
        <v>22.313004746472821</v>
      </c>
    </row>
    <row r="614" spans="1:69" x14ac:dyDescent="0.25">
      <c r="A614">
        <f t="shared" si="525"/>
        <v>2000000</v>
      </c>
      <c r="B614">
        <f t="shared" si="508"/>
        <v>2000</v>
      </c>
      <c r="C614">
        <f t="shared" si="477"/>
        <v>1.9692578898611837</v>
      </c>
      <c r="D614">
        <f t="shared" si="478"/>
        <v>1.0381608320444728</v>
      </c>
      <c r="F614">
        <f t="shared" si="479"/>
        <v>4.9319001220638277E-6</v>
      </c>
      <c r="G614">
        <f t="shared" si="480"/>
        <v>8.6860064884522882E-4</v>
      </c>
      <c r="H614">
        <f t="shared" si="481"/>
        <v>-3.1407240493511548</v>
      </c>
      <c r="J614">
        <f t="shared" si="482"/>
        <v>15</v>
      </c>
      <c r="M614">
        <f t="shared" si="483"/>
        <v>1.3348341323953E-3</v>
      </c>
      <c r="N614">
        <f t="shared" si="484"/>
        <v>-1.5707963250000001</v>
      </c>
      <c r="O614">
        <f t="shared" si="485"/>
        <v>539.09822621556168</v>
      </c>
      <c r="P614">
        <f t="shared" si="486"/>
        <v>1.5689413762036217</v>
      </c>
      <c r="Q614">
        <f t="shared" si="487"/>
        <v>510.62288215756661</v>
      </c>
      <c r="R614">
        <f t="shared" si="488"/>
        <v>1.5688379330876021</v>
      </c>
      <c r="S614">
        <f t="shared" si="489"/>
        <v>7.6733893692273125E-2</v>
      </c>
      <c r="T614">
        <f t="shared" si="490"/>
        <v>-1.4939869301911262</v>
      </c>
      <c r="U614">
        <f t="shared" si="491"/>
        <v>0.45571497007406536</v>
      </c>
      <c r="V614">
        <f t="shared" si="492"/>
        <v>-1.0976210539993247</v>
      </c>
      <c r="X614">
        <f t="shared" si="509"/>
        <v>-54.554317275816544</v>
      </c>
      <c r="Y614">
        <f t="shared" si="493"/>
        <v>-179.17468679367568</v>
      </c>
      <c r="Z614">
        <f t="shared" si="510"/>
        <v>0.82531320632432426</v>
      </c>
      <c r="AC614">
        <v>1</v>
      </c>
      <c r="AD614">
        <f t="shared" si="494"/>
        <v>539.09729874000004</v>
      </c>
      <c r="AE614">
        <f t="shared" si="495"/>
        <v>-8.1293957345109066E-2</v>
      </c>
      <c r="AF614">
        <f t="shared" si="496"/>
        <v>4.16198194272E-2</v>
      </c>
      <c r="AG614">
        <f t="shared" si="473"/>
        <v>2680.2614890412547</v>
      </c>
      <c r="AH614">
        <f t="shared" si="474"/>
        <v>-5259.2506689446764</v>
      </c>
      <c r="AJ614">
        <f t="shared" si="497"/>
        <v>18000</v>
      </c>
      <c r="AK614">
        <f t="shared" si="498"/>
        <v>233885.28960720001</v>
      </c>
      <c r="AL614">
        <v>1</v>
      </c>
      <c r="AM614">
        <f t="shared" si="499"/>
        <v>510.62190296040006</v>
      </c>
      <c r="AN614">
        <f t="shared" si="475"/>
        <v>458.1073436668708</v>
      </c>
      <c r="AO614">
        <f t="shared" si="476"/>
        <v>-34.353976111544796</v>
      </c>
      <c r="AQ614">
        <f t="shared" si="500"/>
        <v>6.2499996093750242E-4</v>
      </c>
      <c r="AR614">
        <f t="shared" si="501"/>
        <v>-2.4999998437500097</v>
      </c>
      <c r="AT614">
        <f t="shared" si="523"/>
        <v>-13146.450687277871</v>
      </c>
      <c r="AU614">
        <f t="shared" si="524"/>
        <v>-6703.9403352749559</v>
      </c>
      <c r="AV614">
        <f t="shared" si="511"/>
        <v>-2.6700223313907046</v>
      </c>
      <c r="AW614">
        <f t="shared" si="512"/>
        <v>3365.4672000562268</v>
      </c>
      <c r="AX614">
        <f t="shared" si="513"/>
        <v>-7185.8339642265655</v>
      </c>
      <c r="AY614">
        <f t="shared" si="521"/>
        <v>-1.1327898296585357</v>
      </c>
      <c r="BA614">
        <f t="shared" si="502"/>
        <v>1.8597721777811886</v>
      </c>
      <c r="BB614">
        <f t="shared" si="514"/>
        <v>5.3891949274504336</v>
      </c>
      <c r="BC614">
        <f t="shared" si="515"/>
        <v>-1.5372325017321689</v>
      </c>
      <c r="BD614">
        <f t="shared" si="503"/>
        <v>-268.07693458023289</v>
      </c>
      <c r="BF614">
        <f t="shared" si="504"/>
        <v>-71.342642549658024</v>
      </c>
      <c r="BG614">
        <f t="shared" si="505"/>
        <v>-208.54493322900825</v>
      </c>
      <c r="BH614">
        <f t="shared" si="516"/>
        <v>-28.544933229008251</v>
      </c>
      <c r="BI614">
        <f t="shared" si="517"/>
        <v>-28.544933229008251</v>
      </c>
      <c r="BJ614">
        <f t="shared" si="506"/>
        <v>0</v>
      </c>
      <c r="BK614">
        <f t="shared" si="518"/>
        <v>0</v>
      </c>
      <c r="BM614">
        <f t="shared" si="519"/>
        <v>-76.731837477108471</v>
      </c>
      <c r="BN614">
        <f t="shared" si="507"/>
        <v>-120.46799864877541</v>
      </c>
      <c r="BQ614" s="56">
        <f t="shared" si="520"/>
        <v>22.291155727735571</v>
      </c>
    </row>
    <row r="615" spans="1:69" x14ac:dyDescent="0.25">
      <c r="A615">
        <f>A614+250000</f>
        <v>2250000</v>
      </c>
      <c r="B615">
        <f t="shared" si="508"/>
        <v>2250</v>
      </c>
      <c r="C615">
        <f t="shared" si="477"/>
        <v>2.1546320291236154</v>
      </c>
      <c r="D615">
        <f t="shared" ref="D615:D626" si="526">ATAN(A615/Fesr)</f>
        <v>1.0881595537753299</v>
      </c>
      <c r="F615">
        <f t="shared" si="479"/>
        <v>3.8968061530532473E-6</v>
      </c>
      <c r="G615">
        <f t="shared" ref="G615:G626" si="527">-ATAN(A615*Fo/(Q*(Fo^2-A615^2)))</f>
        <v>7.7208868840595961E-4</v>
      </c>
      <c r="H615">
        <f t="shared" si="481"/>
        <v>-3.1408205613115943</v>
      </c>
      <c r="J615">
        <f t="shared" si="482"/>
        <v>15</v>
      </c>
      <c r="M615">
        <f t="shared" ref="M615:M626" si="528">1/(2*Pi*_Rfb1*(Cc1ea_u+Cc2ea_u)*A615)</f>
        <v>1.1865192287958222E-3</v>
      </c>
      <c r="N615">
        <f t="shared" si="484"/>
        <v>-1.5707963250000001</v>
      </c>
      <c r="O615">
        <f t="shared" ref="O615:O626" si="529">SQRT(1+(A615/Fz1_u)^2)</f>
        <v>606.48528550537026</v>
      </c>
      <c r="P615">
        <f t="shared" si="486"/>
        <v>1.5691474814279689</v>
      </c>
      <c r="Q615">
        <f t="shared" ref="Q615:Q626" si="530">SQRT(1+(A615/Fz2_u)^2)</f>
        <v>574.45051122810651</v>
      </c>
      <c r="R615">
        <f t="shared" si="488"/>
        <v>1.569055531921334</v>
      </c>
      <c r="S615">
        <f t="shared" ref="S615:S626" si="531">1/SQRT(1+(A615/Fp1_u)^2)</f>
        <v>6.8250089317671403E-2</v>
      </c>
      <c r="T615">
        <f t="shared" si="490"/>
        <v>-1.5024931404342967</v>
      </c>
      <c r="U615">
        <f t="shared" si="491"/>
        <v>0.41420743453368913</v>
      </c>
      <c r="V615">
        <f t="shared" si="492"/>
        <v>-1.1437244729519118</v>
      </c>
      <c r="X615">
        <f t="shared" ref="X615:X626" si="532">20*LOG(C615*J615*O615*Q615*F615*M615*S615*U615)</f>
        <v>-56.643160876329787</v>
      </c>
      <c r="Y615">
        <f t="shared" ref="Y615:Y626" si="533">(180/Pi)*(D615+H615+N615+P615+R615+T615+V615)</f>
        <v>-179.42012560513552</v>
      </c>
      <c r="Z615">
        <f t="shared" si="510"/>
        <v>0.57987439486447556</v>
      </c>
      <c r="AC615">
        <v>1</v>
      </c>
      <c r="AD615">
        <f t="shared" si="494"/>
        <v>606.48446108249993</v>
      </c>
      <c r="AE615">
        <f t="shared" si="495"/>
        <v>-0.10288766476490363</v>
      </c>
      <c r="AF615">
        <f t="shared" si="496"/>
        <v>4.68222968556E-2</v>
      </c>
      <c r="AG615">
        <f t="shared" si="473"/>
        <v>2214.2484800703965</v>
      </c>
      <c r="AH615">
        <f t="shared" si="474"/>
        <v>-4886.9634915467277</v>
      </c>
      <c r="AJ615">
        <f t="shared" si="497"/>
        <v>18000</v>
      </c>
      <c r="AK615">
        <f t="shared" si="498"/>
        <v>263120.95080809999</v>
      </c>
      <c r="AL615">
        <v>1</v>
      </c>
      <c r="AM615">
        <f t="shared" si="499"/>
        <v>574.44964083044999</v>
      </c>
      <c r="AN615">
        <f t="shared" si="475"/>
        <v>458.09322348937593</v>
      </c>
      <c r="AO615">
        <f t="shared" si="476"/>
        <v>-30.536892235063917</v>
      </c>
      <c r="AQ615">
        <f t="shared" si="500"/>
        <v>4.9382713610730193E-4</v>
      </c>
      <c r="AR615">
        <f t="shared" si="501"/>
        <v>-2.2222221124828585</v>
      </c>
      <c r="AT615">
        <f t="shared" si="523"/>
        <v>-10858.824877826031</v>
      </c>
      <c r="AU615">
        <f t="shared" si="524"/>
        <v>-4922.9652501292858</v>
      </c>
      <c r="AV615">
        <f t="shared" si="511"/>
        <v>-2.7159474228951717</v>
      </c>
      <c r="AW615">
        <f t="shared" si="512"/>
        <v>2863.0365020085865</v>
      </c>
      <c r="AX615">
        <f t="shared" si="513"/>
        <v>-6624.1874963764812</v>
      </c>
      <c r="AY615">
        <f t="shared" si="521"/>
        <v>-1.1628350838357182</v>
      </c>
      <c r="BA615">
        <f t="shared" si="502"/>
        <v>1.6521543424462215</v>
      </c>
      <c r="BB615">
        <f t="shared" si="514"/>
        <v>4.3610123238722807</v>
      </c>
      <c r="BC615">
        <f t="shared" si="515"/>
        <v>-1.5531123390594535</v>
      </c>
      <c r="BD615">
        <f t="shared" si="503"/>
        <v>-268.98678223948025</v>
      </c>
      <c r="BF615">
        <f t="shared" si="504"/>
        <v>-73.63552421972372</v>
      </c>
      <c r="BG615">
        <f t="shared" si="505"/>
        <v>-206.59559487676711</v>
      </c>
      <c r="BH615">
        <f t="shared" si="516"/>
        <v>-26.595594876767109</v>
      </c>
      <c r="BI615">
        <f t="shared" si="517"/>
        <v>-26.595594876767109</v>
      </c>
      <c r="BJ615">
        <f t="shared" si="506"/>
        <v>0</v>
      </c>
      <c r="BK615">
        <f t="shared" si="518"/>
        <v>0</v>
      </c>
      <c r="BM615">
        <f t="shared" si="519"/>
        <v>-77.996536543595994</v>
      </c>
      <c r="BN615">
        <f t="shared" si="507"/>
        <v>-117.60881263728689</v>
      </c>
      <c r="BQ615" s="56">
        <f t="shared" si="520"/>
        <v>21.262973124157419</v>
      </c>
    </row>
    <row r="616" spans="1:69" x14ac:dyDescent="0.25">
      <c r="A616">
        <f t="shared" ref="A616:A626" si="534">A615+250000</f>
        <v>2500000</v>
      </c>
      <c r="B616">
        <f t="shared" si="508"/>
        <v>2500</v>
      </c>
      <c r="C616">
        <f t="shared" si="477"/>
        <v>2.3445337478845478</v>
      </c>
      <c r="D616">
        <f t="shared" si="526"/>
        <v>1.1301501148607369</v>
      </c>
      <c r="F616">
        <f t="shared" si="479"/>
        <v>3.1564107707508764E-6</v>
      </c>
      <c r="G616">
        <f t="shared" si="527"/>
        <v>6.9487931921020766E-4</v>
      </c>
      <c r="H616">
        <f t="shared" si="481"/>
        <v>-3.1408977706807901</v>
      </c>
      <c r="J616">
        <f t="shared" si="482"/>
        <v>15</v>
      </c>
      <c r="M616">
        <f t="shared" si="528"/>
        <v>1.0678673059162399E-3</v>
      </c>
      <c r="N616">
        <f t="shared" si="484"/>
        <v>-1.5707963250000001</v>
      </c>
      <c r="O616">
        <f t="shared" si="529"/>
        <v>673.87236540567915</v>
      </c>
      <c r="P616">
        <f t="shared" si="486"/>
        <v>1.5693123657091479</v>
      </c>
      <c r="Q616">
        <f t="shared" si="530"/>
        <v>638.27816205850365</v>
      </c>
      <c r="R616">
        <f t="shared" si="488"/>
        <v>1.5692296111080013</v>
      </c>
      <c r="S616">
        <f t="shared" si="531"/>
        <v>6.1452280089914671E-2</v>
      </c>
      <c r="T616">
        <f t="shared" si="490"/>
        <v>-1.5093053029405348</v>
      </c>
      <c r="U616">
        <f t="shared" si="491"/>
        <v>0.37901542246632242</v>
      </c>
      <c r="V616">
        <f t="shared" si="492"/>
        <v>-1.1820642215908885</v>
      </c>
      <c r="X616">
        <f t="shared" si="532"/>
        <v>-58.50717858699219</v>
      </c>
      <c r="Y616">
        <f t="shared" si="533"/>
        <v>-179.58626021619287</v>
      </c>
      <c r="Z616">
        <f t="shared" si="510"/>
        <v>0.41373978380713083</v>
      </c>
      <c r="AC616">
        <v>1</v>
      </c>
      <c r="AD616">
        <f t="shared" si="494"/>
        <v>673.87162342500005</v>
      </c>
      <c r="AE616">
        <f t="shared" si="495"/>
        <v>-0.12702180835173291</v>
      </c>
      <c r="AF616">
        <f t="shared" si="496"/>
        <v>5.2024774284E-2</v>
      </c>
      <c r="AG616">
        <f t="shared" ref="AG616:AG626" si="535">AC616*AE616/(AE616^2+AF616^2)+AD616*AF616/(AE616^2+AF616^2)</f>
        <v>1853.9769916468272</v>
      </c>
      <c r="AH616">
        <f t="shared" ref="AH616:AH626" si="536">AD616*AE616/(AE616^2+AF616^2)-AC616*AF616/(AE616^2+AF616^2)</f>
        <v>-4545.8248185849179</v>
      </c>
      <c r="AJ616">
        <f t="shared" si="497"/>
        <v>18000</v>
      </c>
      <c r="AK616">
        <f t="shared" si="498"/>
        <v>292356.61200900003</v>
      </c>
      <c r="AL616">
        <v>1</v>
      </c>
      <c r="AM616">
        <f t="shared" si="499"/>
        <v>638.27737870049998</v>
      </c>
      <c r="AN616">
        <f t="shared" ref="AN616:AN626" si="537">AJ616*AL616/(AL616^2+AM616^2)+AK616*AM616/(AL616^2+AM616^2)</f>
        <v>458.08312339552845</v>
      </c>
      <c r="AO616">
        <f t="shared" ref="AO616:AO626" si="538">AK616*AL616/(AL616^2+AM616^2)-AJ616*AM616/(AL616^2+AM616^2)</f>
        <v>-27.483218835545941</v>
      </c>
      <c r="AQ616">
        <f t="shared" si="500"/>
        <v>3.9999998400000063E-4</v>
      </c>
      <c r="AR616">
        <f t="shared" si="501"/>
        <v>-1.9999999200000032</v>
      </c>
      <c r="AT616">
        <f t="shared" si="523"/>
        <v>-9090.9076827368699</v>
      </c>
      <c r="AU616">
        <f t="shared" si="524"/>
        <v>-3709.7721648302013</v>
      </c>
      <c r="AV616">
        <f t="shared" si="511"/>
        <v>-2.7541445094742008</v>
      </c>
      <c r="AW616">
        <f t="shared" si="512"/>
        <v>2473.5733845388349</v>
      </c>
      <c r="AX616">
        <f t="shared" si="513"/>
        <v>-6126.5179639589305</v>
      </c>
      <c r="AY616">
        <f t="shared" si="521"/>
        <v>-1.1870625341060306</v>
      </c>
      <c r="BA616">
        <f t="shared" si="502"/>
        <v>1.4861009779600005</v>
      </c>
      <c r="BB616">
        <f t="shared" si="514"/>
        <v>3.4409663995393296</v>
      </c>
      <c r="BC616">
        <f t="shared" si="515"/>
        <v>-1.5670819753681702</v>
      </c>
      <c r="BD616">
        <f t="shared" si="503"/>
        <v>-269.78718344221699</v>
      </c>
      <c r="BF616">
        <f t="shared" si="504"/>
        <v>-75.652208316316077</v>
      </c>
      <c r="BG616">
        <f t="shared" si="505"/>
        <v>-204.99453791817348</v>
      </c>
      <c r="BH616">
        <f t="shared" si="516"/>
        <v>-24.994537918173478</v>
      </c>
      <c r="BI616">
        <f t="shared" si="517"/>
        <v>-24.994537918173478</v>
      </c>
      <c r="BJ616">
        <f t="shared" si="506"/>
        <v>0</v>
      </c>
      <c r="BK616">
        <f t="shared" si="518"/>
        <v>0</v>
      </c>
      <c r="BM616">
        <f t="shared" si="519"/>
        <v>-79.093174715855412</v>
      </c>
      <c r="BN616">
        <f t="shared" si="507"/>
        <v>-115.20735447595651</v>
      </c>
      <c r="BQ616" s="56">
        <f t="shared" si="520"/>
        <v>20.342927199824466</v>
      </c>
    </row>
    <row r="617" spans="1:69" x14ac:dyDescent="0.25">
      <c r="A617">
        <f t="shared" si="534"/>
        <v>2750000</v>
      </c>
      <c r="B617">
        <f t="shared" si="508"/>
        <v>2750</v>
      </c>
      <c r="C617">
        <f t="shared" si="477"/>
        <v>2.5379469220047084</v>
      </c>
      <c r="D617">
        <f t="shared" si="526"/>
        <v>1.1657957695255077</v>
      </c>
      <c r="F617">
        <f t="shared" si="479"/>
        <v>2.608602589436808E-6</v>
      </c>
      <c r="G617">
        <f t="shared" si="527"/>
        <v>6.3170813545856161E-4</v>
      </c>
      <c r="H617">
        <f t="shared" si="481"/>
        <v>-3.1409609418645417</v>
      </c>
      <c r="J617">
        <f t="shared" si="482"/>
        <v>15</v>
      </c>
      <c r="M617">
        <f t="shared" si="528"/>
        <v>9.7078845992385442E-4</v>
      </c>
      <c r="N617">
        <f t="shared" si="484"/>
        <v>-1.5707963250000001</v>
      </c>
      <c r="O617">
        <f t="shared" si="529"/>
        <v>741.25946029545457</v>
      </c>
      <c r="P617">
        <f t="shared" si="486"/>
        <v>1.5694472710905327</v>
      </c>
      <c r="Q617">
        <f t="shared" si="530"/>
        <v>702.1058287142655</v>
      </c>
      <c r="R617">
        <f t="shared" si="488"/>
        <v>1.569372039604559</v>
      </c>
      <c r="S617">
        <f t="shared" si="531"/>
        <v>5.5884025516627883E-2</v>
      </c>
      <c r="T617">
        <f t="shared" si="490"/>
        <v>-1.5148831724614849</v>
      </c>
      <c r="U617">
        <f t="shared" si="491"/>
        <v>0.34893667990488242</v>
      </c>
      <c r="V617">
        <f t="shared" si="492"/>
        <v>-1.2143600993424826</v>
      </c>
      <c r="X617">
        <f t="shared" si="532"/>
        <v>-60.189730907618923</v>
      </c>
      <c r="Y617">
        <f t="shared" si="533"/>
        <v>-179.70164990060812</v>
      </c>
      <c r="Z617">
        <f t="shared" si="510"/>
        <v>0.2983500993918824</v>
      </c>
      <c r="AC617">
        <v>1</v>
      </c>
      <c r="AD617">
        <f t="shared" si="494"/>
        <v>741.25878576750006</v>
      </c>
      <c r="AE617">
        <f t="shared" si="495"/>
        <v>-0.15369638810559685</v>
      </c>
      <c r="AF617">
        <f t="shared" si="496"/>
        <v>5.72272517124E-2</v>
      </c>
      <c r="AG617">
        <f t="shared" si="535"/>
        <v>1571.3894201842236</v>
      </c>
      <c r="AH617">
        <f t="shared" si="536"/>
        <v>-4237.7865602991151</v>
      </c>
      <c r="AJ617">
        <f t="shared" si="497"/>
        <v>18000</v>
      </c>
      <c r="AK617">
        <f t="shared" si="498"/>
        <v>321592.27320990001</v>
      </c>
      <c r="AL617">
        <v>1</v>
      </c>
      <c r="AM617">
        <f t="shared" si="499"/>
        <v>702.10511657055008</v>
      </c>
      <c r="AN617">
        <f t="shared" si="537"/>
        <v>458.07565046084136</v>
      </c>
      <c r="AO617">
        <f t="shared" si="538"/>
        <v>-24.984755039563201</v>
      </c>
      <c r="AQ617">
        <f t="shared" si="500"/>
        <v>3.3057850146847931E-4</v>
      </c>
      <c r="AR617">
        <f t="shared" si="501"/>
        <v>-1.8181817580766362</v>
      </c>
      <c r="AT617">
        <f t="shared" si="523"/>
        <v>-7704.5467509984383</v>
      </c>
      <c r="AU617">
        <f t="shared" si="524"/>
        <v>-2858.4724997442245</v>
      </c>
      <c r="AV617">
        <f t="shared" si="511"/>
        <v>-2.7863236636619284</v>
      </c>
      <c r="AW617">
        <f t="shared" si="512"/>
        <v>2167.5175385235348</v>
      </c>
      <c r="AX617">
        <f t="shared" si="513"/>
        <v>-5687.0399734631792</v>
      </c>
      <c r="AY617">
        <f t="shared" si="521"/>
        <v>-1.2066598149777183</v>
      </c>
      <c r="BA617">
        <f t="shared" si="502"/>
        <v>1.3502448792246438</v>
      </c>
      <c r="BB617">
        <f t="shared" si="514"/>
        <v>2.6082507780729931</v>
      </c>
      <c r="BC617">
        <f t="shared" si="515"/>
        <v>-1.5796638486842101</v>
      </c>
      <c r="BD617">
        <f t="shared" si="503"/>
        <v>-270.50807168241806</v>
      </c>
      <c r="BF617">
        <f t="shared" si="504"/>
        <v>-77.452114917352048</v>
      </c>
      <c r="BG617">
        <f t="shared" si="505"/>
        <v>-203.67670002798863</v>
      </c>
      <c r="BH617">
        <f t="shared" si="516"/>
        <v>-23.67670002798863</v>
      </c>
      <c r="BI617">
        <f t="shared" si="517"/>
        <v>-23.67670002798863</v>
      </c>
      <c r="BJ617">
        <f t="shared" si="506"/>
        <v>0</v>
      </c>
      <c r="BK617">
        <f t="shared" si="518"/>
        <v>0</v>
      </c>
      <c r="BM617">
        <f t="shared" si="519"/>
        <v>-80.060365695425034</v>
      </c>
      <c r="BN617">
        <f t="shared" si="507"/>
        <v>-113.16862834557055</v>
      </c>
      <c r="BQ617" s="56">
        <f t="shared" si="520"/>
        <v>19.510211578358131</v>
      </c>
    </row>
    <row r="618" spans="1:69" x14ac:dyDescent="0.25">
      <c r="A618">
        <f t="shared" si="534"/>
        <v>3000000</v>
      </c>
      <c r="B618">
        <f t="shared" si="508"/>
        <v>3000</v>
      </c>
      <c r="C618">
        <f t="shared" si="477"/>
        <v>2.7341264478359766</v>
      </c>
      <c r="D618">
        <f t="shared" si="526"/>
        <v>1.1963604694088452</v>
      </c>
      <c r="F618">
        <f t="shared" si="479"/>
        <v>2.1919499220430146E-6</v>
      </c>
      <c r="G618">
        <f t="shared" si="527"/>
        <v>5.7906555619400321E-4</v>
      </c>
      <c r="H618">
        <f t="shared" si="481"/>
        <v>-3.1410135844438063</v>
      </c>
      <c r="J618">
        <f t="shared" si="482"/>
        <v>15</v>
      </c>
      <c r="M618">
        <f t="shared" si="528"/>
        <v>8.8988942159686651E-4</v>
      </c>
      <c r="N618">
        <f t="shared" si="484"/>
        <v>-1.5707963250000001</v>
      </c>
      <c r="O618">
        <f t="shared" si="529"/>
        <v>808.64656642733655</v>
      </c>
      <c r="P618">
        <f t="shared" si="486"/>
        <v>1.5695596922794053</v>
      </c>
      <c r="Q618">
        <f t="shared" si="530"/>
        <v>765.93350723905883</v>
      </c>
      <c r="R618">
        <f t="shared" si="488"/>
        <v>1.5694907300627443</v>
      </c>
      <c r="S618">
        <f t="shared" si="531"/>
        <v>5.1239804611300246E-2</v>
      </c>
      <c r="T618">
        <f t="shared" si="490"/>
        <v>-1.5195340738165026</v>
      </c>
      <c r="U618">
        <f t="shared" si="491"/>
        <v>0.32301492277740712</v>
      </c>
      <c r="V618">
        <f t="shared" si="492"/>
        <v>-1.2418828685850516</v>
      </c>
      <c r="X618">
        <f t="shared" si="532"/>
        <v>-61.722872110848613</v>
      </c>
      <c r="Y618">
        <f t="shared" si="533"/>
        <v>-179.78361160763021</v>
      </c>
      <c r="Z618">
        <f t="shared" si="510"/>
        <v>0.21638839236979379</v>
      </c>
      <c r="AC618">
        <v>1</v>
      </c>
      <c r="AD618">
        <f t="shared" si="494"/>
        <v>808.64594810999995</v>
      </c>
      <c r="AE618">
        <f t="shared" si="495"/>
        <v>-0.18291140402649536</v>
      </c>
      <c r="AF618">
        <f t="shared" si="496"/>
        <v>6.2429729140799993E-2</v>
      </c>
      <c r="AG618">
        <f t="shared" si="535"/>
        <v>1346.5911281927267</v>
      </c>
      <c r="AH618">
        <f t="shared" si="536"/>
        <v>-3961.3638776102011</v>
      </c>
      <c r="AJ618">
        <f t="shared" si="497"/>
        <v>18000</v>
      </c>
      <c r="AK618">
        <f t="shared" si="498"/>
        <v>350827.93441080005</v>
      </c>
      <c r="AL618">
        <v>1</v>
      </c>
      <c r="AM618">
        <f t="shared" si="499"/>
        <v>765.93285444059995</v>
      </c>
      <c r="AN618">
        <f t="shared" si="537"/>
        <v>458.06996667688935</v>
      </c>
      <c r="AO618">
        <f t="shared" si="538"/>
        <v>-22.902699540333572</v>
      </c>
      <c r="AQ618">
        <f t="shared" si="500"/>
        <v>2.7777777006172862E-4</v>
      </c>
      <c r="AR618">
        <f t="shared" si="501"/>
        <v>-1.6666666203703717</v>
      </c>
      <c r="AT618">
        <f t="shared" si="523"/>
        <v>-6601.8988928730905</v>
      </c>
      <c r="AU618">
        <f t="shared" si="524"/>
        <v>-2245.4188634700236</v>
      </c>
      <c r="AV618">
        <f t="shared" si="511"/>
        <v>-2.813749163230316</v>
      </c>
      <c r="AW618">
        <f t="shared" si="512"/>
        <v>1923.7185754476307</v>
      </c>
      <c r="AX618">
        <f t="shared" si="513"/>
        <v>-5298.7864930385094</v>
      </c>
      <c r="AY618">
        <f t="shared" si="521"/>
        <v>-1.2225442811886931</v>
      </c>
      <c r="BA618">
        <f t="shared" si="502"/>
        <v>1.2370193627878761</v>
      </c>
      <c r="BB618">
        <f t="shared" si="514"/>
        <v>1.8475299519375497</v>
      </c>
      <c r="BC618">
        <f t="shared" si="515"/>
        <v>-1.5912048820416229</v>
      </c>
      <c r="BD618">
        <f t="shared" si="503"/>
        <v>-271.16932418577312</v>
      </c>
      <c r="BF618">
        <f t="shared" si="504"/>
        <v>-79.077660390111717</v>
      </c>
      <c r="BG618">
        <f t="shared" si="505"/>
        <v>-202.58974042156134</v>
      </c>
      <c r="BH618">
        <f t="shared" si="516"/>
        <v>-22.589740421561345</v>
      </c>
      <c r="BI618">
        <f t="shared" si="517"/>
        <v>-22.589740421561345</v>
      </c>
      <c r="BJ618">
        <f t="shared" si="506"/>
        <v>0</v>
      </c>
      <c r="BK618">
        <f t="shared" si="518"/>
        <v>0</v>
      </c>
      <c r="BM618">
        <f t="shared" si="519"/>
        <v>-80.925190342049262</v>
      </c>
      <c r="BN618">
        <f t="shared" si="507"/>
        <v>-111.42041623578822</v>
      </c>
      <c r="BQ618" s="56">
        <f t="shared" si="520"/>
        <v>18.749490752222687</v>
      </c>
    </row>
    <row r="619" spans="1:69" x14ac:dyDescent="0.25">
      <c r="A619">
        <f t="shared" si="534"/>
        <v>3250000</v>
      </c>
      <c r="B619">
        <f t="shared" si="508"/>
        <v>3250</v>
      </c>
      <c r="C619">
        <f t="shared" si="477"/>
        <v>2.9325171877584224</v>
      </c>
      <c r="D619">
        <f t="shared" si="526"/>
        <v>1.2228116540740253</v>
      </c>
      <c r="F619">
        <f t="shared" si="479"/>
        <v>1.8676964014608917E-6</v>
      </c>
      <c r="G619">
        <f t="shared" si="527"/>
        <v>5.3452188331079098E-4</v>
      </c>
      <c r="H619">
        <f t="shared" si="481"/>
        <v>-3.1410581281166894</v>
      </c>
      <c r="J619">
        <f t="shared" si="482"/>
        <v>15</v>
      </c>
      <c r="M619">
        <f t="shared" si="528"/>
        <v>8.2143638916633841E-4</v>
      </c>
      <c r="N619">
        <f t="shared" si="484"/>
        <v>-1.5707963250000001</v>
      </c>
      <c r="O619">
        <f t="shared" si="529"/>
        <v>876.0336812069969</v>
      </c>
      <c r="P619">
        <f t="shared" si="486"/>
        <v>1.5696548179252878</v>
      </c>
      <c r="Q619">
        <f t="shared" si="530"/>
        <v>829.76119489388066</v>
      </c>
      <c r="R619">
        <f t="shared" si="488"/>
        <v>1.5695911604793051</v>
      </c>
      <c r="S619">
        <f t="shared" si="531"/>
        <v>4.7307468949908074E-2</v>
      </c>
      <c r="T619">
        <f t="shared" si="490"/>
        <v>-1.5234711943911063</v>
      </c>
      <c r="U619">
        <f t="shared" si="491"/>
        <v>0.30049567093750934</v>
      </c>
      <c r="V619">
        <f t="shared" si="492"/>
        <v>-1.2655840259676234</v>
      </c>
      <c r="X619">
        <f t="shared" si="532"/>
        <v>-63.130921950418099</v>
      </c>
      <c r="Y619">
        <f t="shared" si="533"/>
        <v>-179.84297467064172</v>
      </c>
      <c r="Z619">
        <f t="shared" si="510"/>
        <v>0.15702532935827662</v>
      </c>
      <c r="AC619">
        <v>1</v>
      </c>
      <c r="AD619">
        <f t="shared" si="494"/>
        <v>876.03311045250018</v>
      </c>
      <c r="AE619">
        <f t="shared" si="495"/>
        <v>-0.21466685611442857</v>
      </c>
      <c r="AF619">
        <f t="shared" si="496"/>
        <v>6.7632206569199993E-2</v>
      </c>
      <c r="AG619">
        <f t="shared" si="535"/>
        <v>1165.378537044847</v>
      </c>
      <c r="AH619">
        <f t="shared" si="536"/>
        <v>-3713.7357994324634</v>
      </c>
      <c r="AJ619">
        <f t="shared" si="497"/>
        <v>18000</v>
      </c>
      <c r="AK619">
        <f t="shared" si="498"/>
        <v>380063.59561170003</v>
      </c>
      <c r="AL619">
        <v>1</v>
      </c>
      <c r="AM619">
        <f t="shared" si="499"/>
        <v>829.76059231064994</v>
      </c>
      <c r="AN619">
        <f t="shared" si="537"/>
        <v>458.06554335392525</v>
      </c>
      <c r="AO619">
        <f t="shared" si="538"/>
        <v>-21.140958752688796</v>
      </c>
      <c r="AQ619">
        <f t="shared" si="500"/>
        <v>2.3668638493049978E-4</v>
      </c>
      <c r="AR619">
        <f t="shared" si="501"/>
        <v>-1.5384615020482484</v>
      </c>
      <c r="AT619">
        <f t="shared" si="523"/>
        <v>-5713.1637269722114</v>
      </c>
      <c r="AU619">
        <f t="shared" si="524"/>
        <v>-1793.7690052577602</v>
      </c>
      <c r="AV619">
        <f t="shared" si="511"/>
        <v>-2.8373680154794965</v>
      </c>
      <c r="AW619">
        <f t="shared" si="512"/>
        <v>1726.9879203793146</v>
      </c>
      <c r="AX619">
        <f t="shared" si="513"/>
        <v>-4954.9325487172491</v>
      </c>
      <c r="AY619">
        <f t="shared" si="521"/>
        <v>-1.2354235356500987</v>
      </c>
      <c r="BA619">
        <f t="shared" si="502"/>
        <v>1.1411919054840642</v>
      </c>
      <c r="BB619">
        <f t="shared" si="514"/>
        <v>1.1471736505862993</v>
      </c>
      <c r="BC619">
        <f t="shared" si="515"/>
        <v>-1.6019444798293978</v>
      </c>
      <c r="BD619">
        <f t="shared" si="503"/>
        <v>-271.78465781338377</v>
      </c>
      <c r="BF619">
        <f t="shared" si="504"/>
        <v>-80.560064203198777</v>
      </c>
      <c r="BG619">
        <f t="shared" si="505"/>
        <v>-201.69208496746739</v>
      </c>
      <c r="BH619">
        <f t="shared" si="516"/>
        <v>-21.692084967467395</v>
      </c>
      <c r="BI619">
        <f t="shared" si="517"/>
        <v>-21.692084967467395</v>
      </c>
      <c r="BJ619">
        <f t="shared" si="506"/>
        <v>0</v>
      </c>
      <c r="BK619">
        <f t="shared" si="518"/>
        <v>0</v>
      </c>
      <c r="BM619">
        <f t="shared" si="519"/>
        <v>-81.707237853785074</v>
      </c>
      <c r="BN619">
        <f t="shared" si="507"/>
        <v>-109.90742715408362</v>
      </c>
      <c r="BQ619" s="56">
        <f t="shared" si="520"/>
        <v>18.049134450871435</v>
      </c>
    </row>
    <row r="620" spans="1:69" x14ac:dyDescent="0.25">
      <c r="A620">
        <f t="shared" si="534"/>
        <v>3500000</v>
      </c>
      <c r="B620">
        <f t="shared" si="508"/>
        <v>3500</v>
      </c>
      <c r="C620">
        <f t="shared" si="477"/>
        <v>3.1326990679189639</v>
      </c>
      <c r="D620">
        <f t="shared" si="526"/>
        <v>1.2458968187022212</v>
      </c>
      <c r="F620">
        <f t="shared" si="479"/>
        <v>1.6104113007044972E-6</v>
      </c>
      <c r="G620">
        <f t="shared" si="527"/>
        <v>4.9634162459439007E-4</v>
      </c>
      <c r="H620">
        <f t="shared" si="481"/>
        <v>-3.1410963083754058</v>
      </c>
      <c r="J620">
        <f t="shared" si="482"/>
        <v>15</v>
      </c>
      <c r="M620">
        <f t="shared" si="528"/>
        <v>7.6276236136874282E-4</v>
      </c>
      <c r="N620">
        <f t="shared" si="484"/>
        <v>-1.5707963250000001</v>
      </c>
      <c r="O620">
        <f t="shared" si="529"/>
        <v>943.42080278134233</v>
      </c>
      <c r="P620">
        <f t="shared" si="486"/>
        <v>1.5697363542096952</v>
      </c>
      <c r="Q620">
        <f t="shared" si="530"/>
        <v>893.58888972229931</v>
      </c>
      <c r="R620">
        <f t="shared" si="488"/>
        <v>1.5696772437129267</v>
      </c>
      <c r="S620">
        <f t="shared" si="531"/>
        <v>4.3935137048457376E-2</v>
      </c>
      <c r="T620">
        <f t="shared" si="490"/>
        <v>-1.5268470428159864</v>
      </c>
      <c r="U620">
        <f t="shared" si="491"/>
        <v>0.28078348663284824</v>
      </c>
      <c r="V620">
        <f t="shared" si="492"/>
        <v>-1.2861859884281772</v>
      </c>
      <c r="X620">
        <f t="shared" si="532"/>
        <v>-64.432744844437337</v>
      </c>
      <c r="Y620">
        <f t="shared" si="533"/>
        <v>-179.88670321056762</v>
      </c>
      <c r="Z620">
        <f t="shared" si="510"/>
        <v>0.11329678943238264</v>
      </c>
      <c r="AC620">
        <v>1</v>
      </c>
      <c r="AD620">
        <f t="shared" si="494"/>
        <v>943.42027279500007</v>
      </c>
      <c r="AE620">
        <f t="shared" si="495"/>
        <v>-0.24896274436939644</v>
      </c>
      <c r="AF620">
        <f t="shared" si="496"/>
        <v>7.28346839976E-2</v>
      </c>
      <c r="AG620">
        <f t="shared" si="535"/>
        <v>1017.4983204457797</v>
      </c>
      <c r="AH620">
        <f t="shared" si="536"/>
        <v>-3491.7316900532305</v>
      </c>
      <c r="AJ620">
        <f t="shared" si="497"/>
        <v>18000</v>
      </c>
      <c r="AK620">
        <f t="shared" si="498"/>
        <v>409299.25681260001</v>
      </c>
      <c r="AL620">
        <v>1</v>
      </c>
      <c r="AM620">
        <f t="shared" si="499"/>
        <v>893.58833018070004</v>
      </c>
      <c r="AN620">
        <f t="shared" si="537"/>
        <v>458.06203358097383</v>
      </c>
      <c r="AO620">
        <f t="shared" si="538"/>
        <v>-19.630894198083055</v>
      </c>
      <c r="AQ620">
        <f t="shared" si="500"/>
        <v>2.0408162848813003E-4</v>
      </c>
      <c r="AR620">
        <f t="shared" si="501"/>
        <v>-1.4285713994169102</v>
      </c>
      <c r="AT620">
        <f t="shared" si="523"/>
        <v>-4987.9803741334963</v>
      </c>
      <c r="AU620">
        <f t="shared" si="524"/>
        <v>-1454.281597833133</v>
      </c>
      <c r="AV620">
        <f t="shared" si="511"/>
        <v>-2.8578994306663899</v>
      </c>
      <c r="AW620">
        <f t="shared" si="512"/>
        <v>1566.3170352808968</v>
      </c>
      <c r="AX620">
        <f t="shared" si="513"/>
        <v>-4649.3129746611521</v>
      </c>
      <c r="AY620">
        <f t="shared" si="521"/>
        <v>-1.2458462659615597</v>
      </c>
      <c r="BA620">
        <f t="shared" si="502"/>
        <v>1.0590282640134234</v>
      </c>
      <c r="BB620">
        <f t="shared" si="514"/>
        <v>0.4981510197373219</v>
      </c>
      <c r="BC620">
        <f t="shared" si="515"/>
        <v>-1.6120531647048302</v>
      </c>
      <c r="BD620">
        <f t="shared" si="503"/>
        <v>-272.3638427938356</v>
      </c>
      <c r="BF620">
        <f t="shared" si="504"/>
        <v>-81.922914052755331</v>
      </c>
      <c r="BG620">
        <f t="shared" si="505"/>
        <v>-200.95077501153517</v>
      </c>
      <c r="BH620">
        <f t="shared" si="516"/>
        <v>-20.950775011535171</v>
      </c>
      <c r="BI620">
        <f t="shared" si="517"/>
        <v>-20.950775011535171</v>
      </c>
      <c r="BJ620">
        <f t="shared" si="506"/>
        <v>0</v>
      </c>
      <c r="BK620">
        <f t="shared" si="518"/>
        <v>0</v>
      </c>
      <c r="BM620">
        <f t="shared" si="519"/>
        <v>-82.421065072492638</v>
      </c>
      <c r="BN620">
        <f t="shared" si="507"/>
        <v>-108.58693221769958</v>
      </c>
      <c r="BQ620" s="56">
        <f t="shared" si="520"/>
        <v>17.40011182002246</v>
      </c>
    </row>
    <row r="621" spans="1:69" x14ac:dyDescent="0.25">
      <c r="A621">
        <f t="shared" si="534"/>
        <v>3750000</v>
      </c>
      <c r="B621">
        <f t="shared" si="508"/>
        <v>3750</v>
      </c>
      <c r="C621">
        <f t="shared" si="477"/>
        <v>3.3343495038285234</v>
      </c>
      <c r="D621">
        <f t="shared" si="526"/>
        <v>1.2661995133686985</v>
      </c>
      <c r="F621">
        <f t="shared" si="479"/>
        <v>1.4028469017422386E-6</v>
      </c>
      <c r="G621">
        <f t="shared" si="527"/>
        <v>4.6325208944082935E-4</v>
      </c>
      <c r="H621">
        <f t="shared" si="481"/>
        <v>-3.1411293979105595</v>
      </c>
      <c r="J621">
        <f t="shared" si="482"/>
        <v>15</v>
      </c>
      <c r="M621">
        <f t="shared" si="528"/>
        <v>7.1191153727749319E-4</v>
      </c>
      <c r="N621">
        <f t="shared" si="484"/>
        <v>-1.5707963250000001</v>
      </c>
      <c r="O621">
        <f t="shared" si="529"/>
        <v>1010.8079297914375</v>
      </c>
      <c r="P621">
        <f t="shared" si="486"/>
        <v>1.5698070190009541</v>
      </c>
      <c r="Q621">
        <f t="shared" si="530"/>
        <v>957.41659028959714</v>
      </c>
      <c r="R621">
        <f t="shared" si="488"/>
        <v>1.5697518491955271</v>
      </c>
      <c r="S621">
        <f t="shared" si="531"/>
        <v>4.1011229897906357E-2</v>
      </c>
      <c r="T621">
        <f t="shared" si="490"/>
        <v>-1.5297735919124997</v>
      </c>
      <c r="U621">
        <f t="shared" si="491"/>
        <v>0.26340630872563359</v>
      </c>
      <c r="V621">
        <f t="shared" si="492"/>
        <v>-1.3042448108421327</v>
      </c>
      <c r="X621">
        <f t="shared" si="532"/>
        <v>-65.643255141694596</v>
      </c>
      <c r="Y621">
        <f t="shared" si="533"/>
        <v>-179.9193902296665</v>
      </c>
      <c r="Z621">
        <f t="shared" si="510"/>
        <v>8.060977033349559E-2</v>
      </c>
      <c r="AC621">
        <v>1</v>
      </c>
      <c r="AD621">
        <f t="shared" si="494"/>
        <v>1010.8074351375001</v>
      </c>
      <c r="AE621">
        <f t="shared" si="495"/>
        <v>-0.28579906879139894</v>
      </c>
      <c r="AF621">
        <f t="shared" si="496"/>
        <v>7.8037161425999993E-2</v>
      </c>
      <c r="AG621">
        <f t="shared" si="535"/>
        <v>895.45325716496643</v>
      </c>
      <c r="AH621">
        <f t="shared" si="536"/>
        <v>-3292.2738647740375</v>
      </c>
      <c r="AJ621">
        <f t="shared" si="497"/>
        <v>18000</v>
      </c>
      <c r="AK621">
        <f t="shared" si="498"/>
        <v>438534.91801350005</v>
      </c>
      <c r="AL621">
        <v>1</v>
      </c>
      <c r="AM621">
        <f t="shared" si="499"/>
        <v>957.41606805075003</v>
      </c>
      <c r="AN621">
        <f t="shared" si="537"/>
        <v>458.05920207423259</v>
      </c>
      <c r="AO621">
        <f t="shared" si="538"/>
        <v>-18.322170875657289</v>
      </c>
      <c r="AQ621">
        <f t="shared" si="500"/>
        <v>1.77777774617284E-4</v>
      </c>
      <c r="AR621">
        <f t="shared" si="501"/>
        <v>-1.33333330962963</v>
      </c>
      <c r="AT621">
        <f t="shared" si="523"/>
        <v>-4389.5392166389684</v>
      </c>
      <c r="AU621">
        <f t="shared" si="524"/>
        <v>-1194.5229481155072</v>
      </c>
      <c r="AV621">
        <f t="shared" si="511"/>
        <v>-2.8758971120984285</v>
      </c>
      <c r="AW621">
        <f t="shared" si="512"/>
        <v>1433.6331299080193</v>
      </c>
      <c r="AX621">
        <f t="shared" si="513"/>
        <v>-4376.566471257257</v>
      </c>
      <c r="AY621">
        <f t="shared" si="521"/>
        <v>-1.2542414513697666</v>
      </c>
      <c r="BA621">
        <f t="shared" si="502"/>
        <v>0.98779188347850377</v>
      </c>
      <c r="BB621">
        <f t="shared" si="514"/>
        <v>-0.10669093370565043</v>
      </c>
      <c r="BC621">
        <f t="shared" si="515"/>
        <v>-1.6216556607286619</v>
      </c>
      <c r="BD621">
        <f t="shared" si="503"/>
        <v>-272.91402528942098</v>
      </c>
      <c r="BF621">
        <f t="shared" si="504"/>
        <v>-83.184437800446958</v>
      </c>
      <c r="BG621">
        <f t="shared" si="505"/>
        <v>-200.33959467937194</v>
      </c>
      <c r="BH621">
        <f t="shared" si="516"/>
        <v>-20.339594679371942</v>
      </c>
      <c r="BI621">
        <f t="shared" si="517"/>
        <v>-20.339594679371942</v>
      </c>
      <c r="BJ621">
        <f t="shared" si="506"/>
        <v>0</v>
      </c>
      <c r="BK621">
        <f t="shared" si="518"/>
        <v>0</v>
      </c>
      <c r="BM621">
        <f t="shared" si="519"/>
        <v>-83.077746866741307</v>
      </c>
      <c r="BN621">
        <f t="shared" si="507"/>
        <v>-107.42556938995097</v>
      </c>
      <c r="BQ621" s="56">
        <f t="shared" si="520"/>
        <v>16.795269866579485</v>
      </c>
    </row>
    <row r="622" spans="1:69" x14ac:dyDescent="0.25">
      <c r="A622">
        <f t="shared" si="534"/>
        <v>4000000</v>
      </c>
      <c r="B622">
        <f t="shared" si="508"/>
        <v>4000</v>
      </c>
      <c r="C622">
        <f t="shared" si="477"/>
        <v>3.5372173451912854</v>
      </c>
      <c r="D622">
        <f t="shared" si="526"/>
        <v>1.2841801133966793</v>
      </c>
      <c r="F622">
        <f t="shared" si="479"/>
        <v>1.2329707113744223E-6</v>
      </c>
      <c r="G622">
        <f t="shared" si="527"/>
        <v>4.3429876209989318E-4</v>
      </c>
      <c r="H622">
        <f t="shared" si="481"/>
        <v>-3.1411583512379004</v>
      </c>
      <c r="J622">
        <f t="shared" si="482"/>
        <v>15</v>
      </c>
      <c r="M622">
        <f t="shared" si="528"/>
        <v>6.6741706619765002E-4</v>
      </c>
      <c r="N622">
        <f t="shared" si="484"/>
        <v>-1.5707963250000001</v>
      </c>
      <c r="O622">
        <f t="shared" si="529"/>
        <v>1078.1950612180801</v>
      </c>
      <c r="P622">
        <f t="shared" si="486"/>
        <v>1.5698688507014344</v>
      </c>
      <c r="Q622">
        <f t="shared" si="530"/>
        <v>1021.2442955197354</v>
      </c>
      <c r="R622">
        <f t="shared" si="488"/>
        <v>1.5698171290023686</v>
      </c>
      <c r="S622">
        <f t="shared" si="531"/>
        <v>3.8451943984680138E-2</v>
      </c>
      <c r="T622">
        <f t="shared" si="490"/>
        <v>-1.5323349009670422</v>
      </c>
      <c r="U622">
        <f t="shared" si="491"/>
        <v>0.24798738624538086</v>
      </c>
      <c r="V622">
        <f t="shared" si="492"/>
        <v>-1.3201941342005727</v>
      </c>
      <c r="X622">
        <f t="shared" si="532"/>
        <v>-66.774441062058813</v>
      </c>
      <c r="Y622">
        <f t="shared" si="533"/>
        <v>-179.94413479892302</v>
      </c>
      <c r="Z622">
        <f t="shared" si="510"/>
        <v>5.586520107698334E-2</v>
      </c>
      <c r="AC622">
        <v>1</v>
      </c>
      <c r="AD622">
        <f t="shared" si="494"/>
        <v>1078.1945974800001</v>
      </c>
      <c r="AE622">
        <f t="shared" si="495"/>
        <v>-0.32517582938043627</v>
      </c>
      <c r="AF622">
        <f t="shared" si="496"/>
        <v>8.32396388544E-2</v>
      </c>
      <c r="AG622">
        <f t="shared" si="535"/>
        <v>793.68789791084976</v>
      </c>
      <c r="AH622">
        <f t="shared" si="536"/>
        <v>-3112.556998542052</v>
      </c>
      <c r="AJ622">
        <f t="shared" si="497"/>
        <v>18000</v>
      </c>
      <c r="AK622">
        <f t="shared" si="498"/>
        <v>467770.57921440003</v>
      </c>
      <c r="AL622">
        <v>1</v>
      </c>
      <c r="AM622">
        <f t="shared" si="499"/>
        <v>1021.2438059208001</v>
      </c>
      <c r="AN622">
        <f t="shared" si="537"/>
        <v>458.05688469276572</v>
      </c>
      <c r="AO622">
        <f t="shared" si="538"/>
        <v>-17.177037465104249</v>
      </c>
      <c r="AQ622">
        <f t="shared" si="500"/>
        <v>1.562499975585938E-4</v>
      </c>
      <c r="AR622">
        <f t="shared" si="501"/>
        <v>-1.2499999804687503</v>
      </c>
      <c r="AT622">
        <f t="shared" si="523"/>
        <v>-3890.572173653326</v>
      </c>
      <c r="AU622">
        <f t="shared" si="524"/>
        <v>-992.59619391026888</v>
      </c>
      <c r="AV622">
        <f t="shared" si="511"/>
        <v>-2.8917929370895825</v>
      </c>
      <c r="AW622">
        <f t="shared" si="512"/>
        <v>1322.941286686812</v>
      </c>
      <c r="AX622">
        <f t="shared" si="513"/>
        <v>-4132.1171145079925</v>
      </c>
      <c r="AY622">
        <f t="shared" si="521"/>
        <v>-1.2609476647434619</v>
      </c>
      <c r="BA622">
        <f t="shared" si="502"/>
        <v>0.92543148579346091</v>
      </c>
      <c r="BB622">
        <f t="shared" si="514"/>
        <v>-0.6731145731922874</v>
      </c>
      <c r="BC622">
        <f t="shared" si="515"/>
        <v>-1.6308452723461206</v>
      </c>
      <c r="BD622">
        <f t="shared" si="503"/>
        <v>-273.4405512510674</v>
      </c>
      <c r="BF622">
        <f t="shared" si="504"/>
        <v>-84.358999267518143</v>
      </c>
      <c r="BG622">
        <f t="shared" si="505"/>
        <v>-199.83756704858646</v>
      </c>
      <c r="BH622">
        <f t="shared" si="516"/>
        <v>-19.837567048586465</v>
      </c>
      <c r="BI622">
        <f t="shared" si="517"/>
        <v>-19.837567048586465</v>
      </c>
      <c r="BJ622">
        <f t="shared" si="506"/>
        <v>0</v>
      </c>
      <c r="BK622">
        <f t="shared" si="518"/>
        <v>0</v>
      </c>
      <c r="BM622">
        <f t="shared" si="519"/>
        <v>-83.685884694325836</v>
      </c>
      <c r="BN622">
        <f t="shared" si="507"/>
        <v>-106.39701579751906</v>
      </c>
      <c r="BQ622" s="56">
        <f t="shared" si="520"/>
        <v>16.228846227092848</v>
      </c>
    </row>
    <row r="623" spans="1:69" x14ac:dyDescent="0.25">
      <c r="A623">
        <f>A622+250000</f>
        <v>4250000</v>
      </c>
      <c r="B623">
        <f t="shared" si="508"/>
        <v>4250</v>
      </c>
      <c r="C623">
        <f t="shared" si="477"/>
        <v>3.7411045495230475</v>
      </c>
      <c r="D623">
        <f t="shared" si="526"/>
        <v>1.3002055785042954</v>
      </c>
      <c r="F623">
        <f t="shared" si="479"/>
        <v>1.0921815225831013E-6</v>
      </c>
      <c r="G623">
        <f t="shared" si="527"/>
        <v>4.0875172012661915E-4</v>
      </c>
      <c r="H623">
        <f t="shared" si="481"/>
        <v>-3.1411838982798734</v>
      </c>
      <c r="J623">
        <f t="shared" si="482"/>
        <v>15</v>
      </c>
      <c r="M623">
        <f t="shared" si="528"/>
        <v>6.2815723877425878E-4</v>
      </c>
      <c r="N623">
        <f t="shared" si="484"/>
        <v>-1.5707963250000001</v>
      </c>
      <c r="O623">
        <f t="shared" si="529"/>
        <v>1145.5821962818802</v>
      </c>
      <c r="P623">
        <f t="shared" si="486"/>
        <v>1.5699234080901163</v>
      </c>
      <c r="Q623">
        <f t="shared" si="530"/>
        <v>1085.0720045898606</v>
      </c>
      <c r="R623">
        <f t="shared" si="488"/>
        <v>1.5698747288388835</v>
      </c>
      <c r="S623">
        <f t="shared" si="531"/>
        <v>3.6193120319634342E-2</v>
      </c>
      <c r="T623">
        <f t="shared" si="490"/>
        <v>-1.5345952999992281</v>
      </c>
      <c r="U623">
        <f t="shared" si="491"/>
        <v>0.23422372865856775</v>
      </c>
      <c r="V623">
        <f t="shared" si="492"/>
        <v>-1.3343763185682382</v>
      </c>
      <c r="X623">
        <f t="shared" si="532"/>
        <v>-67.836079417171959</v>
      </c>
      <c r="Y623">
        <f t="shared" si="533"/>
        <v>-179.96307151868589</v>
      </c>
      <c r="Z623">
        <f t="shared" si="510"/>
        <v>3.6928481314106421E-2</v>
      </c>
      <c r="AC623">
        <v>1</v>
      </c>
      <c r="AD623">
        <f t="shared" si="494"/>
        <v>1145.5817598225001</v>
      </c>
      <c r="AE623">
        <f t="shared" si="495"/>
        <v>-0.36709302613650807</v>
      </c>
      <c r="AF623">
        <f t="shared" si="496"/>
        <v>8.8442116282799993E-2</v>
      </c>
      <c r="AG623">
        <f t="shared" si="535"/>
        <v>708.03113611861261</v>
      </c>
      <c r="AH623">
        <f t="shared" si="536"/>
        <v>-2950.1023191525906</v>
      </c>
      <c r="AJ623">
        <f t="shared" si="497"/>
        <v>18000</v>
      </c>
      <c r="AK623">
        <f t="shared" si="498"/>
        <v>497006.24041530001</v>
      </c>
      <c r="AL623">
        <v>1</v>
      </c>
      <c r="AM623">
        <f t="shared" si="499"/>
        <v>1085.07154379085</v>
      </c>
      <c r="AN623">
        <f t="shared" si="537"/>
        <v>458.0549641032415</v>
      </c>
      <c r="AO623">
        <f t="shared" si="538"/>
        <v>-16.166625266580589</v>
      </c>
      <c r="AQ623">
        <f t="shared" si="500"/>
        <v>1.3840830258258404E-4</v>
      </c>
      <c r="AR623">
        <f t="shared" si="501"/>
        <v>-1.1764705719519644</v>
      </c>
      <c r="AT623">
        <f t="shared" si="523"/>
        <v>-3470.6105653425393</v>
      </c>
      <c r="AU623">
        <f t="shared" si="524"/>
        <v>-833.38611432370215</v>
      </c>
      <c r="AV623">
        <f t="shared" si="511"/>
        <v>-2.9059279170096342</v>
      </c>
      <c r="AW623">
        <f t="shared" si="512"/>
        <v>1229.7329333727407</v>
      </c>
      <c r="AX623">
        <f t="shared" si="513"/>
        <v>-3912.0932974521033</v>
      </c>
      <c r="AY623">
        <f t="shared" si="521"/>
        <v>-1.2662347531344518</v>
      </c>
      <c r="BA623">
        <f t="shared" si="502"/>
        <v>0.87037915730051907</v>
      </c>
      <c r="BB623">
        <f t="shared" si="514"/>
        <v>-1.2058303487302415</v>
      </c>
      <c r="BC623">
        <f t="shared" si="515"/>
        <v>-1.6396931638751824</v>
      </c>
      <c r="BD623">
        <f t="shared" si="503"/>
        <v>-273.94749809385149</v>
      </c>
      <c r="BF623">
        <f t="shared" si="504"/>
        <v>-85.458111764732053</v>
      </c>
      <c r="BG623">
        <f t="shared" si="505"/>
        <v>-199.42778611260655</v>
      </c>
      <c r="BH623">
        <f t="shared" si="516"/>
        <v>-19.427786112606555</v>
      </c>
      <c r="BI623">
        <f t="shared" si="517"/>
        <v>-19.427786112606555</v>
      </c>
      <c r="BJ623">
        <f t="shared" si="506"/>
        <v>0</v>
      </c>
      <c r="BK623">
        <f t="shared" si="518"/>
        <v>0</v>
      </c>
      <c r="BM623">
        <f t="shared" si="519"/>
        <v>-84.252281416001807</v>
      </c>
      <c r="BN623">
        <f t="shared" si="507"/>
        <v>-105.48028801875508</v>
      </c>
      <c r="BQ623" s="56">
        <f t="shared" si="520"/>
        <v>15.696130451554895</v>
      </c>
    </row>
    <row r="624" spans="1:69" x14ac:dyDescent="0.25">
      <c r="A624">
        <f t="shared" si="534"/>
        <v>4500000</v>
      </c>
      <c r="B624">
        <f t="shared" si="508"/>
        <v>4500</v>
      </c>
      <c r="C624">
        <f t="shared" si="477"/>
        <v>3.9458531046785552</v>
      </c>
      <c r="D624">
        <f t="shared" si="526"/>
        <v>1.3145713126272465</v>
      </c>
      <c r="F624">
        <f t="shared" si="479"/>
        <v>9.7419884184754144E-7</v>
      </c>
      <c r="G624">
        <f t="shared" si="527"/>
        <v>3.8604324693510597E-4</v>
      </c>
      <c r="H624">
        <f t="shared" si="481"/>
        <v>-3.1412066067530651</v>
      </c>
      <c r="J624">
        <f t="shared" si="482"/>
        <v>15</v>
      </c>
      <c r="M624">
        <f t="shared" si="528"/>
        <v>5.9325961439791108E-4</v>
      </c>
      <c r="N624">
        <f t="shared" si="484"/>
        <v>-1.5707963250000001</v>
      </c>
      <c r="O624">
        <f t="shared" si="529"/>
        <v>1212.9693343766453</v>
      </c>
      <c r="P624">
        <f t="shared" si="486"/>
        <v>1.5699719035510948</v>
      </c>
      <c r="Q624">
        <f t="shared" si="530"/>
        <v>1148.8997168599756</v>
      </c>
      <c r="R624">
        <f t="shared" si="488"/>
        <v>1.5699259286987088</v>
      </c>
      <c r="S624">
        <f t="shared" si="531"/>
        <v>3.4184810177727933E-2</v>
      </c>
      <c r="T624">
        <f t="shared" si="490"/>
        <v>-1.5366048550448159</v>
      </c>
      <c r="U624">
        <f t="shared" si="491"/>
        <v>0.22186971125226357</v>
      </c>
      <c r="V624">
        <f t="shared" si="492"/>
        <v>-1.3470647707858905</v>
      </c>
      <c r="X624">
        <f t="shared" si="532"/>
        <v>-68.836245975833506</v>
      </c>
      <c r="Y624">
        <f t="shared" si="533"/>
        <v>-179.97769834584054</v>
      </c>
      <c r="Z624">
        <f t="shared" si="510"/>
        <v>2.2301654159463169E-2</v>
      </c>
      <c r="AC624">
        <v>1</v>
      </c>
      <c r="AD624">
        <f t="shared" si="494"/>
        <v>1212.9689221649999</v>
      </c>
      <c r="AE624">
        <f t="shared" si="495"/>
        <v>-0.41155065905961452</v>
      </c>
      <c r="AF624">
        <f t="shared" si="496"/>
        <v>9.36445937112E-2</v>
      </c>
      <c r="AG624">
        <f t="shared" si="535"/>
        <v>635.31134705352622</v>
      </c>
      <c r="AH624">
        <f t="shared" si="536"/>
        <v>-2802.7544697066623</v>
      </c>
      <c r="AJ624">
        <f t="shared" si="497"/>
        <v>18000</v>
      </c>
      <c r="AK624">
        <f t="shared" si="498"/>
        <v>526241.90161619999</v>
      </c>
      <c r="AL624">
        <v>1</v>
      </c>
      <c r="AM624">
        <f t="shared" si="499"/>
        <v>1148.8992816609</v>
      </c>
      <c r="AN624">
        <f t="shared" si="537"/>
        <v>458.05335463021487</v>
      </c>
      <c r="AO624">
        <f t="shared" si="538"/>
        <v>-15.268480819319834</v>
      </c>
      <c r="AQ624">
        <f t="shared" si="500"/>
        <v>1.234567885992989E-4</v>
      </c>
      <c r="AR624">
        <f t="shared" si="501"/>
        <v>-1.1111110973936902</v>
      </c>
      <c r="AT624">
        <f t="shared" si="523"/>
        <v>-3114.0931610621719</v>
      </c>
      <c r="AU624">
        <f t="shared" si="524"/>
        <v>-706.24750707736939</v>
      </c>
      <c r="AV624">
        <f t="shared" si="511"/>
        <v>-2.9185744097139352</v>
      </c>
      <c r="AW624">
        <f t="shared" si="512"/>
        <v>1150.5753404199218</v>
      </c>
      <c r="AX624">
        <f t="shared" si="513"/>
        <v>-3713.2298553942837</v>
      </c>
      <c r="AY624">
        <f t="shared" si="521"/>
        <v>-1.2703198770498945</v>
      </c>
      <c r="BA624">
        <f t="shared" si="502"/>
        <v>0.82141586813547129</v>
      </c>
      <c r="BB624">
        <f t="shared" si="514"/>
        <v>-1.7087382337596164</v>
      </c>
      <c r="BC624">
        <f t="shared" si="515"/>
        <v>-1.6482545326640408</v>
      </c>
      <c r="BD624">
        <f t="shared" si="503"/>
        <v>-274.4380283928686</v>
      </c>
      <c r="BF624">
        <f t="shared" si="504"/>
        <v>-86.491142605912842</v>
      </c>
      <c r="BG624">
        <f t="shared" si="505"/>
        <v>-199.09652157550553</v>
      </c>
      <c r="BH624">
        <f t="shared" si="516"/>
        <v>-19.096521575505534</v>
      </c>
      <c r="BI624">
        <f t="shared" si="517"/>
        <v>-19.096521575505534</v>
      </c>
      <c r="BJ624">
        <f t="shared" si="506"/>
        <v>0</v>
      </c>
      <c r="BK624">
        <f t="shared" si="518"/>
        <v>0</v>
      </c>
      <c r="BM624">
        <f t="shared" si="519"/>
        <v>-84.782404372153223</v>
      </c>
      <c r="BN624">
        <f t="shared" si="507"/>
        <v>-104.65849318263693</v>
      </c>
      <c r="BQ624" s="56">
        <f t="shared" si="520"/>
        <v>15.193222566525522</v>
      </c>
    </row>
    <row r="625" spans="1:69" x14ac:dyDescent="0.25">
      <c r="A625">
        <f t="shared" si="534"/>
        <v>4750000</v>
      </c>
      <c r="B625">
        <f t="shared" si="508"/>
        <v>4750</v>
      </c>
      <c r="C625">
        <f t="shared" si="477"/>
        <v>4.1513355642299175</v>
      </c>
      <c r="D625">
        <f t="shared" si="526"/>
        <v>1.3275173549640706</v>
      </c>
      <c r="F625">
        <f t="shared" si="479"/>
        <v>8.7435012440824338E-7</v>
      </c>
      <c r="G625">
        <f t="shared" si="527"/>
        <v>3.6572514579261248E-4</v>
      </c>
      <c r="H625">
        <f t="shared" si="481"/>
        <v>-3.1412269248542075</v>
      </c>
      <c r="J625">
        <f t="shared" si="482"/>
        <v>15</v>
      </c>
      <c r="M625">
        <f t="shared" si="528"/>
        <v>5.62035424166442E-4</v>
      </c>
      <c r="N625">
        <f t="shared" si="484"/>
        <v>-1.5707963250000001</v>
      </c>
      <c r="O625">
        <f t="shared" si="529"/>
        <v>1280.3564750238024</v>
      </c>
      <c r="P625">
        <f t="shared" si="486"/>
        <v>1.570015294230001</v>
      </c>
      <c r="Q625">
        <f t="shared" si="530"/>
        <v>1212.727431824819</v>
      </c>
      <c r="R625">
        <f t="shared" si="488"/>
        <v>1.5699717391034815</v>
      </c>
      <c r="S625">
        <f t="shared" si="531"/>
        <v>3.238754928577324E-2</v>
      </c>
      <c r="T625">
        <f t="shared" si="490"/>
        <v>-1.5384031126633642</v>
      </c>
      <c r="U625">
        <f t="shared" si="491"/>
        <v>0.21072461905908182</v>
      </c>
      <c r="V625">
        <f t="shared" si="492"/>
        <v>-1.3584801623896199</v>
      </c>
      <c r="X625">
        <f t="shared" si="532"/>
        <v>-69.781687352109884</v>
      </c>
      <c r="Y625">
        <f t="shared" si="533"/>
        <v>-179.98908438677907</v>
      </c>
      <c r="Z625">
        <f t="shared" si="510"/>
        <v>1.0915613220930709E-2</v>
      </c>
      <c r="AC625">
        <v>1</v>
      </c>
      <c r="AD625">
        <f t="shared" si="494"/>
        <v>1280.3560845075001</v>
      </c>
      <c r="AE625">
        <f t="shared" si="495"/>
        <v>-0.45854872814975572</v>
      </c>
      <c r="AF625">
        <f t="shared" si="496"/>
        <v>9.8847071139600007E-2</v>
      </c>
      <c r="AG625">
        <f t="shared" si="535"/>
        <v>573.08775702860123</v>
      </c>
      <c r="AH625">
        <f t="shared" si="536"/>
        <v>-2668.6543067231314</v>
      </c>
      <c r="AJ625">
        <f t="shared" si="497"/>
        <v>18000</v>
      </c>
      <c r="AK625">
        <f t="shared" si="498"/>
        <v>555477.56281710009</v>
      </c>
      <c r="AL625">
        <v>1</v>
      </c>
      <c r="AM625">
        <f t="shared" si="499"/>
        <v>1212.72701953095</v>
      </c>
      <c r="AN625">
        <f t="shared" si="537"/>
        <v>458.05199253302544</v>
      </c>
      <c r="AO625">
        <f t="shared" si="538"/>
        <v>-14.46487768884025</v>
      </c>
      <c r="AQ625">
        <f t="shared" si="500"/>
        <v>1.1080332287198534E-4</v>
      </c>
      <c r="AR625">
        <f t="shared" si="501"/>
        <v>-1.0526315672838606</v>
      </c>
      <c r="AT625">
        <f t="shared" si="523"/>
        <v>-2809.046265397018</v>
      </c>
      <c r="AU625">
        <f t="shared" si="524"/>
        <v>-603.54595963699046</v>
      </c>
      <c r="AV625">
        <f t="shared" si="511"/>
        <v>-2.9299522585919062</v>
      </c>
      <c r="AW625">
        <f t="shared" si="512"/>
        <v>1082.8240103104376</v>
      </c>
      <c r="AX625">
        <f t="shared" si="513"/>
        <v>-3532.7731272724814</v>
      </c>
      <c r="AY625">
        <f t="shared" si="521"/>
        <v>-1.2733794331077821</v>
      </c>
      <c r="BA625">
        <f t="shared" si="502"/>
        <v>0.77757953089729859</v>
      </c>
      <c r="BB625">
        <f t="shared" si="514"/>
        <v>-2.1851036070923606</v>
      </c>
      <c r="BC625">
        <f t="shared" si="515"/>
        <v>-1.6565728254841241</v>
      </c>
      <c r="BD625">
        <f t="shared" si="503"/>
        <v>-274.91463146475792</v>
      </c>
      <c r="BF625">
        <f t="shared" si="504"/>
        <v>-87.465814101543501</v>
      </c>
      <c r="BG625">
        <f t="shared" si="505"/>
        <v>-198.83253520069411</v>
      </c>
      <c r="BH625">
        <f t="shared" si="516"/>
        <v>-18.83253520069411</v>
      </c>
      <c r="BI625">
        <f t="shared" si="517"/>
        <v>-18.83253520069411</v>
      </c>
      <c r="BJ625">
        <f t="shared" si="506"/>
        <v>0</v>
      </c>
      <c r="BK625">
        <f t="shared" si="518"/>
        <v>0</v>
      </c>
      <c r="BM625">
        <f t="shared" si="519"/>
        <v>-85.280710494451142</v>
      </c>
      <c r="BN625">
        <f t="shared" si="507"/>
        <v>-103.91790373593616</v>
      </c>
      <c r="BQ625" s="56">
        <f t="shared" si="520"/>
        <v>14.716857193192777</v>
      </c>
    </row>
    <row r="626" spans="1:69" x14ac:dyDescent="0.25">
      <c r="A626">
        <f t="shared" si="534"/>
        <v>5000000</v>
      </c>
      <c r="B626">
        <f t="shared" si="508"/>
        <v>5000</v>
      </c>
      <c r="C626">
        <f t="shared" si="477"/>
        <v>4.3574481040946731</v>
      </c>
      <c r="D626">
        <f t="shared" si="526"/>
        <v>1.3392404835653204</v>
      </c>
      <c r="F626">
        <f t="shared" si="479"/>
        <v>7.8910092357075246E-7</v>
      </c>
      <c r="G626">
        <f t="shared" si="527"/>
        <v>3.4743885969750561E-4</v>
      </c>
      <c r="H626">
        <f t="shared" si="481"/>
        <v>-3.1412452111403026</v>
      </c>
      <c r="J626">
        <f t="shared" si="482"/>
        <v>15</v>
      </c>
      <c r="M626">
        <f t="shared" si="528"/>
        <v>5.3393365295811997E-4</v>
      </c>
      <c r="N626">
        <f t="shared" si="484"/>
        <v>-1.5707963250000001</v>
      </c>
      <c r="O626">
        <f t="shared" si="529"/>
        <v>1347.7436178404928</v>
      </c>
      <c r="P626">
        <f t="shared" si="486"/>
        <v>1.5700543458435356</v>
      </c>
      <c r="Q626">
        <f t="shared" si="530"/>
        <v>1276.555149080182</v>
      </c>
      <c r="R626">
        <f t="shared" si="488"/>
        <v>1.5700129684707416</v>
      </c>
      <c r="S626">
        <f t="shared" si="531"/>
        <v>3.0769745318052464E-2</v>
      </c>
      <c r="T626">
        <f t="shared" si="490"/>
        <v>-1.5400217240580332</v>
      </c>
      <c r="U626">
        <f t="shared" si="491"/>
        <v>0.20062315559784172</v>
      </c>
      <c r="V626">
        <f t="shared" si="492"/>
        <v>-1.3688023591531187</v>
      </c>
      <c r="X626">
        <f t="shared" si="532"/>
        <v>-70.678096936013304</v>
      </c>
      <c r="Y626">
        <f t="shared" si="533"/>
        <v>-179.99800447232846</v>
      </c>
      <c r="Z626">
        <f t="shared" si="510"/>
        <v>1.9955276715393211E-3</v>
      </c>
      <c r="AC626">
        <v>1</v>
      </c>
      <c r="AD626">
        <f t="shared" si="494"/>
        <v>1347.7432468500001</v>
      </c>
      <c r="AE626">
        <f t="shared" si="495"/>
        <v>-0.50808723340693163</v>
      </c>
      <c r="AF626">
        <f t="shared" si="496"/>
        <v>0.104049548568</v>
      </c>
      <c r="AG626">
        <f t="shared" si="535"/>
        <v>519.4606924595862</v>
      </c>
      <c r="AH626">
        <f t="shared" si="536"/>
        <v>-2546.2037052693049</v>
      </c>
      <c r="AJ626">
        <f t="shared" si="497"/>
        <v>18000</v>
      </c>
      <c r="AK626">
        <f t="shared" si="498"/>
        <v>584713.22401800007</v>
      </c>
      <c r="AL626">
        <v>1</v>
      </c>
      <c r="AM626">
        <f t="shared" si="499"/>
        <v>1276.554757401</v>
      </c>
      <c r="AN626">
        <f t="shared" si="537"/>
        <v>458.0508295963657</v>
      </c>
      <c r="AO626">
        <f t="shared" si="538"/>
        <v>-13.741634715394538</v>
      </c>
      <c r="AQ626">
        <f t="shared" si="500"/>
        <v>9.9999999000000009E-5</v>
      </c>
      <c r="AR626">
        <f t="shared" si="501"/>
        <v>-0.99999999000000006</v>
      </c>
      <c r="AT626">
        <f t="shared" si="523"/>
        <v>-2546.1517337385417</v>
      </c>
      <c r="AU626">
        <f t="shared" si="524"/>
        <v>-519.71530763296005</v>
      </c>
      <c r="AV626">
        <f t="shared" si="511"/>
        <v>-2.9402406668997094</v>
      </c>
      <c r="AW626">
        <f t="shared" si="512"/>
        <v>1024.4189369735718</v>
      </c>
      <c r="AX626">
        <f t="shared" si="513"/>
        <v>-3368.3964643029271</v>
      </c>
      <c r="AY626">
        <f t="shared" si="521"/>
        <v>-1.2755579811345525</v>
      </c>
      <c r="BA626">
        <f t="shared" si="502"/>
        <v>0.73810068347560953</v>
      </c>
      <c r="BB626">
        <f t="shared" si="514"/>
        <v>-2.6376878503843044</v>
      </c>
      <c r="BC626">
        <f t="shared" si="515"/>
        <v>-1.6646826857651569</v>
      </c>
      <c r="BD626">
        <f t="shared" si="503"/>
        <v>-275.37929223183289</v>
      </c>
      <c r="BF626">
        <f t="shared" si="504"/>
        <v>-88.388567165674658</v>
      </c>
      <c r="BG626">
        <f t="shared" si="505"/>
        <v>-198.62655790247823</v>
      </c>
      <c r="BH626">
        <f t="shared" si="516"/>
        <v>-18.626557902478226</v>
      </c>
      <c r="BI626">
        <f t="shared" si="517"/>
        <v>-18.626557902478226</v>
      </c>
      <c r="BJ626">
        <f t="shared" si="506"/>
        <v>0</v>
      </c>
      <c r="BK626">
        <f t="shared" si="518"/>
        <v>0</v>
      </c>
      <c r="BM626">
        <f t="shared" si="519"/>
        <v>-85.750879315290348</v>
      </c>
      <c r="BN626">
        <f t="shared" si="507"/>
        <v>-103.24726567064535</v>
      </c>
      <c r="BQ626" s="56">
        <f t="shared" si="520"/>
        <v>14.264272949900832</v>
      </c>
    </row>
    <row r="627" spans="1:69" x14ac:dyDescent="0.25">
      <c r="A627">
        <f>A626+100000</f>
        <v>5100000</v>
      </c>
      <c r="B627">
        <f t="shared" si="508"/>
        <v>5100</v>
      </c>
      <c r="C627">
        <f t="shared" ref="C627:C676" si="539">SQRT((A627/Fesr)^2+1)</f>
        <v>4.4400498961909589</v>
      </c>
      <c r="D627">
        <f t="shared" ref="D627:D676" si="540">ATAN(A627/Fesr)</f>
        <v>1.3436247299601756</v>
      </c>
      <c r="F627">
        <f t="shared" ref="F627:F676" si="541">(Ro/(Ro+Rdcr))/SQRT((A627/(Q*Fo))^2+(1-(A627^2/Fo^2))^2)</f>
        <v>7.5845915097252095E-7</v>
      </c>
      <c r="G627">
        <f t="shared" ref="G627:G676" si="542">-ATAN(A627*Fo/(Q*(Fo^2-A627^2)))</f>
        <v>3.4062632288601259E-4</v>
      </c>
      <c r="H627">
        <f t="shared" si="481"/>
        <v>-3.1412520236771142</v>
      </c>
      <c r="J627">
        <f t="shared" si="482"/>
        <v>15</v>
      </c>
      <c r="M627">
        <f t="shared" ref="M627:M676" si="543">1/(2*Pi*_Rfb1*(Cc1ea_u+Cc2ea_u)*A627)</f>
        <v>5.2346436564521567E-4</v>
      </c>
      <c r="N627">
        <f t="shared" si="484"/>
        <v>-1.5707963250000001</v>
      </c>
      <c r="O627">
        <f t="shared" ref="O627:O676" si="544">SQRT(1+(A627/Fz1_u)^2)</f>
        <v>1374.6984755031713</v>
      </c>
      <c r="P627">
        <f t="shared" si="486"/>
        <v>1.5700688944844572</v>
      </c>
      <c r="Q627">
        <f t="shared" ref="Q627:Q676" si="545">SQRT(1+(A627/Fz2_u)^2)</f>
        <v>1302.0862365482205</v>
      </c>
      <c r="R627">
        <f t="shared" si="488"/>
        <v>1.5700283284317815</v>
      </c>
      <c r="S627">
        <f t="shared" ref="S627:S676" si="546">1/SQRT(1+(A627/Fp1_u)^2)</f>
        <v>3.0166971520597365E-2</v>
      </c>
      <c r="T627">
        <f t="shared" si="490"/>
        <v>-1.5406247778433459</v>
      </c>
      <c r="U627">
        <f t="shared" ref="U627:U676" si="547">1/SQRT(1+(A627/Fp2_u)^2)</f>
        <v>0.19684325577904377</v>
      </c>
      <c r="V627">
        <f t="shared" si="492"/>
        <v>-1.3726591914163264</v>
      </c>
      <c r="X627">
        <f t="shared" ref="X627:X676" si="548">20*LOG(C627*J627*O627*Q627*F627*M627*S627*U627)</f>
        <v>-71.02404239296456</v>
      </c>
      <c r="Y627">
        <f t="shared" ref="Y627:Y676" si="549">(180/Pi)*(D627+H627+N627+P627+R627+T627+V627)</f>
        <v>-180.00101499819431</v>
      </c>
      <c r="Z627">
        <f t="shared" si="510"/>
        <v>-1.0149981943072817E-3</v>
      </c>
      <c r="AC627">
        <v>1</v>
      </c>
      <c r="AD627">
        <f t="shared" ref="AD627:AD676" si="550">Rcea1_u*Cc1ea_u*A627*2*Pi</f>
        <v>1374.698111787</v>
      </c>
      <c r="AE627">
        <f t="shared" ref="AE627:AE676" si="551">-Rcea1_u*Cc1ea_u*Cc2ea_u*(A627*2*Pi)^2</f>
        <v>-0.52861395763657149</v>
      </c>
      <c r="AF627">
        <f t="shared" ref="AF627:AF676" si="552">(Cc2ea_u+Cc1ea_u)*A627*2*Pi</f>
        <v>0.10613053953936</v>
      </c>
      <c r="AG627">
        <f t="shared" ref="AG627:AG676" si="553">AC627*AE627/(AE627^2+AF627^2)+AD627*AF627/(AE627^2+AF627^2)</f>
        <v>500.07098310800598</v>
      </c>
      <c r="AH627">
        <f t="shared" ref="AH627:AH676" si="554">AD627*AE627/(AE627^2+AF627^2)-AC627*AF627/(AE627^2+AF627^2)</f>
        <v>-2500.1710406035145</v>
      </c>
      <c r="AJ627">
        <f t="shared" si="497"/>
        <v>18000</v>
      </c>
      <c r="AK627">
        <f t="shared" ref="AK627:AK676" si="555">_Rfb1*Rcea2_u*Cc3ea_u*A627*2*Pi</f>
        <v>596407.48849836004</v>
      </c>
      <c r="AL627">
        <v>2</v>
      </c>
      <c r="AM627">
        <f t="shared" ref="AM627:AM676" si="556">(_Rfb1+Rcea2_u)*Cc3ea_u*A627*2*Pi</f>
        <v>1302.08585254902</v>
      </c>
      <c r="AN627">
        <f t="shared" ref="AN627:AN676" si="557">AJ627*AL627/(AL627^2+AM627^2)+AK627*AM627/(AL627^2+AM627^2)</f>
        <v>458.06021785660027</v>
      </c>
      <c r="AO627">
        <f t="shared" ref="AO627:AO676" si="558">AK627*AL627/(AL627^2+AM627^2)-AJ627*AM627/(AL627^2+AM627^2)</f>
        <v>-13.120394120589399</v>
      </c>
      <c r="AQ627">
        <f t="shared" ref="AQ627:AQ676" si="559">Eadcg/(1+(Eadcg*A627/GBP)^2)</f>
        <v>9.6116877199953123E-5</v>
      </c>
      <c r="AR627">
        <f t="shared" ref="AR627:AR676" si="560">-(A627*Eadcg*Eadcg/GBP)/(1+(Eadcg*A627/GBP)^2)</f>
        <v>-0.98039214743952185</v>
      </c>
      <c r="AT627">
        <f t="shared" ref="AT627:AT676" si="561">-AR627*AH627+AG627*AQ627</f>
        <v>-2451.099990202109</v>
      </c>
      <c r="AU627">
        <f t="shared" ref="AU627:AU676" si="562">AQ627*AH627+AG627*AR627</f>
        <v>-490.5059736343394</v>
      </c>
      <c r="AV627">
        <f t="shared" si="511"/>
        <v>-2.9440849113062901</v>
      </c>
      <c r="AW627">
        <f t="shared" si="512"/>
        <v>1003.9173326368347</v>
      </c>
      <c r="AX627">
        <f t="shared" si="513"/>
        <v>-3306.3086340727332</v>
      </c>
      <c r="AY627">
        <f t="shared" si="521"/>
        <v>-1.2760062677940232</v>
      </c>
      <c r="BA627">
        <f t="shared" si="502"/>
        <v>0.72342562389477338</v>
      </c>
      <c r="BB627">
        <f t="shared" si="514"/>
        <v>-2.8121222499170964</v>
      </c>
      <c r="BC627">
        <f t="shared" si="515"/>
        <v>-1.668078643512267</v>
      </c>
      <c r="BD627">
        <f t="shared" si="503"/>
        <v>-275.57386627836934</v>
      </c>
      <c r="BF627">
        <f t="shared" si="504"/>
        <v>-88.743896144909058</v>
      </c>
      <c r="BG627">
        <f t="shared" si="505"/>
        <v>-198.57032346356456</v>
      </c>
      <c r="BH627">
        <f t="shared" si="516"/>
        <v>-18.570323463564563</v>
      </c>
      <c r="BI627">
        <f t="shared" si="517"/>
        <v>-18.570323463564563</v>
      </c>
      <c r="BJ627">
        <f t="shared" si="506"/>
        <v>0</v>
      </c>
      <c r="BK627">
        <f t="shared" si="518"/>
        <v>0</v>
      </c>
      <c r="BM627">
        <f t="shared" si="519"/>
        <v>-85.931773894991963</v>
      </c>
      <c r="BN627">
        <f t="shared" si="507"/>
        <v>-102.9964571851952</v>
      </c>
      <c r="BQ627" s="56">
        <f t="shared" si="520"/>
        <v>14.089838550368041</v>
      </c>
    </row>
    <row r="628" spans="1:69" x14ac:dyDescent="0.25">
      <c r="A628">
        <f t="shared" ref="A628:A676" si="563">A627+100000</f>
        <v>5200000</v>
      </c>
      <c r="B628">
        <f t="shared" si="508"/>
        <v>5200</v>
      </c>
      <c r="C628">
        <f t="shared" si="539"/>
        <v>4.5227339148612673</v>
      </c>
      <c r="D628">
        <f t="shared" si="540"/>
        <v>1.3478487506762198</v>
      </c>
      <c r="F628">
        <f t="shared" si="541"/>
        <v>7.2956812045230993E-7</v>
      </c>
      <c r="G628">
        <f t="shared" si="542"/>
        <v>3.3407580728993366E-4</v>
      </c>
      <c r="H628">
        <f t="shared" si="481"/>
        <v>-3.1412585741927104</v>
      </c>
      <c r="J628">
        <f t="shared" si="482"/>
        <v>15</v>
      </c>
      <c r="M628">
        <f t="shared" si="543"/>
        <v>5.1339774322896152E-4</v>
      </c>
      <c r="N628">
        <f t="shared" si="484"/>
        <v>-1.5707963250000001</v>
      </c>
      <c r="O628">
        <f t="shared" si="544"/>
        <v>1401.6533334456315</v>
      </c>
      <c r="P628">
        <f t="shared" si="486"/>
        <v>1.5700828835625567</v>
      </c>
      <c r="Q628">
        <f t="shared" si="545"/>
        <v>1327.6173243116425</v>
      </c>
      <c r="R628">
        <f t="shared" si="488"/>
        <v>1.5700430976254314</v>
      </c>
      <c r="S628">
        <f t="shared" si="546"/>
        <v>2.95873502833452E-2</v>
      </c>
      <c r="T628">
        <f t="shared" si="490"/>
        <v>-1.5412046579599927</v>
      </c>
      <c r="U628">
        <f t="shared" si="547"/>
        <v>0.19320043828457545</v>
      </c>
      <c r="V628">
        <f t="shared" si="492"/>
        <v>-1.3763733267425888</v>
      </c>
      <c r="X628">
        <f t="shared" si="548"/>
        <v>-71.363203870226116</v>
      </c>
      <c r="Y628">
        <f t="shared" si="549"/>
        <v>-180.00375298993492</v>
      </c>
      <c r="Z628">
        <f t="shared" si="510"/>
        <v>-3.7529899349237894E-3</v>
      </c>
      <c r="AC628">
        <v>1</v>
      </c>
      <c r="AD628">
        <f t="shared" si="550"/>
        <v>1401.6529767239999</v>
      </c>
      <c r="AE628">
        <f t="shared" si="551"/>
        <v>-0.5495471516529371</v>
      </c>
      <c r="AF628">
        <f t="shared" si="552"/>
        <v>0.10821153051071999</v>
      </c>
      <c r="AG628">
        <f t="shared" si="553"/>
        <v>481.73343566890139</v>
      </c>
      <c r="AH628">
        <f t="shared" si="554"/>
        <v>-2455.7016814534663</v>
      </c>
      <c r="AJ628">
        <f t="shared" si="497"/>
        <v>18000</v>
      </c>
      <c r="AK628">
        <f t="shared" si="555"/>
        <v>608101.75297872</v>
      </c>
      <c r="AL628">
        <v>3</v>
      </c>
      <c r="AM628">
        <f t="shared" si="556"/>
        <v>1327.6169476970401</v>
      </c>
      <c r="AN628">
        <f t="shared" si="557"/>
        <v>458.0683631237269</v>
      </c>
      <c r="AO628">
        <f t="shared" si="558"/>
        <v>-12.523036060566167</v>
      </c>
      <c r="AQ628">
        <f t="shared" si="559"/>
        <v>9.2455620446970963E-5</v>
      </c>
      <c r="AR628">
        <f t="shared" si="560"/>
        <v>-0.96153845264849802</v>
      </c>
      <c r="AT628">
        <f t="shared" si="561"/>
        <v>-2361.207055987396</v>
      </c>
      <c r="AU628">
        <f t="shared" si="562"/>
        <v>-463.43226574471169</v>
      </c>
      <c r="AV628">
        <f t="shared" si="511"/>
        <v>-2.947786942923968</v>
      </c>
      <c r="AW628">
        <f t="shared" si="512"/>
        <v>984.51320130734518</v>
      </c>
      <c r="AX628">
        <f t="shared" si="513"/>
        <v>-3246.379113711761</v>
      </c>
      <c r="AY628">
        <f t="shared" si="521"/>
        <v>-1.276346806629451</v>
      </c>
      <c r="BA628">
        <f t="shared" si="502"/>
        <v>0.70931201696702573</v>
      </c>
      <c r="BB628">
        <f t="shared" si="514"/>
        <v>-2.9832536478549949</v>
      </c>
      <c r="BC628">
        <f t="shared" si="515"/>
        <v>-1.671440136294517</v>
      </c>
      <c r="BD628">
        <f t="shared" si="503"/>
        <v>-275.76646562787607</v>
      </c>
      <c r="BF628">
        <f t="shared" si="504"/>
        <v>-89.092090740045379</v>
      </c>
      <c r="BG628">
        <f t="shared" si="505"/>
        <v>-198.52127957008727</v>
      </c>
      <c r="BH628">
        <f t="shared" si="516"/>
        <v>-18.521279570087273</v>
      </c>
      <c r="BI628">
        <f t="shared" si="517"/>
        <v>-18.521279570087273</v>
      </c>
      <c r="BJ628">
        <f t="shared" si="506"/>
        <v>0</v>
      </c>
      <c r="BK628">
        <f t="shared" si="518"/>
        <v>0</v>
      </c>
      <c r="BM628">
        <f t="shared" si="519"/>
        <v>-86.108837092190385</v>
      </c>
      <c r="BN628">
        <f t="shared" si="507"/>
        <v>-102.75481394221121</v>
      </c>
      <c r="BQ628" s="56">
        <f t="shared" si="520"/>
        <v>13.918707152430141</v>
      </c>
    </row>
    <row r="629" spans="1:69" x14ac:dyDescent="0.25">
      <c r="A629">
        <f t="shared" si="563"/>
        <v>5300000</v>
      </c>
      <c r="B629">
        <f t="shared" si="508"/>
        <v>5300</v>
      </c>
      <c r="C629">
        <f t="shared" si="539"/>
        <v>4.6054957313834537</v>
      </c>
      <c r="D629">
        <f t="shared" si="540"/>
        <v>1.3519210286459682</v>
      </c>
      <c r="F629">
        <f t="shared" si="541"/>
        <v>7.0229695505622044E-7</v>
      </c>
      <c r="G629">
        <f t="shared" si="542"/>
        <v>3.2777248147799755E-4</v>
      </c>
      <c r="H629">
        <f t="shared" si="481"/>
        <v>-3.1412648775185223</v>
      </c>
      <c r="J629">
        <f t="shared" si="482"/>
        <v>15</v>
      </c>
      <c r="M629">
        <f t="shared" si="543"/>
        <v>5.0371099335671697E-4</v>
      </c>
      <c r="N629">
        <f t="shared" si="484"/>
        <v>-1.5707963250000001</v>
      </c>
      <c r="O629">
        <f t="shared" si="544"/>
        <v>1428.6081916520363</v>
      </c>
      <c r="P629">
        <f t="shared" si="486"/>
        <v>1.5700963447511802</v>
      </c>
      <c r="Q629">
        <f t="shared" si="545"/>
        <v>1353.1484123537286</v>
      </c>
      <c r="R629">
        <f t="shared" si="488"/>
        <v>1.570057309491329</v>
      </c>
      <c r="S629">
        <f t="shared" si="546"/>
        <v>2.9029573358731974E-2</v>
      </c>
      <c r="T629">
        <f t="shared" si="490"/>
        <v>-1.5417626746075761</v>
      </c>
      <c r="U629">
        <f t="shared" si="547"/>
        <v>0.18968752447785708</v>
      </c>
      <c r="V629">
        <f t="shared" si="492"/>
        <v>-1.3799524436252022</v>
      </c>
      <c r="X629">
        <f t="shared" si="548"/>
        <v>-71.695843034954578</v>
      </c>
      <c r="Y629">
        <f t="shared" si="549"/>
        <v>-180.00624454456505</v>
      </c>
      <c r="Z629">
        <f t="shared" si="510"/>
        <v>-6.2445445650496367E-3</v>
      </c>
      <c r="AC629">
        <v>1</v>
      </c>
      <c r="AD629">
        <f t="shared" si="550"/>
        <v>1428.6078416610001</v>
      </c>
      <c r="AE629">
        <f t="shared" si="551"/>
        <v>-0.57088681545602837</v>
      </c>
      <c r="AF629">
        <f t="shared" si="552"/>
        <v>0.11029252148208001</v>
      </c>
      <c r="AG629">
        <f t="shared" si="553"/>
        <v>464.37423262093432</v>
      </c>
      <c r="AH629">
        <f t="shared" si="554"/>
        <v>-2412.7214000093204</v>
      </c>
      <c r="AJ629">
        <f t="shared" si="497"/>
        <v>18000</v>
      </c>
      <c r="AK629">
        <f t="shared" si="555"/>
        <v>619796.01745908009</v>
      </c>
      <c r="AL629">
        <v>4</v>
      </c>
      <c r="AM629">
        <f t="shared" si="556"/>
        <v>1353.14804284506</v>
      </c>
      <c r="AN629">
        <f t="shared" si="557"/>
        <v>458.07538471564078</v>
      </c>
      <c r="AO629">
        <f t="shared" si="558"/>
        <v>-11.948211096802135</v>
      </c>
      <c r="AQ629">
        <f t="shared" si="559"/>
        <v>8.8999643209330341E-5</v>
      </c>
      <c r="AR629">
        <f t="shared" si="560"/>
        <v>-0.94339621801890161</v>
      </c>
      <c r="AT629">
        <f t="shared" si="561"/>
        <v>-2276.1109147610437</v>
      </c>
      <c r="AU629">
        <f t="shared" si="562"/>
        <v>-438.30362614378345</v>
      </c>
      <c r="AV629">
        <f t="shared" si="511"/>
        <v>-2.9513544128414533</v>
      </c>
      <c r="AW629">
        <f t="shared" si="512"/>
        <v>966.13029516708809</v>
      </c>
      <c r="AX629">
        <f t="shared" si="513"/>
        <v>-3188.5015597915508</v>
      </c>
      <c r="AY629">
        <f t="shared" si="521"/>
        <v>-1.2765854021220939</v>
      </c>
      <c r="BA629">
        <f t="shared" si="502"/>
        <v>0.69572796757063371</v>
      </c>
      <c r="BB629">
        <f t="shared" si="514"/>
        <v>-3.1512107617254466</v>
      </c>
      <c r="BC629">
        <f t="shared" si="515"/>
        <v>-1.6747690107193594</v>
      </c>
      <c r="BD629">
        <f t="shared" si="503"/>
        <v>-275.95719608316654</v>
      </c>
      <c r="BF629">
        <f t="shared" si="504"/>
        <v>-89.433442189290901</v>
      </c>
      <c r="BG629">
        <f t="shared" si="505"/>
        <v>-198.47904683840673</v>
      </c>
      <c r="BH629">
        <f t="shared" si="516"/>
        <v>-18.479046838406731</v>
      </c>
      <c r="BI629">
        <f t="shared" si="517"/>
        <v>-18.479046838406731</v>
      </c>
      <c r="BJ629">
        <f t="shared" si="506"/>
        <v>0</v>
      </c>
      <c r="BK629">
        <f t="shared" si="518"/>
        <v>0</v>
      </c>
      <c r="BM629">
        <f t="shared" si="519"/>
        <v>-86.282231427565449</v>
      </c>
      <c r="BN629">
        <f t="shared" si="507"/>
        <v>-102.52185075524025</v>
      </c>
      <c r="BQ629" s="56">
        <f t="shared" si="520"/>
        <v>13.750750038559689</v>
      </c>
    </row>
    <row r="630" spans="1:69" x14ac:dyDescent="0.25">
      <c r="A630">
        <f t="shared" si="563"/>
        <v>5400000</v>
      </c>
      <c r="B630">
        <f t="shared" si="508"/>
        <v>5400</v>
      </c>
      <c r="C630">
        <f t="shared" si="539"/>
        <v>4.688331225727338</v>
      </c>
      <c r="D630">
        <f t="shared" si="540"/>
        <v>1.3558494682687667</v>
      </c>
      <c r="F630">
        <f t="shared" si="541"/>
        <v>6.7652678278706181E-7</v>
      </c>
      <c r="G630">
        <f t="shared" si="542"/>
        <v>3.217026126472271E-4</v>
      </c>
      <c r="H630">
        <f t="shared" si="481"/>
        <v>-3.141270947387353</v>
      </c>
      <c r="J630">
        <f t="shared" si="482"/>
        <v>15</v>
      </c>
      <c r="M630">
        <f t="shared" si="543"/>
        <v>4.943830119982592E-4</v>
      </c>
      <c r="N630">
        <f t="shared" si="484"/>
        <v>-1.5707963250000001</v>
      </c>
      <c r="O630">
        <f t="shared" si="544"/>
        <v>1455.5630501077223</v>
      </c>
      <c r="P630">
        <f t="shared" si="486"/>
        <v>1.5701093073775021</v>
      </c>
      <c r="Q630">
        <f t="shared" si="545"/>
        <v>1378.6795006589973</v>
      </c>
      <c r="R630">
        <f t="shared" si="488"/>
        <v>1.5700709949921052</v>
      </c>
      <c r="S630">
        <f t="shared" si="546"/>
        <v>2.8492429201888991E-2</v>
      </c>
      <c r="T630">
        <f t="shared" si="490"/>
        <v>-1.5423000410703567</v>
      </c>
      <c r="U630">
        <f t="shared" si="547"/>
        <v>0.18629781800077519</v>
      </c>
      <c r="V630">
        <f t="shared" si="492"/>
        <v>-1.3834036861359047</v>
      </c>
      <c r="X630">
        <f t="shared" si="548"/>
        <v>-72.022206684817633</v>
      </c>
      <c r="Y630">
        <f t="shared" si="549"/>
        <v>-180.00851294706942</v>
      </c>
      <c r="Z630">
        <f t="shared" si="510"/>
        <v>-8.5129470694198517E-3</v>
      </c>
      <c r="AC630">
        <v>1</v>
      </c>
      <c r="AD630">
        <f t="shared" si="550"/>
        <v>1455.562706598</v>
      </c>
      <c r="AE630">
        <f t="shared" si="551"/>
        <v>-0.59263294904584507</v>
      </c>
      <c r="AF630">
        <f t="shared" si="552"/>
        <v>0.11237351245344</v>
      </c>
      <c r="AG630">
        <f t="shared" si="553"/>
        <v>447.92583546802763</v>
      </c>
      <c r="AH630">
        <f t="shared" si="554"/>
        <v>-2371.1602762051457</v>
      </c>
      <c r="AJ630">
        <f t="shared" si="497"/>
        <v>18000</v>
      </c>
      <c r="AK630">
        <f t="shared" si="555"/>
        <v>631490.28193944006</v>
      </c>
      <c r="AL630">
        <v>5</v>
      </c>
      <c r="AM630">
        <f t="shared" si="556"/>
        <v>1378.6791379930801</v>
      </c>
      <c r="AN630">
        <f t="shared" si="557"/>
        <v>458.08138955813348</v>
      </c>
      <c r="AO630">
        <f t="shared" si="558"/>
        <v>-11.394669447945315</v>
      </c>
      <c r="AQ630">
        <f t="shared" si="559"/>
        <v>8.5733881295148485E-5</v>
      </c>
      <c r="AR630">
        <f t="shared" si="560"/>
        <v>-0.9259259179876036</v>
      </c>
      <c r="AT630">
        <f t="shared" si="561"/>
        <v>-2195.4803530205818</v>
      </c>
      <c r="AU630">
        <f t="shared" si="562"/>
        <v>-414.94942916974969</v>
      </c>
      <c r="AV630">
        <f t="shared" si="511"/>
        <v>-2.9547944397558679</v>
      </c>
      <c r="AW630">
        <f t="shared" si="512"/>
        <v>948.69879340644695</v>
      </c>
      <c r="AX630">
        <f t="shared" si="513"/>
        <v>-3132.5761837292207</v>
      </c>
      <c r="AY630">
        <f t="shared" si="521"/>
        <v>-1.2767274654137275</v>
      </c>
      <c r="BA630">
        <f t="shared" si="502"/>
        <v>0.68264395555232338</v>
      </c>
      <c r="BB630">
        <f t="shared" si="514"/>
        <v>-3.3161150173322769</v>
      </c>
      <c r="BC630">
        <f t="shared" si="515"/>
        <v>-1.6780669743421404</v>
      </c>
      <c r="BD630">
        <f t="shared" si="503"/>
        <v>-276.14615547995544</v>
      </c>
      <c r="BF630">
        <f t="shared" si="504"/>
        <v>-89.768224217077503</v>
      </c>
      <c r="BG630">
        <f t="shared" si="505"/>
        <v>-198.44327100234676</v>
      </c>
      <c r="BH630">
        <f t="shared" si="516"/>
        <v>-18.443271002346762</v>
      </c>
      <c r="BI630">
        <f t="shared" si="517"/>
        <v>-18.443271002346762</v>
      </c>
      <c r="BJ630">
        <f t="shared" si="506"/>
        <v>0</v>
      </c>
      <c r="BK630">
        <f t="shared" si="518"/>
        <v>0</v>
      </c>
      <c r="BM630">
        <f t="shared" si="519"/>
        <v>-86.452109199745223</v>
      </c>
      <c r="BN630">
        <f t="shared" si="507"/>
        <v>-102.29711552239132</v>
      </c>
      <c r="BQ630" s="56">
        <f t="shared" si="520"/>
        <v>13.585845782952861</v>
      </c>
    </row>
    <row r="631" spans="1:69" x14ac:dyDescent="0.25">
      <c r="A631">
        <f t="shared" si="563"/>
        <v>5500000</v>
      </c>
      <c r="B631">
        <f t="shared" si="508"/>
        <v>5500</v>
      </c>
      <c r="C631">
        <f t="shared" si="539"/>
        <v>4.7712365604372096</v>
      </c>
      <c r="D631">
        <f t="shared" si="540"/>
        <v>1.3596414430551129</v>
      </c>
      <c r="F631">
        <f t="shared" si="541"/>
        <v>6.5214943902922746E-7</v>
      </c>
      <c r="G631">
        <f t="shared" si="542"/>
        <v>3.1585346674724198E-4</v>
      </c>
      <c r="H631">
        <f t="shared" si="481"/>
        <v>-3.1412767965332531</v>
      </c>
      <c r="J631">
        <f t="shared" si="482"/>
        <v>15</v>
      </c>
      <c r="M631">
        <f t="shared" si="543"/>
        <v>4.8539422996192721E-4</v>
      </c>
      <c r="N631">
        <f t="shared" si="484"/>
        <v>-1.5707963250000001</v>
      </c>
      <c r="O631">
        <f t="shared" si="544"/>
        <v>1482.5179087990925</v>
      </c>
      <c r="P631">
        <f t="shared" si="486"/>
        <v>1.5701217986358125</v>
      </c>
      <c r="Q631">
        <f t="shared" si="545"/>
        <v>1404.2105892130933</v>
      </c>
      <c r="R631">
        <f t="shared" si="488"/>
        <v>1.570084182838565</v>
      </c>
      <c r="S631">
        <f t="shared" si="546"/>
        <v>2.7974794201163028E-2</v>
      </c>
      <c r="T631">
        <f t="shared" si="490"/>
        <v>-1.542817882513271</v>
      </c>
      <c r="U631">
        <f t="shared" si="547"/>
        <v>0.18302506585728406</v>
      </c>
      <c r="V631">
        <f t="shared" si="492"/>
        <v>-1.3867337090407275</v>
      </c>
      <c r="X631">
        <f t="shared" si="548"/>
        <v>-72.342527853238906</v>
      </c>
      <c r="Y631">
        <f t="shared" si="549"/>
        <v>-180.01057901010719</v>
      </c>
      <c r="Z631">
        <f t="shared" si="510"/>
        <v>-1.0579010107193199E-2</v>
      </c>
      <c r="AC631">
        <v>1</v>
      </c>
      <c r="AD631">
        <f t="shared" si="550"/>
        <v>1482.5175715350001</v>
      </c>
      <c r="AE631">
        <f t="shared" si="551"/>
        <v>-0.61478555242238742</v>
      </c>
      <c r="AF631">
        <f t="shared" si="552"/>
        <v>0.1144545034248</v>
      </c>
      <c r="AG631">
        <f t="shared" si="553"/>
        <v>432.32636307314084</v>
      </c>
      <c r="AH631">
        <f t="shared" si="554"/>
        <v>-2330.9524218413139</v>
      </c>
      <c r="AJ631">
        <f t="shared" si="497"/>
        <v>18000</v>
      </c>
      <c r="AK631">
        <f t="shared" si="555"/>
        <v>643184.54641980003</v>
      </c>
      <c r="AL631">
        <v>6</v>
      </c>
      <c r="AM631">
        <f t="shared" si="556"/>
        <v>1404.2102331411002</v>
      </c>
      <c r="AN631">
        <f t="shared" si="557"/>
        <v>458.08647362775071</v>
      </c>
      <c r="AO631">
        <f t="shared" si="558"/>
        <v>-10.861251968031324</v>
      </c>
      <c r="AQ631">
        <f t="shared" si="559"/>
        <v>8.26446274161601E-5</v>
      </c>
      <c r="AR631">
        <f t="shared" si="560"/>
        <v>-0.90909090157776118</v>
      </c>
      <c r="AT631">
        <f t="shared" si="561"/>
        <v>-2119.0119092553878</v>
      </c>
      <c r="AU631">
        <f t="shared" si="562"/>
        <v>-393.21660387642402</v>
      </c>
      <c r="AV631">
        <f t="shared" si="511"/>
        <v>-2.9581136549040496</v>
      </c>
      <c r="AW631">
        <f t="shared" si="512"/>
        <v>932.15467206313633</v>
      </c>
      <c r="AX631">
        <f t="shared" si="513"/>
        <v>-3078.5092845853787</v>
      </c>
      <c r="AY631">
        <f t="shared" si="521"/>
        <v>-1.2767780465854639</v>
      </c>
      <c r="BA631">
        <f t="shared" si="502"/>
        <v>0.67003261846954743</v>
      </c>
      <c r="BB631">
        <f t="shared" si="514"/>
        <v>-3.4780810899681738</v>
      </c>
      <c r="BC631">
        <f t="shared" si="515"/>
        <v>-1.6813356083185858</v>
      </c>
      <c r="BD631">
        <f t="shared" si="503"/>
        <v>-276.33343441179284</v>
      </c>
      <c r="BF631">
        <f t="shared" si="504"/>
        <v>-90.09669441517579</v>
      </c>
      <c r="BG631">
        <f t="shared" si="505"/>
        <v>-198.41362091403246</v>
      </c>
      <c r="BH631">
        <f t="shared" si="516"/>
        <v>-18.413620914032464</v>
      </c>
      <c r="BI631">
        <f t="shared" si="517"/>
        <v>-18.413620914032464</v>
      </c>
      <c r="BJ631">
        <f t="shared" si="506"/>
        <v>0</v>
      </c>
      <c r="BK631">
        <f t="shared" si="518"/>
        <v>0</v>
      </c>
      <c r="BM631">
        <f t="shared" si="519"/>
        <v>-86.618613325207605</v>
      </c>
      <c r="BN631">
        <f t="shared" si="507"/>
        <v>-102.08018650223963</v>
      </c>
      <c r="BQ631" s="56">
        <f t="shared" si="520"/>
        <v>13.423879710316964</v>
      </c>
    </row>
    <row r="632" spans="1:69" x14ac:dyDescent="0.25">
      <c r="A632">
        <f t="shared" si="563"/>
        <v>5600000</v>
      </c>
      <c r="B632">
        <f t="shared" si="508"/>
        <v>5600</v>
      </c>
      <c r="C632">
        <f t="shared" si="539"/>
        <v>4.8542081570900208</v>
      </c>
      <c r="D632">
        <f t="shared" si="540"/>
        <v>1.3633038387251399</v>
      </c>
      <c r="F632">
        <f t="shared" si="541"/>
        <v>6.2906632969953537E-7</v>
      </c>
      <c r="G632">
        <f t="shared" si="542"/>
        <v>3.1021321930557624E-4</v>
      </c>
      <c r="H632">
        <f t="shared" si="481"/>
        <v>-3.1412824367806946</v>
      </c>
      <c r="J632">
        <f t="shared" si="482"/>
        <v>15</v>
      </c>
      <c r="M632">
        <f t="shared" si="543"/>
        <v>4.7672647585546421E-4</v>
      </c>
      <c r="N632">
        <f t="shared" si="484"/>
        <v>-1.5707963250000001</v>
      </c>
      <c r="O632">
        <f t="shared" si="544"/>
        <v>1509.4727677135206</v>
      </c>
      <c r="P632">
        <f t="shared" si="486"/>
        <v>1.5701338437779542</v>
      </c>
      <c r="Q632">
        <f t="shared" si="545"/>
        <v>1429.7416780026863</v>
      </c>
      <c r="R632">
        <f t="shared" si="488"/>
        <v>1.5700968996907432</v>
      </c>
      <c r="S632">
        <f t="shared" si="546"/>
        <v>2.747562484559099E-2</v>
      </c>
      <c r="T632">
        <f t="shared" si="490"/>
        <v>-1.5433172438372782</v>
      </c>
      <c r="U632">
        <f t="shared" si="547"/>
        <v>0.17986342310871312</v>
      </c>
      <c r="V632">
        <f t="shared" si="492"/>
        <v>-1.3899487184808512</v>
      </c>
      <c r="X632">
        <f t="shared" si="548"/>
        <v>-72.657026813999764</v>
      </c>
      <c r="Y632">
        <f t="shared" si="549"/>
        <v>-180.01246136824821</v>
      </c>
      <c r="Z632">
        <f t="shared" si="510"/>
        <v>-1.2461368248210647E-2</v>
      </c>
      <c r="AC632">
        <v>1</v>
      </c>
      <c r="AD632">
        <f t="shared" si="550"/>
        <v>1509.4724364720003</v>
      </c>
      <c r="AE632">
        <f t="shared" si="551"/>
        <v>-0.63734462558565486</v>
      </c>
      <c r="AF632">
        <f t="shared" si="552"/>
        <v>0.11653549439616001</v>
      </c>
      <c r="AG632">
        <f t="shared" si="553"/>
        <v>417.51903962173117</v>
      </c>
      <c r="AH632">
        <f t="shared" si="554"/>
        <v>-2292.0357215337467</v>
      </c>
      <c r="AJ632">
        <f t="shared" si="497"/>
        <v>18000</v>
      </c>
      <c r="AK632">
        <f t="shared" si="555"/>
        <v>654878.81090016</v>
      </c>
      <c r="AL632">
        <v>7</v>
      </c>
      <c r="AM632">
        <f t="shared" si="556"/>
        <v>1429.74132828912</v>
      </c>
      <c r="AN632">
        <f t="shared" si="557"/>
        <v>458.0907232069045</v>
      </c>
      <c r="AO632">
        <f t="shared" si="558"/>
        <v>-10.346882086184038</v>
      </c>
      <c r="AQ632">
        <f t="shared" si="559"/>
        <v>7.9719387119583961E-5</v>
      </c>
      <c r="AR632">
        <f t="shared" si="560"/>
        <v>-0.89285713573934045</v>
      </c>
      <c r="AT632">
        <f t="shared" si="561"/>
        <v>-2046.4271649789241</v>
      </c>
      <c r="AU632">
        <f t="shared" si="562"/>
        <v>-372.96757351627599</v>
      </c>
      <c r="AV632">
        <f t="shared" si="511"/>
        <v>-2.961318242578642</v>
      </c>
      <c r="AW632">
        <f t="shared" si="512"/>
        <v>916.43914365503474</v>
      </c>
      <c r="AX632">
        <f t="shared" si="513"/>
        <v>-3026.2128177434597</v>
      </c>
      <c r="AY632">
        <f t="shared" si="521"/>
        <v>-1.2767418638764081</v>
      </c>
      <c r="BA632">
        <f t="shared" si="502"/>
        <v>0.65786855778002884</v>
      </c>
      <c r="BB632">
        <f t="shared" si="514"/>
        <v>-3.6372173962072427</v>
      </c>
      <c r="BC632">
        <f t="shared" si="515"/>
        <v>-1.6845763787022339</v>
      </c>
      <c r="BD632">
        <f t="shared" si="503"/>
        <v>-276.51911687735901</v>
      </c>
      <c r="BF632">
        <f t="shared" si="504"/>
        <v>-90.419095490318824</v>
      </c>
      <c r="BG632">
        <f t="shared" si="505"/>
        <v>-198.38978672693349</v>
      </c>
      <c r="BH632">
        <f t="shared" si="516"/>
        <v>-18.389786726933494</v>
      </c>
      <c r="BI632">
        <f t="shared" si="517"/>
        <v>-18.389786726933494</v>
      </c>
      <c r="BJ632">
        <f t="shared" si="506"/>
        <v>0</v>
      </c>
      <c r="BK632">
        <f t="shared" si="518"/>
        <v>0</v>
      </c>
      <c r="BM632">
        <f t="shared" si="519"/>
        <v>-86.781878094111576</v>
      </c>
      <c r="BN632">
        <f t="shared" si="507"/>
        <v>-101.8706698495745</v>
      </c>
      <c r="BQ632" s="56">
        <f t="shared" si="520"/>
        <v>13.264743404077894</v>
      </c>
    </row>
    <row r="633" spans="1:69" x14ac:dyDescent="0.25">
      <c r="A633">
        <f t="shared" si="563"/>
        <v>5700000</v>
      </c>
      <c r="B633">
        <f t="shared" si="508"/>
        <v>5700</v>
      </c>
      <c r="C633">
        <f t="shared" si="539"/>
        <v>4.9372426750413831</v>
      </c>
      <c r="D633">
        <f t="shared" si="540"/>
        <v>1.3668430922492163</v>
      </c>
      <c r="F633">
        <f t="shared" si="541"/>
        <v>6.0718743276758308E-7</v>
      </c>
      <c r="G633">
        <f t="shared" si="542"/>
        <v>3.0477087563984622E-4</v>
      </c>
      <c r="H633">
        <f t="shared" si="481"/>
        <v>-3.1412878791243606</v>
      </c>
      <c r="J633">
        <f t="shared" si="482"/>
        <v>15</v>
      </c>
      <c r="M633">
        <f t="shared" si="543"/>
        <v>4.6836285347203501E-4</v>
      </c>
      <c r="N633">
        <f t="shared" si="484"/>
        <v>-1.5707963250000001</v>
      </c>
      <c r="O633">
        <f t="shared" si="544"/>
        <v>1536.4276268392673</v>
      </c>
      <c r="P633">
        <f t="shared" si="486"/>
        <v>1.5701454662837118</v>
      </c>
      <c r="Q633">
        <f t="shared" si="545"/>
        <v>1455.272767015382</v>
      </c>
      <c r="R633">
        <f t="shared" si="488"/>
        <v>1.5701091703377961</v>
      </c>
      <c r="S633">
        <f t="shared" si="546"/>
        <v>2.6993950714623682E-2</v>
      </c>
      <c r="T633">
        <f t="shared" si="490"/>
        <v>-1.543799096709314</v>
      </c>
      <c r="U633">
        <f t="shared" si="547"/>
        <v>0.17680742080760969</v>
      </c>
      <c r="V633">
        <f t="shared" si="492"/>
        <v>-1.3930545087119002</v>
      </c>
      <c r="X633">
        <f t="shared" si="548"/>
        <v>-72.965911995968028</v>
      </c>
      <c r="Y633">
        <f t="shared" si="549"/>
        <v>-180.01417673340723</v>
      </c>
      <c r="Z633">
        <f t="shared" si="510"/>
        <v>-1.4176733407225584E-2</v>
      </c>
      <c r="AC633">
        <v>1</v>
      </c>
      <c r="AD633">
        <f t="shared" si="550"/>
        <v>1536.4273014090002</v>
      </c>
      <c r="AE633">
        <f t="shared" si="551"/>
        <v>-0.66031016853564828</v>
      </c>
      <c r="AF633">
        <f t="shared" si="552"/>
        <v>0.11861648536752001</v>
      </c>
      <c r="AG633">
        <f t="shared" si="553"/>
        <v>403.45170357791005</v>
      </c>
      <c r="AH633">
        <f t="shared" si="554"/>
        <v>-2254.3515899750773</v>
      </c>
      <c r="AJ633">
        <f t="shared" si="497"/>
        <v>18000</v>
      </c>
      <c r="AK633">
        <f t="shared" si="555"/>
        <v>666573.07538051996</v>
      </c>
      <c r="AL633">
        <v>8</v>
      </c>
      <c r="AM633">
        <f t="shared" si="556"/>
        <v>1455.2724234371401</v>
      </c>
      <c r="AN633">
        <f t="shared" si="557"/>
        <v>458.09421597827696</v>
      </c>
      <c r="AO633">
        <f t="shared" si="558"/>
        <v>-9.8505585904775366</v>
      </c>
      <c r="AQ633">
        <f t="shared" si="559"/>
        <v>7.694675225494958E-5</v>
      </c>
      <c r="AR633">
        <f t="shared" si="560"/>
        <v>-0.87719297570642529</v>
      </c>
      <c r="AT633">
        <f t="shared" si="561"/>
        <v>-1977.4703352004672</v>
      </c>
      <c r="AU633">
        <f t="shared" si="562"/>
        <v>-354.07846544862292</v>
      </c>
      <c r="AV633">
        <f t="shared" si="511"/>
        <v>-2.9644139767199609</v>
      </c>
      <c r="AW633">
        <f t="shared" si="512"/>
        <v>901.49815806630545</v>
      </c>
      <c r="AX633">
        <f t="shared" si="513"/>
        <v>-2975.603996794448</v>
      </c>
      <c r="AY633">
        <f t="shared" si="521"/>
        <v>-1.2766233301668286</v>
      </c>
      <c r="BA633">
        <f t="shared" si="502"/>
        <v>0.64612816557534225</v>
      </c>
      <c r="BB633">
        <f t="shared" si="514"/>
        <v>-3.7936265416068045</v>
      </c>
      <c r="BC633">
        <f t="shared" si="515"/>
        <v>-1.6877906465531323</v>
      </c>
      <c r="BD633">
        <f t="shared" si="503"/>
        <v>-276.70328085965053</v>
      </c>
      <c r="BF633">
        <f t="shared" si="504"/>
        <v>-90.735656393479204</v>
      </c>
      <c r="BG633">
        <f t="shared" si="505"/>
        <v>-198.37147824275999</v>
      </c>
      <c r="BH633">
        <f t="shared" si="516"/>
        <v>-18.371478242759991</v>
      </c>
      <c r="BI633">
        <f t="shared" si="517"/>
        <v>-18.371478242759991</v>
      </c>
      <c r="BJ633">
        <f t="shared" si="506"/>
        <v>0</v>
      </c>
      <c r="BK633">
        <f t="shared" si="518"/>
        <v>0</v>
      </c>
      <c r="BM633">
        <f t="shared" si="519"/>
        <v>-86.942029851872405</v>
      </c>
      <c r="BN633">
        <f t="shared" si="507"/>
        <v>-101.66819738310947</v>
      </c>
      <c r="BQ633" s="56">
        <f t="shared" si="520"/>
        <v>13.108334258678333</v>
      </c>
    </row>
    <row r="634" spans="1:69" x14ac:dyDescent="0.25">
      <c r="A634">
        <f t="shared" si="563"/>
        <v>5800000</v>
      </c>
      <c r="B634">
        <f t="shared" si="508"/>
        <v>5800</v>
      </c>
      <c r="C634">
        <f t="shared" si="539"/>
        <v>5.0203369922072154</v>
      </c>
      <c r="D634">
        <f t="shared" si="540"/>
        <v>1.3702652272610121</v>
      </c>
      <c r="F634">
        <f t="shared" si="541"/>
        <v>5.8643041922770546E-7</v>
      </c>
      <c r="G634">
        <f t="shared" si="542"/>
        <v>2.9951619932386682E-4</v>
      </c>
      <c r="H634">
        <f t="shared" si="481"/>
        <v>-3.1412931338006764</v>
      </c>
      <c r="J634">
        <f t="shared" si="482"/>
        <v>15</v>
      </c>
      <c r="M634">
        <f t="shared" si="543"/>
        <v>4.6028763186044822E-4</v>
      </c>
      <c r="N634">
        <f t="shared" si="484"/>
        <v>-1.5707963250000001</v>
      </c>
      <c r="O634">
        <f t="shared" si="544"/>
        <v>1563.3824861654016</v>
      </c>
      <c r="P634">
        <f t="shared" si="486"/>
        <v>1.5701566880135756</v>
      </c>
      <c r="Q634">
        <f t="shared" si="545"/>
        <v>1480.8038562396407</v>
      </c>
      <c r="R634">
        <f t="shared" si="488"/>
        <v>1.5701210178592848</v>
      </c>
      <c r="S634">
        <f t="shared" si="546"/>
        <v>2.6528868191160421E-2</v>
      </c>
      <c r="T634">
        <f t="shared" si="490"/>
        <v>-1.5442643458662706</v>
      </c>
      <c r="U634">
        <f t="shared" si="547"/>
        <v>0.17385193683868372</v>
      </c>
      <c r="V634">
        <f t="shared" si="492"/>
        <v>-1.3960564953342764</v>
      </c>
      <c r="X634">
        <f t="shared" si="548"/>
        <v>-73.269380817408006</v>
      </c>
      <c r="Y634">
        <f t="shared" si="549"/>
        <v>-180.01574011707825</v>
      </c>
      <c r="Z634">
        <f t="shared" si="510"/>
        <v>-1.5740117078252069E-2</v>
      </c>
      <c r="AC634">
        <v>1</v>
      </c>
      <c r="AD634">
        <f t="shared" si="550"/>
        <v>1563.3821663460001</v>
      </c>
      <c r="AE634">
        <f t="shared" si="551"/>
        <v>-0.68368218127236713</v>
      </c>
      <c r="AF634">
        <f t="shared" si="552"/>
        <v>0.12069747633887999</v>
      </c>
      <c r="AG634">
        <f t="shared" si="553"/>
        <v>390.07637016292443</v>
      </c>
      <c r="AH634">
        <f t="shared" si="554"/>
        <v>-2217.8447448578981</v>
      </c>
      <c r="AJ634">
        <f t="shared" si="497"/>
        <v>18000</v>
      </c>
      <c r="AK634">
        <f t="shared" si="555"/>
        <v>678267.33986088005</v>
      </c>
      <c r="AL634">
        <v>9</v>
      </c>
      <c r="AM634">
        <f t="shared" si="556"/>
        <v>1480.8035185851602</v>
      </c>
      <c r="AN634">
        <f t="shared" si="557"/>
        <v>458.09702198128639</v>
      </c>
      <c r="AO634">
        <f t="shared" si="558"/>
        <v>-9.3713491546990522</v>
      </c>
      <c r="AQ634">
        <f t="shared" si="559"/>
        <v>7.4316289578505582E-5</v>
      </c>
      <c r="AR634">
        <f t="shared" si="560"/>
        <v>-0.86206895911066472</v>
      </c>
      <c r="AT634">
        <f t="shared" si="561"/>
        <v>-1911.9061216402233</v>
      </c>
      <c r="AU634">
        <f t="shared" si="562"/>
        <v>-336.43755239231768</v>
      </c>
      <c r="AV634">
        <f t="shared" si="511"/>
        <v>-2.9674062540141559</v>
      </c>
      <c r="AW634">
        <f t="shared" si="512"/>
        <v>887.28195728030641</v>
      </c>
      <c r="AX634">
        <f t="shared" si="513"/>
        <v>-2926.6049260899299</v>
      </c>
      <c r="AY634">
        <f t="shared" si="521"/>
        <v>-1.2764265770129504</v>
      </c>
      <c r="BA634">
        <f t="shared" si="502"/>
        <v>0.63478946935937597</v>
      </c>
      <c r="BB634">
        <f t="shared" si="514"/>
        <v>-3.9474057289880289</v>
      </c>
      <c r="BC634">
        <f t="shared" si="515"/>
        <v>-1.6909796770012056</v>
      </c>
      <c r="BD634">
        <f t="shared" si="503"/>
        <v>-276.88599884527264</v>
      </c>
      <c r="BF634">
        <f t="shared" si="504"/>
        <v>-91.046593343985734</v>
      </c>
      <c r="BG634">
        <f t="shared" si="505"/>
        <v>-198.35842340583412</v>
      </c>
      <c r="BH634">
        <f t="shared" si="516"/>
        <v>-18.358423405834117</v>
      </c>
      <c r="BI634">
        <f t="shared" si="517"/>
        <v>-18.358423405834117</v>
      </c>
      <c r="BJ634">
        <f t="shared" si="506"/>
        <v>0</v>
      </c>
      <c r="BK634">
        <f t="shared" si="518"/>
        <v>0</v>
      </c>
      <c r="BM634">
        <f t="shared" si="519"/>
        <v>-87.099187614997703</v>
      </c>
      <c r="BN634">
        <f t="shared" si="507"/>
        <v>-101.47242456056152</v>
      </c>
      <c r="BQ634" s="56">
        <f t="shared" si="520"/>
        <v>12.954555071297108</v>
      </c>
    </row>
    <row r="635" spans="1:69" x14ac:dyDescent="0.25">
      <c r="A635">
        <f t="shared" si="563"/>
        <v>5900000</v>
      </c>
      <c r="B635">
        <f t="shared" si="508"/>
        <v>5900</v>
      </c>
      <c r="C635">
        <f t="shared" si="539"/>
        <v>5.1034881876597389</v>
      </c>
      <c r="D635">
        <f t="shared" si="540"/>
        <v>1.3735758862231155</v>
      </c>
      <c r="F635">
        <f t="shared" si="541"/>
        <v>5.6671987746544843E-7</v>
      </c>
      <c r="G635">
        <f t="shared" si="542"/>
        <v>2.9443964792842897E-4</v>
      </c>
      <c r="H635">
        <f t="shared" si="481"/>
        <v>-3.1412982103520717</v>
      </c>
      <c r="J635">
        <f t="shared" si="482"/>
        <v>15</v>
      </c>
      <c r="M635">
        <f t="shared" si="543"/>
        <v>4.524861465746779E-4</v>
      </c>
      <c r="N635">
        <f t="shared" si="484"/>
        <v>-1.5707963250000001</v>
      </c>
      <c r="O635">
        <f t="shared" si="544"/>
        <v>1590.3373456817351</v>
      </c>
      <c r="P635">
        <f t="shared" si="486"/>
        <v>1.5701675293459698</v>
      </c>
      <c r="Q635">
        <f t="shared" si="545"/>
        <v>1506.3349456647047</v>
      </c>
      <c r="R635">
        <f t="shared" si="488"/>
        <v>1.5701324637700558</v>
      </c>
      <c r="S635">
        <f t="shared" si="546"/>
        <v>2.6079534812327446E-2</v>
      </c>
      <c r="T635">
        <f t="shared" si="490"/>
        <v>-1.5447138347789673</v>
      </c>
      <c r="U635">
        <f t="shared" si="547"/>
        <v>0.17099216937225176</v>
      </c>
      <c r="V635">
        <f t="shared" si="492"/>
        <v>-1.3989597453944793</v>
      </c>
      <c r="X635">
        <f t="shared" si="548"/>
        <v>-73.56762044818916</v>
      </c>
      <c r="Y635">
        <f t="shared" si="549"/>
        <v>-180.01716502409943</v>
      </c>
      <c r="Z635">
        <f t="shared" si="510"/>
        <v>-1.7165024099426773E-2</v>
      </c>
      <c r="AC635">
        <v>1</v>
      </c>
      <c r="AD635">
        <f t="shared" si="550"/>
        <v>1590.337031283</v>
      </c>
      <c r="AE635">
        <f t="shared" si="551"/>
        <v>-0.70746066379581152</v>
      </c>
      <c r="AF635">
        <f t="shared" si="552"/>
        <v>0.12277846731023999</v>
      </c>
      <c r="AG635">
        <f t="shared" si="553"/>
        <v>377.34884088301374</v>
      </c>
      <c r="AH635">
        <f t="shared" si="554"/>
        <v>-2182.4629947252047</v>
      </c>
      <c r="AJ635">
        <f t="shared" si="497"/>
        <v>18000</v>
      </c>
      <c r="AK635">
        <f t="shared" si="555"/>
        <v>689961.60434124002</v>
      </c>
      <c r="AL635">
        <v>10</v>
      </c>
      <c r="AM635">
        <f t="shared" si="556"/>
        <v>1506.3346137331798</v>
      </c>
      <c r="AN635">
        <f t="shared" si="557"/>
        <v>458.09920444985141</v>
      </c>
      <c r="AO635">
        <f t="shared" si="558"/>
        <v>-8.9083845203854715</v>
      </c>
      <c r="AQ635">
        <f t="shared" si="559"/>
        <v>7.1818442460367399E-5</v>
      </c>
      <c r="AR635">
        <f t="shared" si="560"/>
        <v>-0.84745762103233535</v>
      </c>
      <c r="AT635">
        <f t="shared" si="561"/>
        <v>-1849.517796894912</v>
      </c>
      <c r="AU635">
        <f t="shared" si="562"/>
        <v>-319.94389208703666</v>
      </c>
      <c r="AV635">
        <f t="shared" si="511"/>
        <v>-2.9703001238757936</v>
      </c>
      <c r="AW635">
        <f t="shared" si="512"/>
        <v>873.74467752600412</v>
      </c>
      <c r="AX635">
        <f t="shared" si="513"/>
        <v>-2879.1422615769334</v>
      </c>
      <c r="AY635">
        <f t="shared" si="521"/>
        <v>-1.2761554764875354</v>
      </c>
      <c r="BA635">
        <f t="shared" si="502"/>
        <v>0.62383199271438683</v>
      </c>
      <c r="BB635">
        <f t="shared" si="514"/>
        <v>-4.0986471313968229</v>
      </c>
      <c r="BC635">
        <f t="shared" si="515"/>
        <v>-1.6941446473882582</v>
      </c>
      <c r="BD635">
        <f t="shared" si="503"/>
        <v>-277.06733829094185</v>
      </c>
      <c r="BF635">
        <f t="shared" si="504"/>
        <v>-91.352110759990012</v>
      </c>
      <c r="BG635">
        <f t="shared" si="505"/>
        <v>-198.35036693032069</v>
      </c>
      <c r="BH635">
        <f t="shared" si="516"/>
        <v>-18.350366930320689</v>
      </c>
      <c r="BI635">
        <f t="shared" si="517"/>
        <v>-18.350366930320689</v>
      </c>
      <c r="BJ635">
        <f t="shared" si="506"/>
        <v>0</v>
      </c>
      <c r="BK635">
        <f t="shared" si="518"/>
        <v>0</v>
      </c>
      <c r="BM635">
        <f t="shared" si="519"/>
        <v>-87.253463628593181</v>
      </c>
      <c r="BN635">
        <f t="shared" si="507"/>
        <v>-101.28302863937884</v>
      </c>
      <c r="BQ635" s="56">
        <f t="shared" si="520"/>
        <v>12.803313668888311</v>
      </c>
    </row>
    <row r="636" spans="1:69" x14ac:dyDescent="0.25">
      <c r="A636">
        <f t="shared" si="563"/>
        <v>6000000</v>
      </c>
      <c r="B636">
        <f t="shared" si="508"/>
        <v>6000</v>
      </c>
      <c r="C636">
        <f t="shared" si="539"/>
        <v>5.1866935258432898</v>
      </c>
      <c r="D636">
        <f t="shared" si="540"/>
        <v>1.3767803596813646</v>
      </c>
      <c r="F636">
        <f t="shared" si="541"/>
        <v>5.4798662734952854E-7</v>
      </c>
      <c r="G636">
        <f t="shared" si="542"/>
        <v>2.8953231518802586E-4</v>
      </c>
      <c r="H636">
        <f t="shared" si="481"/>
        <v>-3.1413031176848123</v>
      </c>
      <c r="J636">
        <f t="shared" si="482"/>
        <v>15</v>
      </c>
      <c r="M636">
        <f t="shared" si="543"/>
        <v>4.4494471079843326E-4</v>
      </c>
      <c r="N636">
        <f t="shared" si="484"/>
        <v>-1.5707963250000001</v>
      </c>
      <c r="O636">
        <f t="shared" si="544"/>
        <v>1617.292205378757</v>
      </c>
      <c r="P636">
        <f t="shared" si="486"/>
        <v>1.5701780093007582</v>
      </c>
      <c r="Q636">
        <f t="shared" si="545"/>
        <v>1531.8660352805337</v>
      </c>
      <c r="R636">
        <f t="shared" si="488"/>
        <v>1.5701435281506331</v>
      </c>
      <c r="S636">
        <f t="shared" si="546"/>
        <v>2.5645164183805236E-2</v>
      </c>
      <c r="T636">
        <f t="shared" si="490"/>
        <v>-1.5451483507506407</v>
      </c>
      <c r="U636">
        <f t="shared" si="547"/>
        <v>0.16822361266808028</v>
      </c>
      <c r="V636">
        <f t="shared" si="492"/>
        <v>-1.4017690046916833</v>
      </c>
      <c r="X636">
        <f t="shared" si="548"/>
        <v>-73.860808507227972</v>
      </c>
      <c r="Y636">
        <f t="shared" si="549"/>
        <v>-180.01846362194297</v>
      </c>
      <c r="Z636">
        <f t="shared" si="510"/>
        <v>-1.8463621942970576E-2</v>
      </c>
      <c r="AC636">
        <v>1</v>
      </c>
      <c r="AD636">
        <f t="shared" si="550"/>
        <v>1617.2918962199999</v>
      </c>
      <c r="AE636">
        <f t="shared" si="551"/>
        <v>-0.73164561610598144</v>
      </c>
      <c r="AF636">
        <f t="shared" si="552"/>
        <v>0.12485945828159999</v>
      </c>
      <c r="AG636">
        <f t="shared" si="553"/>
        <v>365.22835448800106</v>
      </c>
      <c r="AH636">
        <f t="shared" si="554"/>
        <v>-2148.1570409654219</v>
      </c>
      <c r="AJ636">
        <f t="shared" si="497"/>
        <v>18000</v>
      </c>
      <c r="AK636">
        <f t="shared" si="555"/>
        <v>701655.8688216001</v>
      </c>
      <c r="AL636">
        <v>11</v>
      </c>
      <c r="AM636">
        <f t="shared" si="556"/>
        <v>1531.8657088811999</v>
      </c>
      <c r="AN636">
        <f t="shared" si="557"/>
        <v>458.10082054775063</v>
      </c>
      <c r="AO636">
        <f t="shared" si="558"/>
        <v>-8.4608532581101699</v>
      </c>
      <c r="AQ636">
        <f t="shared" si="559"/>
        <v>6.9444443962191359E-5</v>
      </c>
      <c r="AR636">
        <f t="shared" si="560"/>
        <v>-0.8333333275462963</v>
      </c>
      <c r="AT636">
        <f t="shared" si="561"/>
        <v>-1790.1054919597238</v>
      </c>
      <c r="AU636">
        <f t="shared" si="562"/>
        <v>-304.50613753099748</v>
      </c>
      <c r="AV636">
        <f t="shared" si="511"/>
        <v>-2.9731003156475779</v>
      </c>
      <c r="AW636">
        <f t="shared" si="512"/>
        <v>860.8439932410289</v>
      </c>
      <c r="AX636">
        <f t="shared" si="513"/>
        <v>-2833.1468976834899</v>
      </c>
      <c r="AY636">
        <f t="shared" si="521"/>
        <v>-1.2758136610515085</v>
      </c>
      <c r="BA636">
        <f t="shared" si="502"/>
        <v>0.61323662998743877</v>
      </c>
      <c r="BB636">
        <f t="shared" si="514"/>
        <v>-4.2474382333561431</v>
      </c>
      <c r="BC636">
        <f t="shared" si="515"/>
        <v>-1.6972866545960694</v>
      </c>
      <c r="BD636">
        <f t="shared" si="503"/>
        <v>-277.24736204335483</v>
      </c>
      <c r="BF636">
        <f t="shared" si="504"/>
        <v>-91.652402105356558</v>
      </c>
      <c r="BG636">
        <f t="shared" si="505"/>
        <v>-198.34706904725951</v>
      </c>
      <c r="BH636">
        <f t="shared" si="516"/>
        <v>-18.347069047259509</v>
      </c>
      <c r="BI636">
        <f t="shared" si="517"/>
        <v>-18.347069047259509</v>
      </c>
      <c r="BJ636">
        <f t="shared" si="506"/>
        <v>0</v>
      </c>
      <c r="BK636">
        <f t="shared" si="518"/>
        <v>0</v>
      </c>
      <c r="BM636">
        <f t="shared" si="519"/>
        <v>-87.404963872000408</v>
      </c>
      <c r="BN636">
        <f t="shared" si="507"/>
        <v>-101.09970700390471</v>
      </c>
      <c r="BQ636" s="56">
        <f t="shared" si="520"/>
        <v>12.654522566928994</v>
      </c>
    </row>
    <row r="637" spans="1:69" x14ac:dyDescent="0.25">
      <c r="A637">
        <f t="shared" si="563"/>
        <v>6100000</v>
      </c>
      <c r="B637">
        <f t="shared" si="508"/>
        <v>6100</v>
      </c>
      <c r="C637">
        <f t="shared" si="539"/>
        <v>5.2699504422385992</v>
      </c>
      <c r="D637">
        <f t="shared" si="540"/>
        <v>1.3798836129056282</v>
      </c>
      <c r="F637">
        <f t="shared" si="541"/>
        <v>5.3016711238013732E-7</v>
      </c>
      <c r="G637">
        <f t="shared" si="542"/>
        <v>2.8478587885611865E-4</v>
      </c>
      <c r="H637">
        <f t="shared" si="481"/>
        <v>-3.1413078641211443</v>
      </c>
      <c r="J637">
        <f t="shared" si="482"/>
        <v>15</v>
      </c>
      <c r="M637">
        <f t="shared" si="543"/>
        <v>4.3765053521157367E-4</v>
      </c>
      <c r="N637">
        <f t="shared" si="484"/>
        <v>-1.5707963250000001</v>
      </c>
      <c r="O637">
        <f t="shared" si="544"/>
        <v>1644.2470652475815</v>
      </c>
      <c r="P637">
        <f t="shared" si="486"/>
        <v>1.5701881456506008</v>
      </c>
      <c r="Q637">
        <f t="shared" si="545"/>
        <v>1557.3971250777461</v>
      </c>
      <c r="R637">
        <f t="shared" si="488"/>
        <v>1.5701542297647864</v>
      </c>
      <c r="S637">
        <f t="shared" si="546"/>
        <v>2.5225021393210888E-2</v>
      </c>
      <c r="T637">
        <f t="shared" si="490"/>
        <v>-1.5455686295147288</v>
      </c>
      <c r="U637">
        <f t="shared" si="547"/>
        <v>0.16554203499622819</v>
      </c>
      <c r="V637">
        <f t="shared" si="492"/>
        <v>-1.4044887225841822</v>
      </c>
      <c r="X637">
        <f t="shared" si="548"/>
        <v>-74.1491137016435</v>
      </c>
      <c r="Y637">
        <f t="shared" si="549"/>
        <v>-180.01964688892022</v>
      </c>
      <c r="Z637">
        <f t="shared" si="510"/>
        <v>-1.9646888920220817E-2</v>
      </c>
      <c r="AC637">
        <v>1</v>
      </c>
      <c r="AD637">
        <f t="shared" si="550"/>
        <v>1644.246761157</v>
      </c>
      <c r="AE637">
        <f t="shared" si="551"/>
        <v>-0.75623703820287702</v>
      </c>
      <c r="AF637">
        <f t="shared" si="552"/>
        <v>0.12694044925296</v>
      </c>
      <c r="AG637">
        <f t="shared" si="553"/>
        <v>353.67727447489358</v>
      </c>
      <c r="AH637">
        <f t="shared" si="554"/>
        <v>-2114.8802931489504</v>
      </c>
      <c r="AJ637">
        <f t="shared" si="497"/>
        <v>18000</v>
      </c>
      <c r="AK637">
        <f t="shared" si="555"/>
        <v>713350.13330196007</v>
      </c>
      <c r="AL637">
        <v>12</v>
      </c>
      <c r="AM637">
        <f t="shared" si="556"/>
        <v>1557.39680402922</v>
      </c>
      <c r="AN637">
        <f t="shared" si="557"/>
        <v>458.1019220154231</v>
      </c>
      <c r="AO637">
        <f t="shared" si="558"/>
        <v>-8.0279970419024611</v>
      </c>
      <c r="AQ637">
        <f t="shared" si="559"/>
        <v>6.7186239806596079E-5</v>
      </c>
      <c r="AR637">
        <f t="shared" si="560"/>
        <v>-0.81967212564047209</v>
      </c>
      <c r="AT637">
        <f t="shared" si="561"/>
        <v>-1733.4846631143678</v>
      </c>
      <c r="AU637">
        <f t="shared" si="562"/>
        <v>-290.04149421410244</v>
      </c>
      <c r="AV637">
        <f t="shared" si="511"/>
        <v>-2.9758112633104434</v>
      </c>
      <c r="AW637">
        <f t="shared" si="512"/>
        <v>848.54079797432348</v>
      </c>
      <c r="AX637">
        <f t="shared" si="513"/>
        <v>-2788.5536781790852</v>
      </c>
      <c r="AY637">
        <f t="shared" si="521"/>
        <v>-1.2754045416565041</v>
      </c>
      <c r="BA637">
        <f t="shared" si="502"/>
        <v>0.60298553337689786</v>
      </c>
      <c r="BB637">
        <f t="shared" si="514"/>
        <v>-4.3938621435966922</v>
      </c>
      <c r="BC637">
        <f t="shared" si="515"/>
        <v>-1.7004067216539394</v>
      </c>
      <c r="BD637">
        <f t="shared" si="503"/>
        <v>-277.42612871777283</v>
      </c>
      <c r="BF637">
        <f t="shared" si="504"/>
        <v>-91.94765066181175</v>
      </c>
      <c r="BG637">
        <f t="shared" si="505"/>
        <v>-198.34830435973353</v>
      </c>
      <c r="BH637">
        <f t="shared" si="516"/>
        <v>-18.348304359733532</v>
      </c>
      <c r="BI637">
        <f t="shared" si="517"/>
        <v>-18.348304359733532</v>
      </c>
      <c r="BJ637">
        <f t="shared" si="506"/>
        <v>0</v>
      </c>
      <c r="BK637">
        <f t="shared" si="518"/>
        <v>0</v>
      </c>
      <c r="BM637">
        <f t="shared" si="519"/>
        <v>-87.553788518215057</v>
      </c>
      <c r="BN637">
        <f t="shared" si="507"/>
        <v>-100.92217564196073</v>
      </c>
      <c r="BQ637" s="56">
        <f t="shared" si="520"/>
        <v>12.508098656688444</v>
      </c>
    </row>
    <row r="638" spans="1:69" x14ac:dyDescent="0.25">
      <c r="A638">
        <f t="shared" si="563"/>
        <v>6200000</v>
      </c>
      <c r="B638">
        <f t="shared" si="508"/>
        <v>6200</v>
      </c>
      <c r="C638">
        <f t="shared" si="539"/>
        <v>5.3532565303243977</v>
      </c>
      <c r="D638">
        <f t="shared" si="540"/>
        <v>1.3828903101811196</v>
      </c>
      <c r="F638">
        <f t="shared" si="541"/>
        <v>5.1320285990440875E-7</v>
      </c>
      <c r="G638">
        <f t="shared" si="542"/>
        <v>2.8019255360668487E-4</v>
      </c>
      <c r="H638">
        <f t="shared" si="481"/>
        <v>-3.1413124574463933</v>
      </c>
      <c r="J638">
        <f t="shared" si="482"/>
        <v>15</v>
      </c>
      <c r="M638">
        <f t="shared" si="543"/>
        <v>4.3059165561138709E-4</v>
      </c>
      <c r="N638">
        <f t="shared" si="484"/>
        <v>-1.5707963250000001</v>
      </c>
      <c r="O638">
        <f t="shared" si="544"/>
        <v>1671.2019252798957</v>
      </c>
      <c r="P638">
        <f t="shared" si="486"/>
        <v>1.5701979550215353</v>
      </c>
      <c r="Q638">
        <f t="shared" si="545"/>
        <v>1582.9282150475649</v>
      </c>
      <c r="R638">
        <f t="shared" si="488"/>
        <v>1.5701645861657196</v>
      </c>
      <c r="S638">
        <f t="shared" si="546"/>
        <v>2.4818418866338152E-2</v>
      </c>
      <c r="T638">
        <f t="shared" si="490"/>
        <v>-1.5459753593883818</v>
      </c>
      <c r="U638">
        <f t="shared" si="547"/>
        <v>0.16294345846683908</v>
      </c>
      <c r="V638">
        <f t="shared" si="492"/>
        <v>-1.4071230745557701</v>
      </c>
      <c r="X638">
        <f t="shared" si="548"/>
        <v>-74.432696413365548</v>
      </c>
      <c r="Y638">
        <f t="shared" si="549"/>
        <v>-180.02072474418054</v>
      </c>
      <c r="Z638">
        <f t="shared" si="510"/>
        <v>-2.0724744180540711E-2</v>
      </c>
      <c r="AC638">
        <v>1</v>
      </c>
      <c r="AD638">
        <f t="shared" si="550"/>
        <v>1671.2016260940002</v>
      </c>
      <c r="AE638">
        <f t="shared" si="551"/>
        <v>-0.7812349300864978</v>
      </c>
      <c r="AF638">
        <f t="shared" si="552"/>
        <v>0.12902144022431999</v>
      </c>
      <c r="AG638">
        <f t="shared" si="553"/>
        <v>342.66080888068927</v>
      </c>
      <c r="AH638">
        <f t="shared" si="554"/>
        <v>-2082.5886969027924</v>
      </c>
      <c r="AJ638">
        <f t="shared" si="497"/>
        <v>18000</v>
      </c>
      <c r="AK638">
        <f t="shared" si="555"/>
        <v>725044.39778232004</v>
      </c>
      <c r="AL638">
        <v>13</v>
      </c>
      <c r="AM638">
        <f t="shared" si="556"/>
        <v>1582.9278991772399</v>
      </c>
      <c r="AN638">
        <f t="shared" si="557"/>
        <v>458.10255574000416</v>
      </c>
      <c r="AO638">
        <f t="shared" si="558"/>
        <v>-7.6091063791600462</v>
      </c>
      <c r="AQ638">
        <f t="shared" si="559"/>
        <v>6.5036419972447842E-5</v>
      </c>
      <c r="AR638">
        <f t="shared" si="560"/>
        <v>-0.80645160765835322</v>
      </c>
      <c r="AT638">
        <f t="shared" si="561"/>
        <v>-1679.4847172760974</v>
      </c>
      <c r="AU638">
        <f t="shared" si="562"/>
        <v>-276.47480431646522</v>
      </c>
      <c r="AV638">
        <f t="shared" si="511"/>
        <v>-2.9784371279629127</v>
      </c>
      <c r="AW638">
        <f t="shared" si="512"/>
        <v>836.79891797178118</v>
      </c>
      <c r="AX638">
        <f t="shared" si="513"/>
        <v>-2745.3011290859286</v>
      </c>
      <c r="AY638">
        <f t="shared" si="521"/>
        <v>-1.2749313242558937</v>
      </c>
      <c r="BA638">
        <f t="shared" si="502"/>
        <v>0.59306201100938516</v>
      </c>
      <c r="BB638">
        <f t="shared" si="514"/>
        <v>-4.5379978820847544</v>
      </c>
      <c r="BC638">
        <f t="shared" si="515"/>
        <v>-1.703505803707019</v>
      </c>
      <c r="BD638">
        <f t="shared" si="503"/>
        <v>-277.60369303998192</v>
      </c>
      <c r="BF638">
        <f t="shared" si="504"/>
        <v>-92.238030234120586</v>
      </c>
      <c r="BG638">
        <f t="shared" si="505"/>
        <v>-198.35386079573766</v>
      </c>
      <c r="BH638">
        <f t="shared" si="516"/>
        <v>-18.35386079573766</v>
      </c>
      <c r="BI638">
        <f t="shared" si="517"/>
        <v>-18.35386079573766</v>
      </c>
      <c r="BJ638">
        <f t="shared" si="506"/>
        <v>0</v>
      </c>
      <c r="BK638">
        <f t="shared" si="518"/>
        <v>0</v>
      </c>
      <c r="BM638">
        <f t="shared" si="519"/>
        <v>-87.700032352035819</v>
      </c>
      <c r="BN638">
        <f t="shared" si="507"/>
        <v>-100.75016775575575</v>
      </c>
      <c r="BQ638" s="56">
        <f t="shared" si="520"/>
        <v>12.363962918200382</v>
      </c>
    </row>
    <row r="639" spans="1:69" x14ac:dyDescent="0.25">
      <c r="A639">
        <f t="shared" si="563"/>
        <v>6300000</v>
      </c>
      <c r="B639">
        <f t="shared" si="508"/>
        <v>6300</v>
      </c>
      <c r="C639">
        <f t="shared" si="539"/>
        <v>5.4366095297027472</v>
      </c>
      <c r="D639">
        <f t="shared" si="540"/>
        <v>1.3858048369847833</v>
      </c>
      <c r="F639">
        <f t="shared" si="541"/>
        <v>4.9704000082535389E-7</v>
      </c>
      <c r="G639">
        <f t="shared" si="542"/>
        <v>2.7574504842135111E-4</v>
      </c>
      <c r="H639">
        <f t="shared" si="481"/>
        <v>-3.1413169049515788</v>
      </c>
      <c r="J639">
        <f t="shared" si="482"/>
        <v>15</v>
      </c>
      <c r="M639">
        <f t="shared" si="543"/>
        <v>4.2375686742707934E-4</v>
      </c>
      <c r="N639">
        <f t="shared" si="484"/>
        <v>-1.5707963250000001</v>
      </c>
      <c r="O639">
        <f t="shared" si="544"/>
        <v>1698.156785467914</v>
      </c>
      <c r="P639">
        <f t="shared" si="486"/>
        <v>1.5702074529839782</v>
      </c>
      <c r="Q639">
        <f t="shared" si="545"/>
        <v>1608.4593051817712</v>
      </c>
      <c r="R639">
        <f t="shared" si="488"/>
        <v>1.5701746137921495</v>
      </c>
      <c r="S639">
        <f t="shared" si="546"/>
        <v>2.4424712617173581E-2</v>
      </c>
      <c r="T639">
        <f t="shared" si="490"/>
        <v>-1.5463691850309782</v>
      </c>
      <c r="U639">
        <f t="shared" si="547"/>
        <v>0.16042414058324192</v>
      </c>
      <c r="V639">
        <f t="shared" si="492"/>
        <v>-1.4096759827720335</v>
      </c>
      <c r="X639">
        <f t="shared" si="548"/>
        <v>-74.711709238287355</v>
      </c>
      <c r="Y639">
        <f t="shared" si="549"/>
        <v>-180.0217061619565</v>
      </c>
      <c r="Z639">
        <f t="shared" si="510"/>
        <v>-2.1706161956501546E-2</v>
      </c>
      <c r="AC639">
        <v>1</v>
      </c>
      <c r="AD639">
        <f t="shared" si="550"/>
        <v>1698.1564910310001</v>
      </c>
      <c r="AE639">
        <f t="shared" si="551"/>
        <v>-0.80663929175684446</v>
      </c>
      <c r="AF639">
        <f t="shared" si="552"/>
        <v>0.13110243119567999</v>
      </c>
      <c r="AG639">
        <f t="shared" si="553"/>
        <v>332.14675865088975</v>
      </c>
      <c r="AH639">
        <f t="shared" si="554"/>
        <v>-2051.2405735336711</v>
      </c>
      <c r="AJ639">
        <f t="shared" si="497"/>
        <v>18000</v>
      </c>
      <c r="AK639">
        <f t="shared" si="555"/>
        <v>736738.66226268013</v>
      </c>
      <c r="AL639">
        <v>14</v>
      </c>
      <c r="AM639">
        <f t="shared" si="556"/>
        <v>1608.4589943252599</v>
      </c>
      <c r="AN639">
        <f t="shared" si="557"/>
        <v>458.10276425866869</v>
      </c>
      <c r="AO639">
        <f t="shared" si="558"/>
        <v>-7.20351674569058</v>
      </c>
      <c r="AQ639">
        <f t="shared" si="559"/>
        <v>6.2988157829502655E-5</v>
      </c>
      <c r="AR639">
        <f t="shared" si="560"/>
        <v>-0.79365078865173355</v>
      </c>
      <c r="AT639">
        <f t="shared" si="561"/>
        <v>-1627.9477775869757</v>
      </c>
      <c r="AU639">
        <f t="shared" si="562"/>
        <v>-263.73774081638766</v>
      </c>
      <c r="AV639">
        <f t="shared" si="511"/>
        <v>-2.9809818182986501</v>
      </c>
      <c r="AW639">
        <f t="shared" si="512"/>
        <v>825.58485472385007</v>
      </c>
      <c r="AX639">
        <f t="shared" si="513"/>
        <v>-2703.331211862981</v>
      </c>
      <c r="AY639">
        <f t="shared" si="521"/>
        <v>-1.2743970248822281</v>
      </c>
      <c r="BA639">
        <f t="shared" si="502"/>
        <v>0.58345043477795078</v>
      </c>
      <c r="BB639">
        <f t="shared" si="514"/>
        <v>-4.6799206438456578</v>
      </c>
      <c r="BC639">
        <f t="shared" si="515"/>
        <v>-1.706584793416422</v>
      </c>
      <c r="BD639">
        <f t="shared" si="503"/>
        <v>-277.7801061556965</v>
      </c>
      <c r="BF639">
        <f t="shared" si="504"/>
        <v>-92.523705795136379</v>
      </c>
      <c r="BG639">
        <f t="shared" si="505"/>
        <v>-198.36353864941054</v>
      </c>
      <c r="BH639">
        <f t="shared" si="516"/>
        <v>-18.363538649410543</v>
      </c>
      <c r="BI639">
        <f t="shared" si="517"/>
        <v>-18.363538649410543</v>
      </c>
      <c r="BJ639">
        <f t="shared" si="506"/>
        <v>0</v>
      </c>
      <c r="BK639">
        <f t="shared" si="518"/>
        <v>0</v>
      </c>
      <c r="BM639">
        <f t="shared" si="519"/>
        <v>-87.843785151290717</v>
      </c>
      <c r="BN639">
        <f t="shared" si="507"/>
        <v>-100.58343249371403</v>
      </c>
      <c r="BQ639" s="56">
        <f t="shared" si="520"/>
        <v>12.22204015643948</v>
      </c>
    </row>
    <row r="640" spans="1:69" x14ac:dyDescent="0.25">
      <c r="A640">
        <f t="shared" si="563"/>
        <v>6400000</v>
      </c>
      <c r="B640">
        <f t="shared" si="508"/>
        <v>6400</v>
      </c>
      <c r="C640">
        <f t="shared" si="539"/>
        <v>5.5200073152698401</v>
      </c>
      <c r="D640">
        <f t="shared" si="540"/>
        <v>1.3886313202553724</v>
      </c>
      <c r="F640">
        <f t="shared" si="541"/>
        <v>4.816288414266347E-7</v>
      </c>
      <c r="G640">
        <f t="shared" si="542"/>
        <v>2.7143652797149449E-4</v>
      </c>
      <c r="H640">
        <f t="shared" si="481"/>
        <v>-3.1413212134720285</v>
      </c>
      <c r="J640">
        <f t="shared" si="482"/>
        <v>15</v>
      </c>
      <c r="M640">
        <f t="shared" si="543"/>
        <v>4.1713566637353124E-4</v>
      </c>
      <c r="N640">
        <f t="shared" si="484"/>
        <v>-1.5707963250000001</v>
      </c>
      <c r="O640">
        <f t="shared" si="544"/>
        <v>1725.1116458043382</v>
      </c>
      <c r="P640">
        <f t="shared" si="486"/>
        <v>1.5702166541351963</v>
      </c>
      <c r="Q640">
        <f t="shared" si="545"/>
        <v>1633.9903954726592</v>
      </c>
      <c r="R640">
        <f t="shared" si="488"/>
        <v>1.5701843280553724</v>
      </c>
      <c r="S640">
        <f t="shared" si="546"/>
        <v>2.404329884872547E-2</v>
      </c>
      <c r="T640">
        <f t="shared" si="490"/>
        <v>-1.546750710850781</v>
      </c>
      <c r="U640">
        <f t="shared" si="547"/>
        <v>0.15798055735254002</v>
      </c>
      <c r="V640">
        <f t="shared" si="492"/>
        <v>-1.4121511348302389</v>
      </c>
      <c r="X640">
        <f t="shared" si="548"/>
        <v>-74.986297482489547</v>
      </c>
      <c r="Y640">
        <f t="shared" si="549"/>
        <v>-180.02259927214919</v>
      </c>
      <c r="Z640">
        <f t="shared" si="510"/>
        <v>-2.2599272149193439E-2</v>
      </c>
      <c r="AC640">
        <v>1</v>
      </c>
      <c r="AD640">
        <f t="shared" si="550"/>
        <v>1725.1113559680002</v>
      </c>
      <c r="AE640">
        <f t="shared" si="551"/>
        <v>-0.83245012321391665</v>
      </c>
      <c r="AF640">
        <f t="shared" si="552"/>
        <v>0.13318342216703999</v>
      </c>
      <c r="AG640">
        <f t="shared" si="553"/>
        <v>322.10529133792443</v>
      </c>
      <c r="AH640">
        <f t="shared" si="554"/>
        <v>-2020.7964706339792</v>
      </c>
      <c r="AJ640">
        <f t="shared" si="497"/>
        <v>18000</v>
      </c>
      <c r="AK640">
        <f t="shared" si="555"/>
        <v>748432.92674304009</v>
      </c>
      <c r="AL640">
        <v>15</v>
      </c>
      <c r="AM640">
        <f t="shared" si="556"/>
        <v>1633.99008947328</v>
      </c>
      <c r="AN640">
        <f t="shared" si="557"/>
        <v>458.10258620390937</v>
      </c>
      <c r="AO640">
        <f t="shared" si="558"/>
        <v>-6.8106050817778483</v>
      </c>
      <c r="AQ640">
        <f t="shared" si="559"/>
        <v>6.1035155877470973E-5</v>
      </c>
      <c r="AR640">
        <f t="shared" si="560"/>
        <v>-0.78124999523162841</v>
      </c>
      <c r="AT640">
        <f t="shared" si="561"/>
        <v>-1578.7275733002218</v>
      </c>
      <c r="AU640">
        <f t="shared" si="562"/>
        <v>-251.76809694941753</v>
      </c>
      <c r="AV640">
        <f t="shared" si="511"/>
        <v>-2.9834490092849948</v>
      </c>
      <c r="AW640">
        <f t="shared" si="512"/>
        <v>814.86755321712383</v>
      </c>
      <c r="AX640">
        <f t="shared" si="513"/>
        <v>-2662.5890952235154</v>
      </c>
      <c r="AY640">
        <f t="shared" si="521"/>
        <v>-1.2738044834317421</v>
      </c>
      <c r="BA640">
        <f t="shared" si="502"/>
        <v>0.57413615686702613</v>
      </c>
      <c r="BB640">
        <f t="shared" si="514"/>
        <v>-4.8197020418019934</v>
      </c>
      <c r="BC640">
        <f t="shared" si="515"/>
        <v>-1.7096445258532527</v>
      </c>
      <c r="BD640">
        <f t="shared" si="503"/>
        <v>-277.95541591096651</v>
      </c>
      <c r="BF640">
        <f t="shared" si="504"/>
        <v>-92.804834076768557</v>
      </c>
      <c r="BG640">
        <f t="shared" si="505"/>
        <v>-198.3771497022644</v>
      </c>
      <c r="BH640">
        <f t="shared" si="516"/>
        <v>-18.377149702264404</v>
      </c>
      <c r="BI640">
        <f t="shared" si="517"/>
        <v>-18.377149702264404</v>
      </c>
      <c r="BJ640">
        <f t="shared" si="506"/>
        <v>0</v>
      </c>
      <c r="BK640">
        <f t="shared" si="518"/>
        <v>0</v>
      </c>
      <c r="BM640">
        <f t="shared" si="519"/>
        <v>-87.985132034966568</v>
      </c>
      <c r="BN640">
        <f t="shared" si="507"/>
        <v>-100.4217337912979</v>
      </c>
      <c r="BQ640" s="56">
        <f t="shared" si="520"/>
        <v>12.082258758483142</v>
      </c>
    </row>
    <row r="641" spans="1:69" x14ac:dyDescent="0.25">
      <c r="A641">
        <f t="shared" si="563"/>
        <v>6500000</v>
      </c>
      <c r="B641">
        <f t="shared" si="508"/>
        <v>6500</v>
      </c>
      <c r="C641">
        <f t="shared" si="539"/>
        <v>5.603447887327432</v>
      </c>
      <c r="D641">
        <f t="shared" si="540"/>
        <v>1.3913736469430042</v>
      </c>
      <c r="F641">
        <f t="shared" si="541"/>
        <v>4.6692348094906296E-7</v>
      </c>
      <c r="G641">
        <f t="shared" si="542"/>
        <v>2.6726057756508534E-4</v>
      </c>
      <c r="H641">
        <f t="shared" si="481"/>
        <v>-3.1413253894224353</v>
      </c>
      <c r="J641">
        <f t="shared" si="482"/>
        <v>15</v>
      </c>
      <c r="M641">
        <f t="shared" si="543"/>
        <v>4.1071819458316921E-4</v>
      </c>
      <c r="N641">
        <f t="shared" si="484"/>
        <v>-1.5707963250000001</v>
      </c>
      <c r="O641">
        <f t="shared" si="544"/>
        <v>1752.0665062823182</v>
      </c>
      <c r="P641">
        <f t="shared" si="486"/>
        <v>1.5702255721741629</v>
      </c>
      <c r="Q641">
        <f t="shared" si="545"/>
        <v>1659.5214859129974</v>
      </c>
      <c r="R641">
        <f t="shared" si="488"/>
        <v>1.5701937434182989</v>
      </c>
      <c r="S641">
        <f t="shared" si="546"/>
        <v>2.3673610866975316E-2</v>
      </c>
      <c r="T641">
        <f t="shared" si="490"/>
        <v>-1.5471205040975637</v>
      </c>
      <c r="U641">
        <f t="shared" si="547"/>
        <v>0.15560938780541644</v>
      </c>
      <c r="V641">
        <f t="shared" si="492"/>
        <v>-1.4145520008835053</v>
      </c>
      <c r="X641">
        <f t="shared" si="548"/>
        <v>-75.256599619567197</v>
      </c>
      <c r="Y641">
        <f t="shared" si="549"/>
        <v>-180.0234114490454</v>
      </c>
      <c r="Z641">
        <f t="shared" si="510"/>
        <v>-2.3411449045397603E-2</v>
      </c>
      <c r="AC641">
        <v>1</v>
      </c>
      <c r="AD641">
        <f t="shared" si="550"/>
        <v>1752.0662209050004</v>
      </c>
      <c r="AE641">
        <f t="shared" si="551"/>
        <v>-0.85866742445771427</v>
      </c>
      <c r="AF641">
        <f t="shared" si="552"/>
        <v>0.13526441313839999</v>
      </c>
      <c r="AG641">
        <f t="shared" si="553"/>
        <v>312.50873728771711</v>
      </c>
      <c r="AH641">
        <f t="shared" si="554"/>
        <v>-1991.2190229354103</v>
      </c>
      <c r="AJ641">
        <f t="shared" si="497"/>
        <v>18000</v>
      </c>
      <c r="AK641">
        <f t="shared" si="555"/>
        <v>760127.19122340006</v>
      </c>
      <c r="AL641">
        <v>16</v>
      </c>
      <c r="AM641">
        <f t="shared" si="556"/>
        <v>1659.5211846212999</v>
      </c>
      <c r="AN641">
        <f t="shared" si="557"/>
        <v>458.10205669815082</v>
      </c>
      <c r="AO641">
        <f t="shared" si="558"/>
        <v>-6.4297866105665582</v>
      </c>
      <c r="AQ641">
        <f t="shared" si="559"/>
        <v>5.9171597283008303E-5</v>
      </c>
      <c r="AR641">
        <f t="shared" si="560"/>
        <v>-0.76923076467910789</v>
      </c>
      <c r="AT641">
        <f t="shared" si="561"/>
        <v>-1531.6884400150416</v>
      </c>
      <c r="AU641">
        <f t="shared" si="562"/>
        <v>-240.50915856286048</v>
      </c>
      <c r="AV641">
        <f t="shared" si="511"/>
        <v>-2.9858421592223641</v>
      </c>
      <c r="AW641">
        <f t="shared" si="512"/>
        <v>804.61819303286586</v>
      </c>
      <c r="AX641">
        <f t="shared" si="513"/>
        <v>-2623.0229440777484</v>
      </c>
      <c r="AY641">
        <f t="shared" si="521"/>
        <v>-1.2731563762813272</v>
      </c>
      <c r="BA641">
        <f t="shared" si="502"/>
        <v>0.56510543402287761</v>
      </c>
      <c r="BB641">
        <f t="shared" si="514"/>
        <v>-4.9574103306018085</v>
      </c>
      <c r="BC641">
        <f t="shared" si="515"/>
        <v>-1.7126857829410369</v>
      </c>
      <c r="BD641">
        <f t="shared" si="503"/>
        <v>-278.12966710670992</v>
      </c>
      <c r="BF641">
        <f t="shared" si="504"/>
        <v>-93.081564112217933</v>
      </c>
      <c r="BG641">
        <f t="shared" si="505"/>
        <v>-198.39451641691488</v>
      </c>
      <c r="BH641">
        <f t="shared" si="516"/>
        <v>-18.394516416914882</v>
      </c>
      <c r="BI641">
        <f t="shared" si="517"/>
        <v>-18.394516416914882</v>
      </c>
      <c r="BJ641">
        <f t="shared" si="506"/>
        <v>0</v>
      </c>
      <c r="BK641">
        <f t="shared" si="518"/>
        <v>0</v>
      </c>
      <c r="BM641">
        <f t="shared" si="519"/>
        <v>-88.124153781616144</v>
      </c>
      <c r="BN641">
        <f t="shared" si="507"/>
        <v>-100.26484931020499</v>
      </c>
      <c r="BQ641" s="56">
        <f t="shared" si="520"/>
        <v>11.944550469683328</v>
      </c>
    </row>
    <row r="642" spans="1:69" x14ac:dyDescent="0.25">
      <c r="A642">
        <f t="shared" si="563"/>
        <v>6600000</v>
      </c>
      <c r="B642">
        <f t="shared" si="508"/>
        <v>6600</v>
      </c>
      <c r="C642">
        <f t="shared" si="539"/>
        <v>5.6869293625417816</v>
      </c>
      <c r="D642">
        <f t="shared" si="540"/>
        <v>1.3940354810038995</v>
      </c>
      <c r="F642">
        <f t="shared" si="541"/>
        <v>4.5288146941584166E-7</v>
      </c>
      <c r="G642">
        <f t="shared" si="542"/>
        <v>2.6321117128019148E-4</v>
      </c>
      <c r="H642">
        <f t="shared" si="481"/>
        <v>-3.1413294388287198</v>
      </c>
      <c r="J642">
        <f t="shared" si="482"/>
        <v>15</v>
      </c>
      <c r="M642">
        <f t="shared" si="543"/>
        <v>4.0449519163493936E-4</v>
      </c>
      <c r="N642">
        <f t="shared" si="484"/>
        <v>-1.5707963250000001</v>
      </c>
      <c r="O642">
        <f t="shared" si="544"/>
        <v>1779.0213668954202</v>
      </c>
      <c r="P642">
        <f t="shared" si="486"/>
        <v>1.5702342199696111</v>
      </c>
      <c r="Q642">
        <f t="shared" si="545"/>
        <v>1685.0525764959925</v>
      </c>
      <c r="R642">
        <f t="shared" si="488"/>
        <v>1.5702028734672995</v>
      </c>
      <c r="S642">
        <f t="shared" si="546"/>
        <v>2.3315116274818692E-2</v>
      </c>
      <c r="T642">
        <f t="shared" si="490"/>
        <v>-1.5474790976744648</v>
      </c>
      <c r="U642">
        <f t="shared" si="547"/>
        <v>0.15330749979242919</v>
      </c>
      <c r="V642">
        <f t="shared" si="492"/>
        <v>-1.416881849299799</v>
      </c>
      <c r="X642">
        <f t="shared" si="548"/>
        <v>-75.522747712657974</v>
      </c>
      <c r="Y642">
        <f t="shared" si="549"/>
        <v>-180.02414938970244</v>
      </c>
      <c r="Z642">
        <f t="shared" si="510"/>
        <v>-2.4149389702444068E-2</v>
      </c>
      <c r="AC642">
        <v>1</v>
      </c>
      <c r="AD642">
        <f t="shared" si="550"/>
        <v>1779.021085842</v>
      </c>
      <c r="AE642">
        <f t="shared" si="551"/>
        <v>-0.88529119548823765</v>
      </c>
      <c r="AF642">
        <f t="shared" si="552"/>
        <v>0.13734540410976001</v>
      </c>
      <c r="AG642">
        <f t="shared" si="553"/>
        <v>303.33140582227929</v>
      </c>
      <c r="AH642">
        <f t="shared" si="554"/>
        <v>-1962.4728227100511</v>
      </c>
      <c r="AJ642">
        <f t="shared" si="497"/>
        <v>18000</v>
      </c>
      <c r="AK642">
        <f t="shared" si="555"/>
        <v>771821.45570376003</v>
      </c>
      <c r="AL642">
        <v>17</v>
      </c>
      <c r="AM642">
        <f t="shared" si="556"/>
        <v>1685.05227976932</v>
      </c>
      <c r="AN642">
        <f t="shared" si="557"/>
        <v>458.10120770406905</v>
      </c>
      <c r="AO642">
        <f t="shared" si="558"/>
        <v>-6.0605119447266436</v>
      </c>
      <c r="AQ642">
        <f t="shared" si="559"/>
        <v>5.7392102517262957E-5</v>
      </c>
      <c r="AR642">
        <f t="shared" si="560"/>
        <v>-0.75757575322787107</v>
      </c>
      <c r="AT642">
        <f t="shared" si="561"/>
        <v>-1486.7044180266537</v>
      </c>
      <c r="AU642">
        <f t="shared" si="562"/>
        <v>-229.90914868491058</v>
      </c>
      <c r="AV642">
        <f t="shared" si="511"/>
        <v>-2.9881645253443683</v>
      </c>
      <c r="AW642">
        <f t="shared" si="512"/>
        <v>794.80999978313275</v>
      </c>
      <c r="AX642">
        <f t="shared" si="513"/>
        <v>-2584.5837242144867</v>
      </c>
      <c r="AY642">
        <f t="shared" si="521"/>
        <v>-1.272455227849923</v>
      </c>
      <c r="BA642">
        <f t="shared" si="502"/>
        <v>0.55634535874318092</v>
      </c>
      <c r="BB642">
        <f t="shared" si="514"/>
        <v>-5.0931106131979096</v>
      </c>
      <c r="BC642">
        <f t="shared" si="515"/>
        <v>-1.7157092974944452</v>
      </c>
      <c r="BD642">
        <f t="shared" si="503"/>
        <v>-278.30290173011451</v>
      </c>
      <c r="BF642">
        <f t="shared" si="504"/>
        <v>-93.3540377342227</v>
      </c>
      <c r="BG642">
        <f t="shared" si="505"/>
        <v>-198.41547119658171</v>
      </c>
      <c r="BH642">
        <f t="shared" si="516"/>
        <v>-18.415471196581706</v>
      </c>
      <c r="BI642">
        <f t="shared" si="517"/>
        <v>-18.415471196581706</v>
      </c>
      <c r="BJ642">
        <f t="shared" si="506"/>
        <v>0</v>
      </c>
      <c r="BK642">
        <f t="shared" si="518"/>
        <v>0</v>
      </c>
      <c r="BM642">
        <f t="shared" si="519"/>
        <v>-88.260927121024793</v>
      </c>
      <c r="BN642">
        <f t="shared" si="507"/>
        <v>-100.11256946646716</v>
      </c>
      <c r="BQ642" s="56">
        <f t="shared" si="520"/>
        <v>11.808850187087227</v>
      </c>
    </row>
    <row r="643" spans="1:69" x14ac:dyDescent="0.25">
      <c r="A643">
        <f t="shared" si="563"/>
        <v>6700000</v>
      </c>
      <c r="B643">
        <f t="shared" si="508"/>
        <v>6700</v>
      </c>
      <c r="C643">
        <f t="shared" si="539"/>
        <v>5.7704499656672708</v>
      </c>
      <c r="D643">
        <f t="shared" si="540"/>
        <v>1.3966202789882731</v>
      </c>
      <c r="F643">
        <f t="shared" si="541"/>
        <v>4.394635009371593E-7</v>
      </c>
      <c r="G643">
        <f t="shared" si="542"/>
        <v>2.5928264295220689E-4</v>
      </c>
      <c r="H643">
        <f t="shared" si="481"/>
        <v>-3.1413333673570478</v>
      </c>
      <c r="J643">
        <f t="shared" si="482"/>
        <v>15</v>
      </c>
      <c r="M643">
        <f t="shared" si="543"/>
        <v>3.9845794996874626E-4</v>
      </c>
      <c r="N643">
        <f t="shared" si="484"/>
        <v>-1.5707963250000001</v>
      </c>
      <c r="O643">
        <f t="shared" si="544"/>
        <v>1805.9762276375936</v>
      </c>
      <c r="P643">
        <f t="shared" si="486"/>
        <v>1.5702426096219919</v>
      </c>
      <c r="Q643">
        <f t="shared" si="545"/>
        <v>1710.583667215257</v>
      </c>
      <c r="R643">
        <f t="shared" si="488"/>
        <v>1.5702117309776182</v>
      </c>
      <c r="S643">
        <f t="shared" si="546"/>
        <v>2.296731441680799E-2</v>
      </c>
      <c r="T643">
        <f t="shared" si="490"/>
        <v>-1.5478269926983559</v>
      </c>
      <c r="U643">
        <f t="shared" si="547"/>
        <v>0.15107193693785856</v>
      </c>
      <c r="V643">
        <f t="shared" si="492"/>
        <v>-1.4191437609986068</v>
      </c>
      <c r="X643">
        <f t="shared" si="548"/>
        <v>-75.784867804387673</v>
      </c>
      <c r="Y643">
        <f t="shared" si="549"/>
        <v>-180.02481918332182</v>
      </c>
      <c r="Z643">
        <f t="shared" si="510"/>
        <v>-2.4819183321824312E-2</v>
      </c>
      <c r="AC643">
        <v>1</v>
      </c>
      <c r="AD643">
        <f t="shared" si="550"/>
        <v>1805.9759507790002</v>
      </c>
      <c r="AE643">
        <f t="shared" si="551"/>
        <v>-0.91232143630548634</v>
      </c>
      <c r="AF643">
        <f t="shared" si="552"/>
        <v>0.13942639508112001</v>
      </c>
      <c r="AG643">
        <f t="shared" si="553"/>
        <v>294.54941922928379</v>
      </c>
      <c r="AH643">
        <f t="shared" si="554"/>
        <v>-1934.5242990559884</v>
      </c>
      <c r="AJ643">
        <f t="shared" si="497"/>
        <v>18000</v>
      </c>
      <c r="AK643">
        <f t="shared" si="555"/>
        <v>783515.72018412</v>
      </c>
      <c r="AL643">
        <v>18</v>
      </c>
      <c r="AM643">
        <f t="shared" si="556"/>
        <v>1710.5833749173401</v>
      </c>
      <c r="AN643">
        <f t="shared" si="557"/>
        <v>458.1000683361089</v>
      </c>
      <c r="AO643">
        <f t="shared" si="558"/>
        <v>-5.7022644514017866</v>
      </c>
      <c r="AQ643">
        <f t="shared" si="559"/>
        <v>5.5691690489576241E-5</v>
      </c>
      <c r="AR643">
        <f t="shared" si="560"/>
        <v>-0.7462686525603216</v>
      </c>
      <c r="AT643">
        <f t="shared" si="561"/>
        <v>-1443.6584380466236</v>
      </c>
      <c r="AU643">
        <f t="shared" si="562"/>
        <v>-219.92073512917048</v>
      </c>
      <c r="AV643">
        <f t="shared" si="511"/>
        <v>-2.9904191781008747</v>
      </c>
      <c r="AW643">
        <f t="shared" si="512"/>
        <v>785.41807467715682</v>
      </c>
      <c r="AX643">
        <f t="shared" si="513"/>
        <v>-2547.2250214496453</v>
      </c>
      <c r="AY643">
        <f t="shared" si="521"/>
        <v>-1.2717034212044038</v>
      </c>
      <c r="BA643">
        <f t="shared" si="502"/>
        <v>0.54784379665865901</v>
      </c>
      <c r="BB643">
        <f t="shared" si="514"/>
        <v>-5.2268650317517462</v>
      </c>
      <c r="BC643">
        <f t="shared" si="515"/>
        <v>-1.7187157568964708</v>
      </c>
      <c r="BD643">
        <f t="shared" si="503"/>
        <v>-278.47515916532484</v>
      </c>
      <c r="BF643">
        <f t="shared" si="504"/>
        <v>-93.622390033529754</v>
      </c>
      <c r="BG643">
        <f t="shared" si="505"/>
        <v>-198.43985570431741</v>
      </c>
      <c r="BH643">
        <f t="shared" si="516"/>
        <v>-18.439855704317409</v>
      </c>
      <c r="BI643">
        <f t="shared" si="517"/>
        <v>-18.439855704317409</v>
      </c>
      <c r="BJ643">
        <f t="shared" si="506"/>
        <v>0</v>
      </c>
      <c r="BK643">
        <f t="shared" si="518"/>
        <v>0</v>
      </c>
      <c r="BM643">
        <f t="shared" si="519"/>
        <v>-88.395525001778012</v>
      </c>
      <c r="BN643">
        <f t="shared" si="507"/>
        <v>-99.964696538992555</v>
      </c>
      <c r="BQ643" s="56">
        <f t="shared" si="520"/>
        <v>11.67509576853339</v>
      </c>
    </row>
    <row r="644" spans="1:69" x14ac:dyDescent="0.25">
      <c r="A644">
        <f t="shared" si="563"/>
        <v>6800000</v>
      </c>
      <c r="B644">
        <f t="shared" si="508"/>
        <v>6800</v>
      </c>
      <c r="C644">
        <f t="shared" si="539"/>
        <v>5.8540080219609223</v>
      </c>
      <c r="D644">
        <f t="shared" si="540"/>
        <v>1.3991313043537017</v>
      </c>
      <c r="F644">
        <f t="shared" si="541"/>
        <v>4.2663313835125874E-7</v>
      </c>
      <c r="G644">
        <f t="shared" si="542"/>
        <v>2.5546965972103825E-4</v>
      </c>
      <c r="H644">
        <f t="shared" si="481"/>
        <v>-3.1413371803402792</v>
      </c>
      <c r="J644">
        <f t="shared" si="482"/>
        <v>15</v>
      </c>
      <c r="M644">
        <f t="shared" si="543"/>
        <v>3.9259827423391175E-4</v>
      </c>
      <c r="N644">
        <f t="shared" si="484"/>
        <v>-1.5707963250000001</v>
      </c>
      <c r="O644">
        <f t="shared" si="544"/>
        <v>1832.9310885031443</v>
      </c>
      <c r="P644">
        <f t="shared" si="486"/>
        <v>1.5702507525199656</v>
      </c>
      <c r="Q644">
        <f t="shared" si="545"/>
        <v>1736.1147580647789</v>
      </c>
      <c r="R644">
        <f t="shared" si="488"/>
        <v>1.5702203279730156</v>
      </c>
      <c r="S644">
        <f t="shared" si="546"/>
        <v>2.2629734048935306E-2</v>
      </c>
      <c r="T644">
        <f t="shared" si="490"/>
        <v>-1.5481646608345816</v>
      </c>
      <c r="U644">
        <f t="shared" si="547"/>
        <v>0.14889990664440741</v>
      </c>
      <c r="V644">
        <f t="shared" si="492"/>
        <v>-1.4213406425925943</v>
      </c>
      <c r="X644">
        <f t="shared" si="548"/>
        <v>-76.043080277613072</v>
      </c>
      <c r="Y644">
        <f t="shared" si="549"/>
        <v>-180.02542637274726</v>
      </c>
      <c r="Z644">
        <f t="shared" si="510"/>
        <v>-2.5426372747261894E-2</v>
      </c>
      <c r="AC644">
        <v>1</v>
      </c>
      <c r="AD644">
        <f t="shared" si="550"/>
        <v>1832.9308157159999</v>
      </c>
      <c r="AE644">
        <f t="shared" si="551"/>
        <v>-0.93975814690946069</v>
      </c>
      <c r="AF644">
        <f t="shared" si="552"/>
        <v>0.14150738605248001</v>
      </c>
      <c r="AG644">
        <f t="shared" si="553"/>
        <v>286.14056263271829</v>
      </c>
      <c r="AH644">
        <f t="shared" si="554"/>
        <v>-1907.3416054428176</v>
      </c>
      <c r="AJ644">
        <f t="shared" si="497"/>
        <v>18000</v>
      </c>
      <c r="AK644">
        <f t="shared" si="555"/>
        <v>795209.98466448009</v>
      </c>
      <c r="AL644">
        <v>19</v>
      </c>
      <c r="AM644">
        <f t="shared" si="556"/>
        <v>1736.1144700653599</v>
      </c>
      <c r="AN644">
        <f t="shared" si="557"/>
        <v>458.0986651379439</v>
      </c>
      <c r="AO644">
        <f t="shared" si="558"/>
        <v>-5.3545578489585948</v>
      </c>
      <c r="AQ644">
        <f t="shared" si="559"/>
        <v>5.4065743652326213E-5</v>
      </c>
      <c r="AR644">
        <f t="shared" si="560"/>
        <v>-0.73529411367163655</v>
      </c>
      <c r="AT644">
        <f t="shared" si="561"/>
        <v>-1402.441584840805</v>
      </c>
      <c r="AU644">
        <f t="shared" si="562"/>
        <v>-210.5005932288253</v>
      </c>
      <c r="AV644">
        <f t="shared" si="511"/>
        <v>-2.9926090142507897</v>
      </c>
      <c r="AW644">
        <f t="shared" si="512"/>
        <v>776.41924027336222</v>
      </c>
      <c r="AX644">
        <f t="shared" si="513"/>
        <v>-2510.9028740749677</v>
      </c>
      <c r="AY644">
        <f t="shared" si="521"/>
        <v>-1.2709032077995077</v>
      </c>
      <c r="BA644">
        <f t="shared" si="502"/>
        <v>0.53958932946580729</v>
      </c>
      <c r="BB644">
        <f t="shared" si="514"/>
        <v>-5.3587329442702512</v>
      </c>
      <c r="BC644">
        <f t="shared" si="515"/>
        <v>-1.721705806451282</v>
      </c>
      <c r="BD644">
        <f t="shared" si="503"/>
        <v>-278.64647638554629</v>
      </c>
      <c r="BF644">
        <f t="shared" si="504"/>
        <v>-93.8867497813429</v>
      </c>
      <c r="BG644">
        <f t="shared" si="505"/>
        <v>-198.46752023653181</v>
      </c>
      <c r="BH644">
        <f t="shared" si="516"/>
        <v>-18.467520236531811</v>
      </c>
      <c r="BI644">
        <f t="shared" si="517"/>
        <v>-18.467520236531811</v>
      </c>
      <c r="BJ644">
        <f t="shared" si="506"/>
        <v>0</v>
      </c>
      <c r="BK644">
        <f t="shared" si="518"/>
        <v>0</v>
      </c>
      <c r="BM644">
        <f t="shared" si="519"/>
        <v>-88.528016837072641</v>
      </c>
      <c r="BN644">
        <f t="shared" si="507"/>
        <v>-99.821043850985561</v>
      </c>
      <c r="BQ644" s="56">
        <f t="shared" si="520"/>
        <v>11.543227856014886</v>
      </c>
    </row>
    <row r="645" spans="1:69" x14ac:dyDescent="0.25">
      <c r="A645">
        <f t="shared" si="563"/>
        <v>6900000</v>
      </c>
      <c r="B645">
        <f t="shared" si="508"/>
        <v>6900</v>
      </c>
      <c r="C645">
        <f t="shared" si="539"/>
        <v>5.9376019502220059</v>
      </c>
      <c r="D645">
        <f t="shared" si="540"/>
        <v>1.4015716406224425</v>
      </c>
      <c r="F645">
        <f t="shared" si="541"/>
        <v>4.1435656559549814E-7</v>
      </c>
      <c r="G645">
        <f t="shared" si="542"/>
        <v>2.5176719787854419E-4</v>
      </c>
      <c r="H645">
        <f t="shared" si="481"/>
        <v>-3.1413408828021216</v>
      </c>
      <c r="J645">
        <f t="shared" si="482"/>
        <v>15</v>
      </c>
      <c r="M645">
        <f t="shared" si="543"/>
        <v>3.8690844417255067E-4</v>
      </c>
      <c r="N645">
        <f t="shared" si="484"/>
        <v>-1.5707963250000001</v>
      </c>
      <c r="O645">
        <f t="shared" si="544"/>
        <v>1859.8859494867081</v>
      </c>
      <c r="P645">
        <f t="shared" si="486"/>
        <v>1.5702586593919803</v>
      </c>
      <c r="Q645">
        <f t="shared" si="545"/>
        <v>1761.645849038895</v>
      </c>
      <c r="R645">
        <f t="shared" si="488"/>
        <v>1.5702286757802217</v>
      </c>
      <c r="S645">
        <f t="shared" si="546"/>
        <v>2.2301931210673295E-2</v>
      </c>
      <c r="T645">
        <f t="shared" si="490"/>
        <v>-1.5484925464289228</v>
      </c>
      <c r="U645">
        <f t="shared" si="547"/>
        <v>0.1467887690529294</v>
      </c>
      <c r="V645">
        <f t="shared" si="492"/>
        <v>-1.4234752384478719</v>
      </c>
      <c r="X645">
        <f t="shared" si="548"/>
        <v>-76.297500189545559</v>
      </c>
      <c r="Y645">
        <f t="shared" si="549"/>
        <v>-180.02597600906944</v>
      </c>
      <c r="Z645">
        <f t="shared" si="510"/>
        <v>-2.5976009069438533E-2</v>
      </c>
      <c r="AC645">
        <v>1</v>
      </c>
      <c r="AD645">
        <f t="shared" si="550"/>
        <v>1859.885680653</v>
      </c>
      <c r="AE645">
        <f t="shared" si="551"/>
        <v>-0.96760132730016035</v>
      </c>
      <c r="AF645">
        <f t="shared" si="552"/>
        <v>0.14358837702384</v>
      </c>
      <c r="AG645">
        <f t="shared" si="553"/>
        <v>278.08414804758706</v>
      </c>
      <c r="AH645">
        <f t="shared" si="554"/>
        <v>-1880.8945149309613</v>
      </c>
      <c r="AJ645">
        <f t="shared" si="497"/>
        <v>18000</v>
      </c>
      <c r="AK645">
        <f t="shared" si="555"/>
        <v>806904.24914484005</v>
      </c>
      <c r="AL645">
        <v>20</v>
      </c>
      <c r="AM645">
        <f t="shared" si="556"/>
        <v>1761.64556521338</v>
      </c>
      <c r="AN645">
        <f t="shared" si="557"/>
        <v>458.09702232999035</v>
      </c>
      <c r="AO645">
        <f t="shared" si="558"/>
        <v>-5.0169340121091146</v>
      </c>
      <c r="AQ645">
        <f t="shared" si="559"/>
        <v>5.25099766198804E-5</v>
      </c>
      <c r="AR645">
        <f t="shared" si="560"/>
        <v>-0.72463767735434947</v>
      </c>
      <c r="AT645">
        <f t="shared" si="561"/>
        <v>-1362.9524304559952</v>
      </c>
      <c r="AU645">
        <f t="shared" si="562"/>
        <v>-201.60901687727005</v>
      </c>
      <c r="AV645">
        <f t="shared" si="511"/>
        <v>-2.9947367688776958</v>
      </c>
      <c r="AW645">
        <f t="shared" si="512"/>
        <v>767.79190070127697</v>
      </c>
      <c r="AX645">
        <f t="shared" si="513"/>
        <v>-2475.5756175377774</v>
      </c>
      <c r="AY645">
        <f t="shared" si="521"/>
        <v>-1.2700567164320573</v>
      </c>
      <c r="BA645">
        <f t="shared" si="502"/>
        <v>0.53157120284452364</v>
      </c>
      <c r="BB645">
        <f t="shared" si="514"/>
        <v>-5.4887710882381713</v>
      </c>
      <c r="BC645">
        <f t="shared" si="515"/>
        <v>-1.7246800524456385</v>
      </c>
      <c r="BD645">
        <f t="shared" si="503"/>
        <v>-278.8168881284513</v>
      </c>
      <c r="BF645">
        <f t="shared" si="504"/>
        <v>-94.147239819093329</v>
      </c>
      <c r="BG645">
        <f t="shared" si="505"/>
        <v>-198.49832314592317</v>
      </c>
      <c r="BH645">
        <f t="shared" si="516"/>
        <v>-18.498323145923166</v>
      </c>
      <c r="BI645">
        <f t="shared" si="517"/>
        <v>-18.498323145923166</v>
      </c>
      <c r="BJ645">
        <f t="shared" si="506"/>
        <v>0</v>
      </c>
      <c r="BK645">
        <f t="shared" si="518"/>
        <v>0</v>
      </c>
      <c r="BM645">
        <f t="shared" si="519"/>
        <v>-88.658468730855162</v>
      </c>
      <c r="BN645">
        <f t="shared" si="507"/>
        <v>-99.681435017471856</v>
      </c>
      <c r="BQ645" s="56">
        <f t="shared" si="520"/>
        <v>11.413189712046965</v>
      </c>
    </row>
    <row r="646" spans="1:69" x14ac:dyDescent="0.25">
      <c r="A646">
        <f t="shared" si="563"/>
        <v>7000000</v>
      </c>
      <c r="B646">
        <f t="shared" si="508"/>
        <v>7000</v>
      </c>
      <c r="C646">
        <f t="shared" si="539"/>
        <v>6.0212302563978888</v>
      </c>
      <c r="D646">
        <f t="shared" si="540"/>
        <v>1.4039442034889225</v>
      </c>
      <c r="F646">
        <f t="shared" si="541"/>
        <v>4.0260236466123443E-7</v>
      </c>
      <c r="G646">
        <f t="shared" si="542"/>
        <v>2.4817052078619849E-4</v>
      </c>
      <c r="H646">
        <f t="shared" si="481"/>
        <v>-3.1413444794792138</v>
      </c>
      <c r="J646">
        <f t="shared" si="482"/>
        <v>15</v>
      </c>
      <c r="M646">
        <f t="shared" si="543"/>
        <v>3.8138118068437141E-4</v>
      </c>
      <c r="N646">
        <f t="shared" si="484"/>
        <v>-1.5707963250000001</v>
      </c>
      <c r="O646">
        <f t="shared" si="544"/>
        <v>1886.840810583227</v>
      </c>
      <c r="P646">
        <f t="shared" si="486"/>
        <v>1.5702663403534305</v>
      </c>
      <c r="Q646">
        <f t="shared" si="545"/>
        <v>1787.1769401322654</v>
      </c>
      <c r="R646">
        <f t="shared" si="488"/>
        <v>1.5702367850787267</v>
      </c>
      <c r="S646">
        <f t="shared" si="546"/>
        <v>2.1983487279089432E-2</v>
      </c>
      <c r="T646">
        <f t="shared" si="490"/>
        <v>-1.5488110684570355</v>
      </c>
      <c r="U646">
        <f t="shared" si="547"/>
        <v>0.14473602687103268</v>
      </c>
      <c r="V646">
        <f t="shared" si="492"/>
        <v>-1.4255501417644156</v>
      </c>
      <c r="X646">
        <f t="shared" si="548"/>
        <v>-76.548237581576629</v>
      </c>
      <c r="Y646">
        <f t="shared" si="549"/>
        <v>-180.02647270018451</v>
      </c>
      <c r="Z646">
        <f t="shared" si="510"/>
        <v>-2.6472700184513087E-2</v>
      </c>
      <c r="AC646">
        <v>1</v>
      </c>
      <c r="AD646">
        <f t="shared" si="550"/>
        <v>1886.8405455900001</v>
      </c>
      <c r="AE646">
        <f t="shared" si="551"/>
        <v>-0.99585097747758577</v>
      </c>
      <c r="AF646">
        <f t="shared" si="552"/>
        <v>0.1456693679952</v>
      </c>
      <c r="AG646">
        <f t="shared" si="553"/>
        <v>270.36089112097756</v>
      </c>
      <c r="AH646">
        <f t="shared" si="554"/>
        <v>-1855.154322516463</v>
      </c>
      <c r="AJ646">
        <f t="shared" si="497"/>
        <v>18000</v>
      </c>
      <c r="AK646">
        <f t="shared" si="555"/>
        <v>818598.51362520002</v>
      </c>
      <c r="AL646">
        <v>21</v>
      </c>
      <c r="AM646">
        <f t="shared" si="556"/>
        <v>1787.1766603614001</v>
      </c>
      <c r="AN646">
        <f t="shared" si="557"/>
        <v>458.09516203054153</v>
      </c>
      <c r="AO646">
        <f t="shared" si="558"/>
        <v>-4.6889609646446697</v>
      </c>
      <c r="AQ646">
        <f t="shared" si="559"/>
        <v>5.1020407902957101E-5</v>
      </c>
      <c r="AR646">
        <f t="shared" si="560"/>
        <v>-0.71428571064139945</v>
      </c>
      <c r="AT646">
        <f t="shared" si="561"/>
        <v>-1325.0964296851898</v>
      </c>
      <c r="AU646">
        <f t="shared" si="562"/>
        <v>-193.20957197424718</v>
      </c>
      <c r="AV646">
        <f t="shared" si="511"/>
        <v>-2.9968050264294712</v>
      </c>
      <c r="AW646">
        <f t="shared" si="512"/>
        <v>759.51591483731204</v>
      </c>
      <c r="AX646">
        <f t="shared" si="513"/>
        <v>-2441.2037403722638</v>
      </c>
      <c r="AY646">
        <f t="shared" si="521"/>
        <v>-1.2691659614814557</v>
      </c>
      <c r="BA646">
        <f t="shared" si="502"/>
        <v>0.52377927885954467</v>
      </c>
      <c r="BB646">
        <f t="shared" si="514"/>
        <v>-5.617033732379979</v>
      </c>
      <c r="BC646">
        <f t="shared" si="515"/>
        <v>-1.7276390649480156</v>
      </c>
      <c r="BD646">
        <f t="shared" si="503"/>
        <v>-278.98642705655772</v>
      </c>
      <c r="BF646">
        <f t="shared" si="504"/>
        <v>-94.403977418521961</v>
      </c>
      <c r="BG646">
        <f t="shared" si="505"/>
        <v>-198.53213030941333</v>
      </c>
      <c r="BH646">
        <f t="shared" si="516"/>
        <v>-18.532130309413333</v>
      </c>
      <c r="BI646">
        <f t="shared" si="517"/>
        <v>-18.532130309413333</v>
      </c>
      <c r="BJ646">
        <f t="shared" si="506"/>
        <v>0</v>
      </c>
      <c r="BK646">
        <f t="shared" si="518"/>
        <v>0</v>
      </c>
      <c r="BM646">
        <f t="shared" si="519"/>
        <v>-88.786943686141996</v>
      </c>
      <c r="BN646">
        <f t="shared" si="507"/>
        <v>-99.54570325285566</v>
      </c>
      <c r="BQ646" s="56">
        <f t="shared" si="520"/>
        <v>11.284927067905157</v>
      </c>
    </row>
    <row r="647" spans="1:69" x14ac:dyDescent="0.25">
      <c r="A647">
        <f t="shared" si="563"/>
        <v>7100000</v>
      </c>
      <c r="B647">
        <f t="shared" si="508"/>
        <v>7100</v>
      </c>
      <c r="C647">
        <f t="shared" si="539"/>
        <v>6.1048915277035452</v>
      </c>
      <c r="D647">
        <f t="shared" si="540"/>
        <v>1.4062517519727415</v>
      </c>
      <c r="F647">
        <f t="shared" si="541"/>
        <v>3.9134131438231955E-7</v>
      </c>
      <c r="G647">
        <f t="shared" si="542"/>
        <v>2.4467515865887263E-4</v>
      </c>
      <c r="H647">
        <f t="shared" si="481"/>
        <v>-3.1413479748413415</v>
      </c>
      <c r="J647">
        <f t="shared" si="482"/>
        <v>15</v>
      </c>
      <c r="M647">
        <f t="shared" si="543"/>
        <v>3.760096147592394E-4</v>
      </c>
      <c r="N647">
        <f t="shared" si="484"/>
        <v>-1.5707963250000001</v>
      </c>
      <c r="O647">
        <f t="shared" si="544"/>
        <v>1913.7956717879285</v>
      </c>
      <c r="P647">
        <f t="shared" si="486"/>
        <v>1.570273804949829</v>
      </c>
      <c r="Q647">
        <f t="shared" si="545"/>
        <v>1812.7080313398512</v>
      </c>
      <c r="R647">
        <f t="shared" si="488"/>
        <v>1.570244665946358</v>
      </c>
      <c r="S647">
        <f t="shared" si="546"/>
        <v>2.167400718711841E-2</v>
      </c>
      <c r="T647">
        <f t="shared" si="490"/>
        <v>-1.5491206223093399</v>
      </c>
      <c r="U647">
        <f t="shared" si="547"/>
        <v>0.1427393159930177</v>
      </c>
      <c r="V647">
        <f t="shared" si="492"/>
        <v>-1.4275678047675358</v>
      </c>
      <c r="X647">
        <f t="shared" si="548"/>
        <v>-76.795397766893601</v>
      </c>
      <c r="Y647">
        <f t="shared" si="549"/>
        <v>-180.0269206540421</v>
      </c>
      <c r="Z647">
        <f t="shared" si="510"/>
        <v>-2.6920654042100978E-2</v>
      </c>
      <c r="AC647">
        <v>1</v>
      </c>
      <c r="AD647">
        <f t="shared" si="550"/>
        <v>1913.7954105270001</v>
      </c>
      <c r="AE647">
        <f t="shared" si="551"/>
        <v>-1.0245070974417367</v>
      </c>
      <c r="AF647">
        <f t="shared" si="552"/>
        <v>0.14775035896656</v>
      </c>
      <c r="AG647">
        <f t="shared" si="553"/>
        <v>262.9527992357593</v>
      </c>
      <c r="AH647">
        <f t="shared" si="554"/>
        <v>-1830.0937540896657</v>
      </c>
      <c r="AJ647">
        <f t="shared" si="497"/>
        <v>18000</v>
      </c>
      <c r="AK647">
        <f t="shared" si="555"/>
        <v>830292.77810556011</v>
      </c>
      <c r="AL647">
        <v>22</v>
      </c>
      <c r="AM647">
        <f t="shared" si="556"/>
        <v>1812.7077555094202</v>
      </c>
      <c r="AN647">
        <f t="shared" si="557"/>
        <v>458.09310445362331</v>
      </c>
      <c r="AO647">
        <f t="shared" si="558"/>
        <v>-4.3702310413484193</v>
      </c>
      <c r="AQ647">
        <f t="shared" si="559"/>
        <v>4.9593334409872377E-5</v>
      </c>
      <c r="AR647">
        <f t="shared" si="560"/>
        <v>-0.70422534862018771</v>
      </c>
      <c r="AT647">
        <f t="shared" si="561"/>
        <v>-1288.7853712753165</v>
      </c>
      <c r="AU647">
        <f t="shared" si="562"/>
        <v>-185.26878716400481</v>
      </c>
      <c r="AV647">
        <f t="shared" si="511"/>
        <v>-2.9988162308724049</v>
      </c>
      <c r="AW647">
        <f t="shared" si="512"/>
        <v>751.57248109290481</v>
      </c>
      <c r="AX647">
        <f t="shared" si="513"/>
        <v>-2407.7497504852786</v>
      </c>
      <c r="AY647">
        <f t="shared" si="521"/>
        <v>-1.2682328505011158</v>
      </c>
      <c r="BA647">
        <f t="shared" si="502"/>
        <v>0.51620399240139336</v>
      </c>
      <c r="BB647">
        <f t="shared" si="514"/>
        <v>-5.7435728175714127</v>
      </c>
      <c r="BC647">
        <f t="shared" si="515"/>
        <v>-1.7305833803712891</v>
      </c>
      <c r="BD647">
        <f t="shared" si="503"/>
        <v>-279.15512390405934</v>
      </c>
      <c r="BF647">
        <f t="shared" si="504"/>
        <v>-94.657074614748566</v>
      </c>
      <c r="BG647">
        <f t="shared" si="505"/>
        <v>-198.56881463711724</v>
      </c>
      <c r="BH647">
        <f t="shared" si="516"/>
        <v>-18.568814637117242</v>
      </c>
      <c r="BI647">
        <f t="shared" si="517"/>
        <v>-18.568814637117242</v>
      </c>
      <c r="BJ647">
        <f t="shared" si="506"/>
        <v>0</v>
      </c>
      <c r="BK647">
        <f t="shared" si="518"/>
        <v>0</v>
      </c>
      <c r="BM647">
        <f t="shared" si="519"/>
        <v>-88.913501797177162</v>
      </c>
      <c r="BN647">
        <f t="shared" si="507"/>
        <v>-99.413690733057962</v>
      </c>
      <c r="BQ647" s="56">
        <f t="shared" si="520"/>
        <v>11.158387982713723</v>
      </c>
    </row>
    <row r="648" spans="1:69" x14ac:dyDescent="0.25">
      <c r="A648">
        <f t="shared" si="563"/>
        <v>7200000</v>
      </c>
      <c r="B648">
        <f t="shared" si="508"/>
        <v>7200</v>
      </c>
      <c r="C648">
        <f t="shared" si="539"/>
        <v>6.1885844272075303</v>
      </c>
      <c r="D648">
        <f t="shared" si="540"/>
        <v>1.4084968987028899</v>
      </c>
      <c r="F648">
        <f t="shared" si="541"/>
        <v>3.8054620864834322E-7</v>
      </c>
      <c r="G648">
        <f t="shared" si="542"/>
        <v>2.4127689003330683E-4</v>
      </c>
      <c r="H648">
        <f t="shared" si="481"/>
        <v>-3.1413513731099667</v>
      </c>
      <c r="J648">
        <f t="shared" si="482"/>
        <v>15</v>
      </c>
      <c r="M648">
        <f t="shared" si="543"/>
        <v>3.7078725899869443E-4</v>
      </c>
      <c r="N648">
        <f t="shared" si="484"/>
        <v>-1.5707963250000001</v>
      </c>
      <c r="O648">
        <f t="shared" si="544"/>
        <v>1940.7505330963052</v>
      </c>
      <c r="P648">
        <f t="shared" si="486"/>
        <v>1.5702810621963836</v>
      </c>
      <c r="Q648">
        <f t="shared" si="545"/>
        <v>1838.2391226568936</v>
      </c>
      <c r="R648">
        <f t="shared" si="488"/>
        <v>1.5702523279010654</v>
      </c>
      <c r="S648">
        <f t="shared" si="546"/>
        <v>2.1373117790063623E-2</v>
      </c>
      <c r="T648">
        <f t="shared" si="490"/>
        <v>-1.5494215814273311</v>
      </c>
      <c r="U648">
        <f t="shared" si="547"/>
        <v>0.14079639684128359</v>
      </c>
      <c r="V648">
        <f t="shared" si="492"/>
        <v>-1.4295305480918519</v>
      </c>
      <c r="X648">
        <f t="shared" si="548"/>
        <v>-77.039081597768373</v>
      </c>
      <c r="Y648">
        <f t="shared" si="549"/>
        <v>-180.02732371721899</v>
      </c>
      <c r="Z648">
        <f t="shared" si="510"/>
        <v>-2.7323717218990851E-2</v>
      </c>
      <c r="AC648">
        <v>1</v>
      </c>
      <c r="AD648">
        <f t="shared" si="550"/>
        <v>1940.7502754640002</v>
      </c>
      <c r="AE648">
        <f t="shared" si="551"/>
        <v>-1.0535696871926132</v>
      </c>
      <c r="AF648">
        <f t="shared" si="552"/>
        <v>0.14983134993791999</v>
      </c>
      <c r="AG648">
        <f t="shared" si="553"/>
        <v>255.84306980517937</v>
      </c>
      <c r="AH648">
        <f t="shared" si="554"/>
        <v>-1805.6868815313874</v>
      </c>
      <c r="AJ648">
        <f t="shared" si="497"/>
        <v>18000</v>
      </c>
      <c r="AK648">
        <f t="shared" si="555"/>
        <v>841987.04258592008</v>
      </c>
      <c r="AL648">
        <v>23</v>
      </c>
      <c r="AM648">
        <f t="shared" si="556"/>
        <v>1838.23885065744</v>
      </c>
      <c r="AN648">
        <f t="shared" si="557"/>
        <v>458.09086808627438</v>
      </c>
      <c r="AO648">
        <f t="shared" si="558"/>
        <v>-4.0603592026935162</v>
      </c>
      <c r="AQ648">
        <f t="shared" si="559"/>
        <v>4.8225308409407272E-5</v>
      </c>
      <c r="AR648">
        <f t="shared" si="560"/>
        <v>-0.69444444109546466</v>
      </c>
      <c r="AT648">
        <f t="shared" si="561"/>
        <v>-1253.936879127531</v>
      </c>
      <c r="AU648">
        <f t="shared" si="562"/>
        <v>-177.75587742575843</v>
      </c>
      <c r="AV648">
        <f t="shared" si="511"/>
        <v>-3.0007726950409284</v>
      </c>
      <c r="AW648">
        <f t="shared" si="512"/>
        <v>743.94403262626213</v>
      </c>
      <c r="AX648">
        <f t="shared" si="513"/>
        <v>-2375.1780509752134</v>
      </c>
      <c r="AY648">
        <f t="shared" si="521"/>
        <v>-1.2672591912189641</v>
      </c>
      <c r="BA648">
        <f t="shared" si="502"/>
        <v>0.50883631127218132</v>
      </c>
      <c r="BB648">
        <f t="shared" si="514"/>
        <v>-5.868438087819861</v>
      </c>
      <c r="BC648">
        <f t="shared" si="515"/>
        <v>-1.7335135038219642</v>
      </c>
      <c r="BD648">
        <f t="shared" si="503"/>
        <v>-279.3230076114271</v>
      </c>
      <c r="BF648">
        <f t="shared" si="504"/>
        <v>-94.906638514726154</v>
      </c>
      <c r="BG648">
        <f t="shared" si="505"/>
        <v>-198.60825561876308</v>
      </c>
      <c r="BH648">
        <f t="shared" si="516"/>
        <v>-18.608255618763081</v>
      </c>
      <c r="BI648">
        <f t="shared" si="517"/>
        <v>-18.608255618763081</v>
      </c>
      <c r="BJ648">
        <f t="shared" si="506"/>
        <v>0</v>
      </c>
      <c r="BK648">
        <f t="shared" si="518"/>
        <v>0</v>
      </c>
      <c r="BM648">
        <f t="shared" si="519"/>
        <v>-89.038200426906286</v>
      </c>
      <c r="BN648">
        <f t="shared" si="507"/>
        <v>-99.285248007335966</v>
      </c>
      <c r="BQ648" s="56">
        <f t="shared" si="520"/>
        <v>11.033522712465276</v>
      </c>
    </row>
    <row r="649" spans="1:69" x14ac:dyDescent="0.25">
      <c r="A649">
        <f t="shared" si="563"/>
        <v>7300000</v>
      </c>
      <c r="B649">
        <f t="shared" si="508"/>
        <v>7300</v>
      </c>
      <c r="C649">
        <f t="shared" si="539"/>
        <v>6.2723076888421625</v>
      </c>
      <c r="D649">
        <f t="shared" si="540"/>
        <v>1.4106821194102892</v>
      </c>
      <c r="F649">
        <f t="shared" si="541"/>
        <v>3.7019169192867205E-7</v>
      </c>
      <c r="G649">
        <f t="shared" si="542"/>
        <v>2.3797172475972485E-4</v>
      </c>
      <c r="H649">
        <f t="shared" ref="H649:H676" si="564">IF(G649&gt;0,G649-Pi,G649)</f>
        <v>-3.1413546782752406</v>
      </c>
      <c r="J649">
        <f t="shared" ref="J649:J676" si="565">Vin/Vramp</f>
        <v>15</v>
      </c>
      <c r="M649">
        <f t="shared" si="543"/>
        <v>3.6570798147816437E-4</v>
      </c>
      <c r="N649">
        <f t="shared" ref="N649:N676" si="566">-Pi/2</f>
        <v>-1.5707963250000001</v>
      </c>
      <c r="O649">
        <f t="shared" si="544"/>
        <v>1967.7053945040959</v>
      </c>
      <c r="P649">
        <f t="shared" ref="P649:P676" si="567">ATAN2(Fz1_u,A649)</f>
        <v>1.5702881206143176</v>
      </c>
      <c r="Q649">
        <f t="shared" si="545"/>
        <v>1863.7702140788942</v>
      </c>
      <c r="R649">
        <f t="shared" ref="R649:R676" si="568">ATAN2(Fz2_u,A649)</f>
        <v>1.5702597799392668</v>
      </c>
      <c r="S649">
        <f t="shared" si="546"/>
        <v>2.1080466366140565E-2</v>
      </c>
      <c r="T649">
        <f t="shared" ref="T649:T676" si="569">-ATAN2(Fp1_u,A649)</f>
        <v>-1.5497142988055459</v>
      </c>
      <c r="U649">
        <f t="shared" si="547"/>
        <v>0.13890514636618378</v>
      </c>
      <c r="V649">
        <f t="shared" ref="V649:V676" si="570">-ATAN2(Fp2_u,A649)</f>
        <v>-1.4314405694308847</v>
      </c>
      <c r="X649">
        <f t="shared" si="548"/>
        <v>-77.279385714217867</v>
      </c>
      <c r="Y649">
        <f t="shared" si="549"/>
        <v>-180.02768540937461</v>
      </c>
      <c r="Z649">
        <f t="shared" si="510"/>
        <v>-2.7685409374612391E-2</v>
      </c>
      <c r="AC649">
        <v>1</v>
      </c>
      <c r="AD649">
        <f t="shared" si="550"/>
        <v>1967.7051404010003</v>
      </c>
      <c r="AE649">
        <f t="shared" si="551"/>
        <v>-1.0830387467302154</v>
      </c>
      <c r="AF649">
        <f t="shared" si="552"/>
        <v>0.15191234090927999</v>
      </c>
      <c r="AG649">
        <f t="shared" si="553"/>
        <v>249.01599771965741</v>
      </c>
      <c r="AH649">
        <f t="shared" si="554"/>
        <v>-1781.9090435037583</v>
      </c>
      <c r="AJ649">
        <f t="shared" ref="AJ649:AJ676" si="571">_Rfb1</f>
        <v>18000</v>
      </c>
      <c r="AK649">
        <f t="shared" si="555"/>
        <v>853681.30706628005</v>
      </c>
      <c r="AL649">
        <v>24</v>
      </c>
      <c r="AM649">
        <f t="shared" si="556"/>
        <v>1863.7699458054601</v>
      </c>
      <c r="AN649">
        <f t="shared" si="557"/>
        <v>458.08846984760953</v>
      </c>
      <c r="AO649">
        <f t="shared" si="558"/>
        <v>-3.7589814877230774</v>
      </c>
      <c r="AQ649">
        <f t="shared" si="559"/>
        <v>4.691311668740328E-5</v>
      </c>
      <c r="AR649">
        <f t="shared" si="560"/>
        <v>-0.6849315036360879</v>
      </c>
      <c r="AT649">
        <f t="shared" si="561"/>
        <v>-1220.4739583932144</v>
      </c>
      <c r="AU649">
        <f t="shared" si="562"/>
        <v>-170.64249665444981</v>
      </c>
      <c r="AV649">
        <f t="shared" si="511"/>
        <v>-3.0026766092557824</v>
      </c>
      <c r="AW649">
        <f t="shared" si="512"/>
        <v>736.61414192280449</v>
      </c>
      <c r="AX649">
        <f t="shared" si="513"/>
        <v>-2343.4548247317675</v>
      </c>
      <c r="AY649">
        <f t="shared" si="521"/>
        <v>-1.266246697999363</v>
      </c>
      <c r="BA649">
        <f t="shared" ref="BA649:BA676" si="572">SQRT(AT649^2+AU649^2)/SQRT(AW649^2+AX649^2)</f>
        <v>0.5016676995651036</v>
      </c>
      <c r="BB649">
        <f t="shared" si="514"/>
        <v>-5.9916772121429931</v>
      </c>
      <c r="BC649">
        <f t="shared" si="515"/>
        <v>-1.7364299112564194</v>
      </c>
      <c r="BD649">
        <f t="shared" ref="BD649:BD678" si="573">BC649*180/Pi-180</f>
        <v>-279.49010544895293</v>
      </c>
      <c r="BF649">
        <f t="shared" ref="BF649:BF676" si="574">20*LOG(BA649*J649*F649*C649)</f>
        <v>-95.152771583234511</v>
      </c>
      <c r="BG649">
        <f t="shared" ref="BG649:BG676" si="575">(180/Pi)*(D649+H649+BC649)</f>
        <v>-198.65033890432824</v>
      </c>
      <c r="BH649">
        <f t="shared" si="516"/>
        <v>-18.650338904328237</v>
      </c>
      <c r="BI649">
        <f t="shared" si="517"/>
        <v>-18.650338904328237</v>
      </c>
      <c r="BJ649">
        <f t="shared" ref="BJ649:BJ676" si="576">SUM((BF650&lt;0)*(BF649&gt;0))*A649</f>
        <v>0</v>
      </c>
      <c r="BK649">
        <f t="shared" si="518"/>
        <v>0</v>
      </c>
      <c r="BM649">
        <f t="shared" si="519"/>
        <v>-89.161094371091536</v>
      </c>
      <c r="BN649">
        <f t="shared" ref="BN649:BN676" si="577">(H649+D649)*180/Pi</f>
        <v>-99.160233455375334</v>
      </c>
      <c r="BQ649" s="56">
        <f t="shared" si="520"/>
        <v>10.910283588142144</v>
      </c>
    </row>
    <row r="650" spans="1:69" x14ac:dyDescent="0.25">
      <c r="A650">
        <f t="shared" si="563"/>
        <v>7400000</v>
      </c>
      <c r="B650">
        <f t="shared" ref="B650:B676" si="578">A650/1000</f>
        <v>7400</v>
      </c>
      <c r="C650">
        <f t="shared" si="539"/>
        <v>6.3560601127998577</v>
      </c>
      <c r="D650">
        <f t="shared" si="540"/>
        <v>1.4128097616981403</v>
      </c>
      <c r="F650">
        <f t="shared" si="541"/>
        <v>3.6025411024867145E-7</v>
      </c>
      <c r="G650">
        <f t="shared" si="542"/>
        <v>2.3475588837251079E-4</v>
      </c>
      <c r="H650">
        <f t="shared" si="564"/>
        <v>-3.1413578941116276</v>
      </c>
      <c r="J650">
        <f t="shared" si="565"/>
        <v>15</v>
      </c>
      <c r="M650">
        <f t="shared" si="543"/>
        <v>3.6076598172845941E-4</v>
      </c>
      <c r="N650">
        <f t="shared" si="566"/>
        <v>-1.5707963250000001</v>
      </c>
      <c r="O650">
        <f t="shared" si="544"/>
        <v>1994.6602560072708</v>
      </c>
      <c r="P650">
        <f t="shared" si="567"/>
        <v>1.5702949882642478</v>
      </c>
      <c r="Q650">
        <f t="shared" si="545"/>
        <v>1889.301305601598</v>
      </c>
      <c r="R650">
        <f t="shared" si="568"/>
        <v>1.5702670305710875</v>
      </c>
      <c r="S650">
        <f t="shared" si="546"/>
        <v>2.0795719238405612E-2</v>
      </c>
      <c r="T650">
        <f t="shared" si="569"/>
        <v>-1.5499991083718767</v>
      </c>
      <c r="U650">
        <f t="shared" si="547"/>
        <v>0.13706355064742901</v>
      </c>
      <c r="V650">
        <f t="shared" si="570"/>
        <v>-1.4332999515179616</v>
      </c>
      <c r="X650">
        <f t="shared" si="548"/>
        <v>-77.51640277557226</v>
      </c>
      <c r="Y650">
        <f t="shared" si="549"/>
        <v>-180.02800895406926</v>
      </c>
      <c r="Z650">
        <f t="shared" ref="Z650:Z676" si="579">Y650+180</f>
        <v>-2.8008954069264291E-2</v>
      </c>
      <c r="AC650">
        <v>1</v>
      </c>
      <c r="AD650">
        <f t="shared" si="550"/>
        <v>1994.660005338</v>
      </c>
      <c r="AE650">
        <f t="shared" si="551"/>
        <v>-1.112914276054543</v>
      </c>
      <c r="AF650">
        <f t="shared" si="552"/>
        <v>0.15399333188063999</v>
      </c>
      <c r="AG650">
        <f t="shared" si="553"/>
        <v>242.45689102370142</v>
      </c>
      <c r="AH650">
        <f t="shared" si="554"/>
        <v>-1758.7367715246312</v>
      </c>
      <c r="AJ650">
        <f t="shared" si="571"/>
        <v>18000</v>
      </c>
      <c r="AK650">
        <f t="shared" si="555"/>
        <v>865375.57154664001</v>
      </c>
      <c r="AL650">
        <v>25</v>
      </c>
      <c r="AM650">
        <f t="shared" si="556"/>
        <v>1889.3010409534802</v>
      </c>
      <c r="AN650">
        <f t="shared" si="557"/>
        <v>458.08592523172814</v>
      </c>
      <c r="AO650">
        <f t="shared" si="558"/>
        <v>-3.4657535920809472</v>
      </c>
      <c r="AQ650">
        <f t="shared" si="559"/>
        <v>4.5653761661551488E-5</v>
      </c>
      <c r="AR650">
        <f t="shared" si="560"/>
        <v>-0.67567567259096206</v>
      </c>
      <c r="AT650">
        <f t="shared" si="561"/>
        <v>-1188.3245819412464</v>
      </c>
      <c r="AU650">
        <f t="shared" si="562"/>
        <v>-163.90251586614565</v>
      </c>
      <c r="AV650">
        <f t="shared" ref="AV650:AV676" si="580">ATAN2(AT650,AU650)</f>
        <v>-3.0045300492760423</v>
      </c>
      <c r="AW650">
        <f t="shared" ref="AW650:AW676" si="581">AG650-AH650*AO650/_Rfb2+AG650*AN650/_Rfb2+AN650-AO650*AR650+AQ650*AN650</f>
        <v>729.56743380691432</v>
      </c>
      <c r="AX650">
        <f t="shared" ref="AX650:AX676" si="582">AH650+AH650*AN650/_Rfb2+AG650*AO650/_Rfb2+AO650+AO650*AQ650+AN650*AR650</f>
        <v>-2312.5479271278314</v>
      </c>
      <c r="AY650">
        <f t="shared" si="521"/>
        <v>-1.2651969978136337</v>
      </c>
      <c r="BA650">
        <f t="shared" si="572"/>
        <v>0.49469008402462172</v>
      </c>
      <c r="BB650">
        <f t="shared" ref="BB650:BB676" si="583">20*LOG(BA650)</f>
        <v>-6.1133358980954018</v>
      </c>
      <c r="BC650">
        <f t="shared" ref="BC650:BC676" si="584">AV650-AY650</f>
        <v>-1.7393330514624086</v>
      </c>
      <c r="BD650">
        <f t="shared" si="573"/>
        <v>-279.65644313028088</v>
      </c>
      <c r="BF650">
        <f t="shared" si="574"/>
        <v>-95.395571908349922</v>
      </c>
      <c r="BG650">
        <f t="shared" si="575"/>
        <v>-198.69495591596231</v>
      </c>
      <c r="BH650">
        <f t="shared" ref="BH650:BH676" si="585">IF(BG650&gt;180,BG650-180,BG650+180)</f>
        <v>-18.694955915962311</v>
      </c>
      <c r="BI650">
        <f t="shared" ref="BI650:BI676" si="586">IF(BH650&gt;180,BH650-360,BH650)</f>
        <v>-18.694955915962311</v>
      </c>
      <c r="BJ650">
        <f t="shared" si="576"/>
        <v>0</v>
      </c>
      <c r="BK650">
        <f t="shared" ref="BK650:BK676" si="587">IF(BJ650&gt;0,BI650,0)</f>
        <v>0</v>
      </c>
      <c r="BM650">
        <f t="shared" ref="BM650:BM676" si="588">20*LOG(J650*F650*C650)</f>
        <v>-89.282236010254522</v>
      </c>
      <c r="BN650">
        <f t="shared" si="577"/>
        <v>-99.038512785681391</v>
      </c>
      <c r="BQ650" s="56">
        <f t="shared" ref="BQ650:BQ676" si="589">20*LOG(BA650*7)</f>
        <v>10.788624902189735</v>
      </c>
    </row>
    <row r="651" spans="1:69" x14ac:dyDescent="0.25">
      <c r="A651">
        <f t="shared" si="563"/>
        <v>7500000</v>
      </c>
      <c r="B651">
        <f t="shared" si="578"/>
        <v>7500</v>
      </c>
      <c r="C651">
        <f t="shared" si="539"/>
        <v>6.4398405612814731</v>
      </c>
      <c r="D651">
        <f t="shared" si="540"/>
        <v>1.4148820531527408</v>
      </c>
      <c r="F651">
        <f t="shared" si="541"/>
        <v>3.5071137598102081E-7</v>
      </c>
      <c r="G651">
        <f t="shared" si="542"/>
        <v>2.3162580771123444E-4</v>
      </c>
      <c r="H651">
        <f t="shared" si="564"/>
        <v>-3.1413610241922889</v>
      </c>
      <c r="J651">
        <f t="shared" si="565"/>
        <v>15</v>
      </c>
      <c r="M651">
        <f t="shared" si="543"/>
        <v>3.5595576863874659E-4</v>
      </c>
      <c r="N651">
        <f t="shared" si="566"/>
        <v>-1.5707963250000001</v>
      </c>
      <c r="O651">
        <f t="shared" si="544"/>
        <v>2021.6151176020142</v>
      </c>
      <c r="P651">
        <f t="shared" si="567"/>
        <v>1.5703016727768921</v>
      </c>
      <c r="Q651">
        <f t="shared" si="545"/>
        <v>1914.8323972209771</v>
      </c>
      <c r="R651">
        <f t="shared" si="568"/>
        <v>1.5702740878527799</v>
      </c>
      <c r="S651">
        <f t="shared" si="546"/>
        <v>2.0518560506760937E-2</v>
      </c>
      <c r="T651">
        <f t="shared" si="569"/>
        <v>-1.5502763262575725</v>
      </c>
      <c r="U651">
        <f t="shared" si="547"/>
        <v>0.13526969804560213</v>
      </c>
      <c r="V651">
        <f t="shared" si="570"/>
        <v>-1.4351106694975555</v>
      </c>
      <c r="X651">
        <f t="shared" si="548"/>
        <v>-77.75022167634107</v>
      </c>
      <c r="Y651">
        <f t="shared" si="549"/>
        <v>-180.02829730636807</v>
      </c>
      <c r="Z651">
        <f t="shared" si="579"/>
        <v>-2.829730636807426E-2</v>
      </c>
      <c r="AC651">
        <v>1</v>
      </c>
      <c r="AD651">
        <f t="shared" si="550"/>
        <v>2021.6148702750002</v>
      </c>
      <c r="AE651">
        <f t="shared" si="551"/>
        <v>-1.1431962751655957</v>
      </c>
      <c r="AF651">
        <f t="shared" si="552"/>
        <v>0.15607432285199999</v>
      </c>
      <c r="AG651">
        <f t="shared" si="553"/>
        <v>236.15199400323749</v>
      </c>
      <c r="AH651">
        <f t="shared" si="554"/>
        <v>-1736.1477209443292</v>
      </c>
      <c r="AJ651">
        <f t="shared" si="571"/>
        <v>18000</v>
      </c>
      <c r="AK651">
        <f t="shared" si="555"/>
        <v>877069.8360270001</v>
      </c>
      <c r="AL651">
        <v>26</v>
      </c>
      <c r="AM651">
        <f t="shared" si="556"/>
        <v>1914.8321361015001</v>
      </c>
      <c r="AN651">
        <f t="shared" si="557"/>
        <v>458.08324843627588</v>
      </c>
      <c r="AO651">
        <f t="shared" si="558"/>
        <v>-3.1803495595469888</v>
      </c>
      <c r="AQ651">
        <f t="shared" si="559"/>
        <v>4.4444444246913578E-5</v>
      </c>
      <c r="AR651">
        <f t="shared" si="560"/>
        <v>-0.66666666370370375</v>
      </c>
      <c r="AT651">
        <f t="shared" si="561"/>
        <v>-1157.4213131746137</v>
      </c>
      <c r="AU651">
        <f t="shared" si="562"/>
        <v>-157.51182408970331</v>
      </c>
      <c r="AV651">
        <f t="shared" si="580"/>
        <v>-3.0063349836438884</v>
      </c>
      <c r="AW651">
        <f t="shared" si="581"/>
        <v>722.78950605087027</v>
      </c>
      <c r="AX651">
        <f t="shared" si="582"/>
        <v>-2282.4267861725466</v>
      </c>
      <c r="AY651">
        <f t="shared" ref="AY651:AY676" si="590">ATAN2(AW651,AX651)</f>
        <v>-1.2641116357617503</v>
      </c>
      <c r="BA651">
        <f t="shared" si="572"/>
        <v>0.48789582310790525</v>
      </c>
      <c r="BB651">
        <f t="shared" si="583"/>
        <v>-6.2334579976215778</v>
      </c>
      <c r="BC651">
        <f t="shared" si="584"/>
        <v>-1.7422233478821381</v>
      </c>
      <c r="BD651">
        <f t="shared" si="573"/>
        <v>-279.82204491686241</v>
      </c>
      <c r="BF651">
        <f t="shared" si="574"/>
        <v>-95.635133448135932</v>
      </c>
      <c r="BG651">
        <f t="shared" si="575"/>
        <v>-198.7420034885501</v>
      </c>
      <c r="BH651">
        <f t="shared" si="585"/>
        <v>-18.742003488550097</v>
      </c>
      <c r="BI651">
        <f t="shared" si="586"/>
        <v>-18.742003488550097</v>
      </c>
      <c r="BJ651">
        <f t="shared" si="576"/>
        <v>0</v>
      </c>
      <c r="BK651">
        <f t="shared" si="587"/>
        <v>0</v>
      </c>
      <c r="BM651">
        <f t="shared" si="588"/>
        <v>-89.401675450514361</v>
      </c>
      <c r="BN651">
        <f t="shared" si="577"/>
        <v>-98.919958571687715</v>
      </c>
      <c r="BQ651" s="56">
        <f t="shared" si="589"/>
        <v>10.668502802663557</v>
      </c>
    </row>
    <row r="652" spans="1:69" x14ac:dyDescent="0.25">
      <c r="A652">
        <f t="shared" si="563"/>
        <v>7600000</v>
      </c>
      <c r="B652">
        <f t="shared" si="578"/>
        <v>7600</v>
      </c>
      <c r="C652">
        <f t="shared" si="539"/>
        <v>6.5236479545658144</v>
      </c>
      <c r="D652">
        <f t="shared" si="540"/>
        <v>1.4169011088513734</v>
      </c>
      <c r="F652">
        <f t="shared" si="541"/>
        <v>3.4154284500759611E-7</v>
      </c>
      <c r="G652">
        <f t="shared" si="542"/>
        <v>2.2857809767686156E-4</v>
      </c>
      <c r="H652">
        <f t="shared" si="564"/>
        <v>-3.1413640719023235</v>
      </c>
      <c r="J652">
        <f t="shared" si="565"/>
        <v>15</v>
      </c>
      <c r="M652">
        <f t="shared" si="543"/>
        <v>3.5127214010402627E-4</v>
      </c>
      <c r="N652">
        <f t="shared" si="566"/>
        <v>-1.5707963250000001</v>
      </c>
      <c r="O652">
        <f t="shared" si="544"/>
        <v>2048.5699792847117</v>
      </c>
      <c r="P652">
        <f t="shared" si="567"/>
        <v>1.5703081813813513</v>
      </c>
      <c r="Q652">
        <f t="shared" si="545"/>
        <v>1940.3634889332147</v>
      </c>
      <c r="R652">
        <f t="shared" si="568"/>
        <v>1.570280959416583</v>
      </c>
      <c r="S652">
        <f t="shared" si="546"/>
        <v>2.0248690879914495E-2</v>
      </c>
      <c r="T652">
        <f t="shared" si="569"/>
        <v>-1.5505462519670783</v>
      </c>
      <c r="U652">
        <f t="shared" si="547"/>
        <v>0.13352177285724393</v>
      </c>
      <c r="V652">
        <f t="shared" si="570"/>
        <v>-1.4368745977403174</v>
      </c>
      <c r="X652">
        <f t="shared" si="548"/>
        <v>-77.98092774763758</v>
      </c>
      <c r="Y652">
        <f t="shared" si="549"/>
        <v>-180.02855317759736</v>
      </c>
      <c r="Z652">
        <f t="shared" si="579"/>
        <v>-2.8553177597359536E-2</v>
      </c>
      <c r="AC652">
        <v>1</v>
      </c>
      <c r="AD652">
        <f t="shared" si="550"/>
        <v>2048.5697352120001</v>
      </c>
      <c r="AE652">
        <f t="shared" si="551"/>
        <v>-1.1738847440633744</v>
      </c>
      <c r="AF652">
        <f t="shared" si="552"/>
        <v>0.15815531382335998</v>
      </c>
      <c r="AG652">
        <f t="shared" si="553"/>
        <v>230.08841695365746</v>
      </c>
      <c r="AH652">
        <f t="shared" si="554"/>
        <v>-1714.1206064715184</v>
      </c>
      <c r="AJ652">
        <f t="shared" si="571"/>
        <v>18000</v>
      </c>
      <c r="AK652">
        <f t="shared" si="555"/>
        <v>888764.10050736018</v>
      </c>
      <c r="AL652">
        <v>27</v>
      </c>
      <c r="AM652">
        <f t="shared" si="556"/>
        <v>1940.3632312495201</v>
      </c>
      <c r="AN652">
        <f t="shared" si="557"/>
        <v>458.08045247824504</v>
      </c>
      <c r="AO652">
        <f t="shared" si="558"/>
        <v>-2.9024605766522891</v>
      </c>
      <c r="AQ652">
        <f t="shared" si="559"/>
        <v>4.3282548289116396E-5</v>
      </c>
      <c r="AR652">
        <f t="shared" si="560"/>
        <v>-0.65789473399456921</v>
      </c>
      <c r="AT652">
        <f t="shared" si="561"/>
        <v>-1127.7009616161715</v>
      </c>
      <c r="AU652">
        <f t="shared" si="562"/>
        <v>-151.44814937488096</v>
      </c>
      <c r="AV652">
        <f t="shared" si="580"/>
        <v>-3.0080932804751699</v>
      </c>
      <c r="AW652">
        <f t="shared" si="581"/>
        <v>716.26685683776759</v>
      </c>
      <c r="AX652">
        <f t="shared" si="582"/>
        <v>-2253.0623095476167</v>
      </c>
      <c r="AY652">
        <f t="shared" si="590"/>
        <v>-1.2629920801836656</v>
      </c>
      <c r="BA652">
        <f t="shared" si="572"/>
        <v>0.48127767849764452</v>
      </c>
      <c r="BB652">
        <f t="shared" si="583"/>
        <v>-6.3520856058503794</v>
      </c>
      <c r="BC652">
        <f t="shared" si="584"/>
        <v>-1.7451012002915043</v>
      </c>
      <c r="BD652">
        <f t="shared" si="573"/>
        <v>-279.98693371416908</v>
      </c>
      <c r="BF652">
        <f t="shared" si="574"/>
        <v>-95.871546260130003</v>
      </c>
      <c r="BG652">
        <f t="shared" si="575"/>
        <v>-198.79138353651345</v>
      </c>
      <c r="BH652">
        <f t="shared" si="585"/>
        <v>-18.79138353651345</v>
      </c>
      <c r="BI652">
        <f t="shared" si="586"/>
        <v>-18.79138353651345</v>
      </c>
      <c r="BJ652">
        <f t="shared" si="576"/>
        <v>0</v>
      </c>
      <c r="BK652">
        <f t="shared" si="587"/>
        <v>0</v>
      </c>
      <c r="BM652">
        <f t="shared" si="588"/>
        <v>-89.519460654279627</v>
      </c>
      <c r="BN652">
        <f t="shared" si="577"/>
        <v>-98.804449822344409</v>
      </c>
      <c r="BQ652" s="56">
        <f t="shared" si="589"/>
        <v>10.549875194434756</v>
      </c>
    </row>
    <row r="653" spans="1:69" x14ac:dyDescent="0.25">
      <c r="A653">
        <f t="shared" si="563"/>
        <v>7700000</v>
      </c>
      <c r="B653">
        <f t="shared" si="578"/>
        <v>7700</v>
      </c>
      <c r="C653">
        <f t="shared" si="539"/>
        <v>6.6074812673725596</v>
      </c>
      <c r="D653">
        <f t="shared" si="540"/>
        <v>1.4188689383184292</v>
      </c>
      <c r="F653">
        <f t="shared" si="541"/>
        <v>3.3272920497512944E-7</v>
      </c>
      <c r="G653">
        <f t="shared" si="542"/>
        <v>2.2560954901995075E-4</v>
      </c>
      <c r="H653">
        <f t="shared" si="564"/>
        <v>-3.1413670404509801</v>
      </c>
      <c r="J653">
        <f t="shared" si="565"/>
        <v>15</v>
      </c>
      <c r="M653">
        <f t="shared" si="543"/>
        <v>3.467101642585194E-4</v>
      </c>
      <c r="N653">
        <f t="shared" si="566"/>
        <v>-1.5707963250000001</v>
      </c>
      <c r="O653">
        <f t="shared" si="544"/>
        <v>2075.5248410519366</v>
      </c>
      <c r="P653">
        <f t="shared" si="567"/>
        <v>1.5703145209311891</v>
      </c>
      <c r="Q653">
        <f t="shared" si="545"/>
        <v>1965.8945807346938</v>
      </c>
      <c r="R653">
        <f t="shared" si="568"/>
        <v>1.5702876524982559</v>
      </c>
      <c r="S653">
        <f t="shared" si="546"/>
        <v>1.9985826598223434E-2</v>
      </c>
      <c r="T653">
        <f t="shared" si="569"/>
        <v>-1.5508091694568042</v>
      </c>
      <c r="U653">
        <f t="shared" si="547"/>
        <v>0.13181804943135397</v>
      </c>
      <c r="V653">
        <f t="shared" si="570"/>
        <v>-1.4385935161498518</v>
      </c>
      <c r="X653">
        <f t="shared" si="548"/>
        <v>-78.208602945305103</v>
      </c>
      <c r="Y653">
        <f t="shared" si="549"/>
        <v>-180.02877905757677</v>
      </c>
      <c r="Z653">
        <f t="shared" si="579"/>
        <v>-2.8779057576770128E-2</v>
      </c>
      <c r="AC653">
        <v>1</v>
      </c>
      <c r="AD653">
        <f t="shared" si="550"/>
        <v>2075.524600149</v>
      </c>
      <c r="AE653">
        <f t="shared" si="551"/>
        <v>-1.2049796827478789</v>
      </c>
      <c r="AF653">
        <f t="shared" si="552"/>
        <v>0.16023630479472001</v>
      </c>
      <c r="AG653">
        <f t="shared" si="553"/>
        <v>224.25407197813325</v>
      </c>
      <c r="AH653">
        <f t="shared" si="554"/>
        <v>-1692.6351419211469</v>
      </c>
      <c r="AJ653">
        <f t="shared" si="571"/>
        <v>18000</v>
      </c>
      <c r="AK653">
        <f t="shared" si="555"/>
        <v>900458.36498772004</v>
      </c>
      <c r="AL653">
        <v>28</v>
      </c>
      <c r="AM653">
        <f t="shared" si="556"/>
        <v>1965.8943263975402</v>
      </c>
      <c r="AN653">
        <f t="shared" si="557"/>
        <v>458.07754929840746</v>
      </c>
      <c r="AO653">
        <f t="shared" si="558"/>
        <v>-2.6317938610288998</v>
      </c>
      <c r="AQ653">
        <f t="shared" si="559"/>
        <v>4.2165626403416991E-5</v>
      </c>
      <c r="AR653">
        <f t="shared" si="560"/>
        <v>-0.64935064661262165</v>
      </c>
      <c r="AT653">
        <f t="shared" si="561"/>
        <v>-1099.1042680723249</v>
      </c>
      <c r="AU653">
        <f t="shared" si="562"/>
        <v>-145.69089766554578</v>
      </c>
      <c r="AV653">
        <f t="shared" si="580"/>
        <v>-3.009806713743612</v>
      </c>
      <c r="AW653">
        <f t="shared" si="581"/>
        <v>709.98681841535381</v>
      </c>
      <c r="AX653">
        <f t="shared" si="582"/>
        <v>-2224.4267979972137</v>
      </c>
      <c r="AY653">
        <f t="shared" si="590"/>
        <v>-1.261839727395049</v>
      </c>
      <c r="BA653">
        <f t="shared" si="572"/>
        <v>0.47482878884245444</v>
      </c>
      <c r="BB653">
        <f t="shared" si="583"/>
        <v>-6.4692591533890464</v>
      </c>
      <c r="BC653">
        <f t="shared" si="584"/>
        <v>-1.747966986348563</v>
      </c>
      <c r="BD653">
        <f t="shared" si="573"/>
        <v>-280.15113116041357</v>
      </c>
      <c r="BF653">
        <f t="shared" si="574"/>
        <v>-96.104896715048085</v>
      </c>
      <c r="BG653">
        <f t="shared" si="575"/>
        <v>-198.84300274467489</v>
      </c>
      <c r="BH653">
        <f t="shared" si="585"/>
        <v>-18.843002744674891</v>
      </c>
      <c r="BI653">
        <f t="shared" si="586"/>
        <v>-18.843002744674891</v>
      </c>
      <c r="BJ653">
        <f t="shared" si="576"/>
        <v>0</v>
      </c>
      <c r="BK653">
        <f t="shared" si="587"/>
        <v>0</v>
      </c>
      <c r="BM653">
        <f t="shared" si="588"/>
        <v>-89.635637561659038</v>
      </c>
      <c r="BN653">
        <f t="shared" si="577"/>
        <v>-98.691871584261307</v>
      </c>
      <c r="BQ653" s="56">
        <f t="shared" si="589"/>
        <v>10.43270164689609</v>
      </c>
    </row>
    <row r="654" spans="1:69" x14ac:dyDescent="0.25">
      <c r="A654">
        <f t="shared" si="563"/>
        <v>7800000</v>
      </c>
      <c r="B654">
        <f t="shared" si="578"/>
        <v>7800</v>
      </c>
      <c r="C654">
        <f t="shared" si="539"/>
        <v>6.691339525493512</v>
      </c>
      <c r="D654">
        <f t="shared" si="540"/>
        <v>1.4207874519760784</v>
      </c>
      <c r="F654">
        <f t="shared" si="541"/>
        <v>3.2425237351421145E-7</v>
      </c>
      <c r="G654">
        <f t="shared" si="542"/>
        <v>2.2271711706822148E-4</v>
      </c>
      <c r="H654">
        <f t="shared" si="564"/>
        <v>-3.1413699328829319</v>
      </c>
      <c r="J654">
        <f t="shared" si="565"/>
        <v>15</v>
      </c>
      <c r="M654">
        <f t="shared" si="543"/>
        <v>3.42265162152641E-4</v>
      </c>
      <c r="N654">
        <f t="shared" si="566"/>
        <v>-1.5707963250000001</v>
      </c>
      <c r="O654">
        <f t="shared" si="544"/>
        <v>2102.479702900438</v>
      </c>
      <c r="P654">
        <f t="shared" si="567"/>
        <v>1.570320697928504</v>
      </c>
      <c r="Q654">
        <f t="shared" si="545"/>
        <v>1991.4256726219812</v>
      </c>
      <c r="R654">
        <f t="shared" si="568"/>
        <v>1.570294173962494</v>
      </c>
      <c r="S654">
        <f t="shared" si="546"/>
        <v>1.9729698439278107E-2</v>
      </c>
      <c r="T654">
        <f t="shared" si="569"/>
        <v>-1.5510653481309931</v>
      </c>
      <c r="U654">
        <f t="shared" si="547"/>
        <v>0.13015688670908143</v>
      </c>
      <c r="V654">
        <f t="shared" si="570"/>
        <v>-1.4402691160046266</v>
      </c>
      <c r="X654">
        <f t="shared" si="548"/>
        <v>-78.433326025784893</v>
      </c>
      <c r="Y654">
        <f t="shared" si="549"/>
        <v>-180.02897723460916</v>
      </c>
      <c r="Z654">
        <f t="shared" si="579"/>
        <v>-2.8977234609158131E-2</v>
      </c>
      <c r="AC654">
        <v>1</v>
      </c>
      <c r="AD654">
        <f t="shared" si="550"/>
        <v>2102.4794650860003</v>
      </c>
      <c r="AE654">
        <f t="shared" si="551"/>
        <v>-1.2364810912191087</v>
      </c>
      <c r="AF654">
        <f t="shared" si="552"/>
        <v>0.16231729576608001</v>
      </c>
      <c r="AG654">
        <f t="shared" si="553"/>
        <v>218.63761423562235</v>
      </c>
      <c r="AH654">
        <f t="shared" si="554"/>
        <v>-1671.6719838817564</v>
      </c>
      <c r="AJ654">
        <f t="shared" si="571"/>
        <v>18000</v>
      </c>
      <c r="AK654">
        <f t="shared" si="555"/>
        <v>912152.62946808012</v>
      </c>
      <c r="AL654">
        <v>29</v>
      </c>
      <c r="AM654">
        <f t="shared" si="556"/>
        <v>1991.4254215455601</v>
      </c>
      <c r="AN654">
        <f t="shared" si="557"/>
        <v>458.07454985560872</v>
      </c>
      <c r="AO654">
        <f t="shared" si="558"/>
        <v>-2.3680716351041413</v>
      </c>
      <c r="AQ654">
        <f t="shared" si="559"/>
        <v>4.109138707638319E-5</v>
      </c>
      <c r="AR654">
        <f t="shared" si="560"/>
        <v>-0.64102563839157778</v>
      </c>
      <c r="AT654">
        <f t="shared" si="561"/>
        <v>-1071.5756165262824</v>
      </c>
      <c r="AU654">
        <f t="shared" si="562"/>
        <v>-140.22100756235577</v>
      </c>
      <c r="AV654">
        <f t="shared" si="580"/>
        <v>-3.011476969101901</v>
      </c>
      <c r="AW654">
        <f t="shared" si="581"/>
        <v>703.93749634844937</v>
      </c>
      <c r="AX654">
        <f t="shared" si="582"/>
        <v>-2196.4938645859652</v>
      </c>
      <c r="AY654">
        <f t="shared" si="590"/>
        <v>-1.26065590607893</v>
      </c>
      <c r="BA654">
        <f t="shared" si="572"/>
        <v>0.4685426455241366</v>
      </c>
      <c r="BB654">
        <f t="shared" si="583"/>
        <v>-6.5850174926241092</v>
      </c>
      <c r="BC654">
        <f t="shared" si="584"/>
        <v>-1.750821063022971</v>
      </c>
      <c r="BD654">
        <f t="shared" si="573"/>
        <v>-280.31465770845074</v>
      </c>
      <c r="BF654">
        <f t="shared" si="574"/>
        <v>-96.335267695994574</v>
      </c>
      <c r="BG654">
        <f t="shared" si="575"/>
        <v>-198.89677228120848</v>
      </c>
      <c r="BH654">
        <f t="shared" si="585"/>
        <v>-18.896772281208484</v>
      </c>
      <c r="BI654">
        <f t="shared" si="586"/>
        <v>-18.896772281208484</v>
      </c>
      <c r="BJ654">
        <f t="shared" si="576"/>
        <v>0</v>
      </c>
      <c r="BK654">
        <f t="shared" si="587"/>
        <v>0</v>
      </c>
      <c r="BM654">
        <f t="shared" si="588"/>
        <v>-89.750250203370484</v>
      </c>
      <c r="BN654">
        <f t="shared" si="577"/>
        <v>-98.582114572757732</v>
      </c>
      <c r="BQ654" s="56">
        <f t="shared" si="589"/>
        <v>10.316943307661026</v>
      </c>
    </row>
    <row r="655" spans="1:69" x14ac:dyDescent="0.25">
      <c r="A655">
        <f t="shared" si="563"/>
        <v>7900000</v>
      </c>
      <c r="B655">
        <f t="shared" si="578"/>
        <v>7900</v>
      </c>
      <c r="C655">
        <f t="shared" si="539"/>
        <v>6.7752218026694955</v>
      </c>
      <c r="D655">
        <f t="shared" si="540"/>
        <v>1.4226584671314537</v>
      </c>
      <c r="F655">
        <f t="shared" si="541"/>
        <v>3.1609540541915975E-7</v>
      </c>
      <c r="G655">
        <f t="shared" si="542"/>
        <v>2.1989791131025809E-4</v>
      </c>
      <c r="H655">
        <f t="shared" si="564"/>
        <v>-3.14137275208869</v>
      </c>
      <c r="J655">
        <f t="shared" si="565"/>
        <v>15</v>
      </c>
      <c r="M655">
        <f t="shared" si="543"/>
        <v>3.3793269174564551E-4</v>
      </c>
      <c r="N655">
        <f t="shared" si="566"/>
        <v>-1.5707963250000001</v>
      </c>
      <c r="O655">
        <f t="shared" si="544"/>
        <v>2129.4345648271292</v>
      </c>
      <c r="P655">
        <f t="shared" si="567"/>
        <v>1.5703267185461751</v>
      </c>
      <c r="Q655">
        <f t="shared" si="545"/>
        <v>2016.9567645918194</v>
      </c>
      <c r="R655">
        <f t="shared" si="568"/>
        <v>1.5703005303264128</v>
      </c>
      <c r="S655">
        <f t="shared" si="546"/>
        <v>1.9480050798906898E-2</v>
      </c>
      <c r="T655">
        <f t="shared" si="569"/>
        <v>-1.5513150437620216</v>
      </c>
      <c r="U655">
        <f t="shared" si="547"/>
        <v>0.12853672315191347</v>
      </c>
      <c r="V655">
        <f t="shared" si="570"/>
        <v>-1.4419030053742581</v>
      </c>
      <c r="X655">
        <f t="shared" si="548"/>
        <v>-78.655172710671962</v>
      </c>
      <c r="Y655">
        <f t="shared" si="549"/>
        <v>-180.02914981347664</v>
      </c>
      <c r="Z655">
        <f t="shared" si="579"/>
        <v>-2.91498134766357E-2</v>
      </c>
      <c r="AC655">
        <v>1</v>
      </c>
      <c r="AD655">
        <f t="shared" si="550"/>
        <v>2129.4343300229998</v>
      </c>
      <c r="AE655">
        <f t="shared" si="551"/>
        <v>-1.268388969477064</v>
      </c>
      <c r="AF655">
        <f t="shared" si="552"/>
        <v>0.16439828673744</v>
      </c>
      <c r="AG655">
        <f t="shared" si="553"/>
        <v>213.22838811967992</v>
      </c>
      <c r="AH655">
        <f t="shared" si="554"/>
        <v>-1651.2126790221278</v>
      </c>
      <c r="AJ655">
        <f t="shared" si="571"/>
        <v>18000</v>
      </c>
      <c r="AK655">
        <f t="shared" si="555"/>
        <v>923846.89394843997</v>
      </c>
      <c r="AL655">
        <v>30</v>
      </c>
      <c r="AM655">
        <f t="shared" si="556"/>
        <v>2016.9565166935802</v>
      </c>
      <c r="AN655">
        <f t="shared" si="557"/>
        <v>458.07146421200213</v>
      </c>
      <c r="AO655">
        <f t="shared" si="558"/>
        <v>-2.1110301775964331</v>
      </c>
      <c r="AQ655">
        <f t="shared" si="559"/>
        <v>4.0057682903149807E-5</v>
      </c>
      <c r="AR655">
        <f t="shared" si="560"/>
        <v>-0.63291138986976692</v>
      </c>
      <c r="AT655">
        <f t="shared" si="561"/>
        <v>-1045.062770215319</v>
      </c>
      <c r="AU655">
        <f t="shared" si="562"/>
        <v>-135.02081923841865</v>
      </c>
      <c r="AV655">
        <f t="shared" si="580"/>
        <v>-3.01310564927872</v>
      </c>
      <c r="AW655">
        <f t="shared" si="581"/>
        <v>698.1077138401298</v>
      </c>
      <c r="AX655">
        <f t="shared" si="582"/>
        <v>-2169.2383593797613</v>
      </c>
      <c r="AY655">
        <f t="shared" si="590"/>
        <v>-1.2594418813617805</v>
      </c>
      <c r="BA655">
        <f t="shared" si="572"/>
        <v>0.46241307027149814</v>
      </c>
      <c r="BB655">
        <f t="shared" si="583"/>
        <v>-6.6993979784907776</v>
      </c>
      <c r="BC655">
        <f t="shared" si="584"/>
        <v>-1.7536637679169396</v>
      </c>
      <c r="BD655">
        <f t="shared" si="573"/>
        <v>-280.47753270146245</v>
      </c>
      <c r="BF655">
        <f t="shared" si="574"/>
        <v>-96.562738784343708</v>
      </c>
      <c r="BG655">
        <f t="shared" si="575"/>
        <v>-198.95260753088138</v>
      </c>
      <c r="BH655">
        <f t="shared" si="585"/>
        <v>-18.95260753088138</v>
      </c>
      <c r="BI655">
        <f t="shared" si="586"/>
        <v>-18.95260753088138</v>
      </c>
      <c r="BJ655">
        <f t="shared" si="576"/>
        <v>0</v>
      </c>
      <c r="BK655">
        <f t="shared" si="587"/>
        <v>0</v>
      </c>
      <c r="BM655">
        <f t="shared" si="588"/>
        <v>-89.863340805852928</v>
      </c>
      <c r="BN655">
        <f t="shared" si="577"/>
        <v>-98.475074829418929</v>
      </c>
      <c r="BQ655" s="56">
        <f t="shared" si="589"/>
        <v>10.202562821794359</v>
      </c>
    </row>
    <row r="656" spans="1:69" x14ac:dyDescent="0.25">
      <c r="A656">
        <f t="shared" si="563"/>
        <v>8000000</v>
      </c>
      <c r="B656">
        <f t="shared" si="578"/>
        <v>8000</v>
      </c>
      <c r="C656">
        <f t="shared" si="539"/>
        <v>6.8591272176923752</v>
      </c>
      <c r="D656">
        <f t="shared" si="540"/>
        <v>1.4244837135384123</v>
      </c>
      <c r="F656">
        <f t="shared" si="541"/>
        <v>3.082424078983424E-7</v>
      </c>
      <c r="G656">
        <f t="shared" si="542"/>
        <v>2.1714918576043804E-4</v>
      </c>
      <c r="H656">
        <f t="shared" si="564"/>
        <v>-3.1413755008142399</v>
      </c>
      <c r="J656">
        <f t="shared" si="565"/>
        <v>15</v>
      </c>
      <c r="M656">
        <f t="shared" si="543"/>
        <v>3.3370853309882501E-4</v>
      </c>
      <c r="N656">
        <f t="shared" si="566"/>
        <v>-1.5707963250000001</v>
      </c>
      <c r="O656">
        <f t="shared" si="544"/>
        <v>2156.3894268290778</v>
      </c>
      <c r="P656">
        <f t="shared" si="567"/>
        <v>1.5703325886484374</v>
      </c>
      <c r="Q656">
        <f t="shared" si="545"/>
        <v>2042.4878566411116</v>
      </c>
      <c r="R656">
        <f t="shared" si="568"/>
        <v>1.5703067277812723</v>
      </c>
      <c r="S656">
        <f t="shared" si="546"/>
        <v>1.9236640841012773E-2</v>
      </c>
      <c r="T656">
        <f t="shared" si="569"/>
        <v>-1.5515584993417399</v>
      </c>
      <c r="U656">
        <f t="shared" si="547"/>
        <v>0.12695607202684073</v>
      </c>
      <c r="V656">
        <f t="shared" si="570"/>
        <v>-1.443496714145696</v>
      </c>
      <c r="X656">
        <f t="shared" si="548"/>
        <v>-78.874215840820355</v>
      </c>
      <c r="Y656">
        <f t="shared" si="549"/>
        <v>-180.02929873166073</v>
      </c>
      <c r="Z656">
        <f t="shared" si="579"/>
        <v>-2.9298731660730937E-2</v>
      </c>
      <c r="AC656">
        <v>1</v>
      </c>
      <c r="AD656">
        <f t="shared" si="550"/>
        <v>2156.3891949600002</v>
      </c>
      <c r="AE656">
        <f t="shared" si="551"/>
        <v>-1.3007033175217451</v>
      </c>
      <c r="AF656">
        <f t="shared" si="552"/>
        <v>0.1664792777088</v>
      </c>
      <c r="AG656">
        <f t="shared" si="553"/>
        <v>208.01637790375159</v>
      </c>
      <c r="AH656">
        <f t="shared" si="554"/>
        <v>-1631.2396147782651</v>
      </c>
      <c r="AJ656">
        <f t="shared" si="571"/>
        <v>18000</v>
      </c>
      <c r="AK656">
        <f t="shared" si="555"/>
        <v>935541.15842880006</v>
      </c>
      <c r="AL656">
        <v>31</v>
      </c>
      <c r="AM656">
        <f t="shared" si="556"/>
        <v>2042.4876118416003</v>
      </c>
      <c r="AN656">
        <f t="shared" si="557"/>
        <v>458.06830161018604</v>
      </c>
      <c r="AO656">
        <f t="shared" si="558"/>
        <v>-1.8604189460214577</v>
      </c>
      <c r="AQ656">
        <f t="shared" si="559"/>
        <v>3.9062499847412111E-5</v>
      </c>
      <c r="AR656">
        <f t="shared" si="560"/>
        <v>-0.62499999755859381</v>
      </c>
      <c r="AT656">
        <f t="shared" si="561"/>
        <v>-1019.5166296141671</v>
      </c>
      <c r="AU656">
        <f t="shared" si="562"/>
        <v>-130.07395597919563</v>
      </c>
      <c r="AV656">
        <f t="shared" si="580"/>
        <v>-3.0146942790871334</v>
      </c>
      <c r="AW656">
        <f t="shared" si="581"/>
        <v>692.4869606472023</v>
      </c>
      <c r="AX656">
        <f t="shared" si="582"/>
        <v>-2142.6362991409405</v>
      </c>
      <c r="AY656">
        <f t="shared" si="590"/>
        <v>-1.2581988585999377</v>
      </c>
      <c r="BA656">
        <f t="shared" si="572"/>
        <v>0.45643419445852701</v>
      </c>
      <c r="BB656">
        <f t="shared" si="583"/>
        <v>-6.8124365441315193</v>
      </c>
      <c r="BC656">
        <f t="shared" si="584"/>
        <v>-1.7564954204871956</v>
      </c>
      <c r="BD656">
        <f t="shared" si="573"/>
        <v>-280.63977444297086</v>
      </c>
      <c r="BF656">
        <f t="shared" si="574"/>
        <v>-96.78738643335069</v>
      </c>
      <c r="BG656">
        <f t="shared" si="575"/>
        <v>-199.01042784695341</v>
      </c>
      <c r="BH656">
        <f t="shared" si="585"/>
        <v>-19.010427846953405</v>
      </c>
      <c r="BI656">
        <f t="shared" si="586"/>
        <v>-19.010427846953405</v>
      </c>
      <c r="BJ656">
        <f t="shared" si="576"/>
        <v>0</v>
      </c>
      <c r="BK656">
        <f t="shared" si="587"/>
        <v>0</v>
      </c>
      <c r="BM656">
        <f t="shared" si="588"/>
        <v>-89.974949889219175</v>
      </c>
      <c r="BN656">
        <f t="shared" si="577"/>
        <v>-98.370653403982502</v>
      </c>
      <c r="BQ656" s="56">
        <f t="shared" si="589"/>
        <v>10.089524256153616</v>
      </c>
    </row>
    <row r="657" spans="1:69" x14ac:dyDescent="0.25">
      <c r="A657">
        <f t="shared" si="563"/>
        <v>8100000</v>
      </c>
      <c r="B657">
        <f t="shared" si="578"/>
        <v>8100</v>
      </c>
      <c r="C657">
        <f t="shared" si="539"/>
        <v>6.9430549317135979</v>
      </c>
      <c r="D657">
        <f t="shared" si="540"/>
        <v>1.4262648385684373</v>
      </c>
      <c r="F657">
        <f t="shared" si="541"/>
        <v>3.0067846310285585E-7</v>
      </c>
      <c r="G657">
        <f t="shared" si="542"/>
        <v>2.1446833003757045E-4</v>
      </c>
      <c r="H657">
        <f t="shared" si="564"/>
        <v>-3.1413781816699626</v>
      </c>
      <c r="J657">
        <f t="shared" si="565"/>
        <v>15</v>
      </c>
      <c r="M657">
        <f t="shared" si="543"/>
        <v>3.2958867466550615E-4</v>
      </c>
      <c r="N657">
        <f t="shared" si="566"/>
        <v>-1.5707963250000001</v>
      </c>
      <c r="O657">
        <f t="shared" si="544"/>
        <v>2183.3442889034964</v>
      </c>
      <c r="P657">
        <f t="shared" si="567"/>
        <v>1.5703383138099336</v>
      </c>
      <c r="Q657">
        <f t="shared" si="545"/>
        <v>2068.0189487669159</v>
      </c>
      <c r="R657">
        <f t="shared" si="568"/>
        <v>1.5703127722125911</v>
      </c>
      <c r="S657">
        <f t="shared" si="546"/>
        <v>1.8999237710302156E-2</v>
      </c>
      <c r="T657">
        <f t="shared" si="569"/>
        <v>-1.5517959458698054</v>
      </c>
      <c r="U657">
        <f t="shared" si="547"/>
        <v>0.12541351701983372</v>
      </c>
      <c r="V657">
        <f t="shared" si="570"/>
        <v>-1.4450516986915007</v>
      </c>
      <c r="X657">
        <f t="shared" si="548"/>
        <v>-79.090525520784752</v>
      </c>
      <c r="Y657">
        <f t="shared" si="549"/>
        <v>-180.02942577397968</v>
      </c>
      <c r="Z657">
        <f t="shared" si="579"/>
        <v>-2.9425773979681935E-2</v>
      </c>
      <c r="AC657">
        <v>1</v>
      </c>
      <c r="AD657">
        <f t="shared" si="550"/>
        <v>2183.3440598970001</v>
      </c>
      <c r="AE657">
        <f t="shared" si="551"/>
        <v>-1.3334241353531511</v>
      </c>
      <c r="AF657">
        <f t="shared" si="552"/>
        <v>0.16856026868016</v>
      </c>
      <c r="AG657">
        <f t="shared" si="553"/>
        <v>202.99216243690529</v>
      </c>
      <c r="AH657">
        <f t="shared" si="554"/>
        <v>-1611.7359731811682</v>
      </c>
      <c r="AJ657">
        <f t="shared" si="571"/>
        <v>18000</v>
      </c>
      <c r="AK657">
        <f t="shared" si="555"/>
        <v>947235.42290916014</v>
      </c>
      <c r="AL657">
        <v>32</v>
      </c>
      <c r="AM657">
        <f t="shared" si="556"/>
        <v>2068.0187069896201</v>
      </c>
      <c r="AN657">
        <f t="shared" si="557"/>
        <v>458.06507054308065</v>
      </c>
      <c r="AO657">
        <f t="shared" si="558"/>
        <v>-1.615999764086367</v>
      </c>
      <c r="AQ657">
        <f t="shared" si="559"/>
        <v>3.8103947423777063E-5</v>
      </c>
      <c r="AR657">
        <f t="shared" si="560"/>
        <v>-0.6172839482651884</v>
      </c>
      <c r="AT657">
        <f t="shared" si="561"/>
        <v>-994.89101028362245</v>
      </c>
      <c r="AU657">
        <f t="shared" si="562"/>
        <v>-125.36521699872448</v>
      </c>
      <c r="AV657">
        <f t="shared" si="580"/>
        <v>-3.0162443100763769</v>
      </c>
      <c r="AW657">
        <f t="shared" si="581"/>
        <v>687.06534616451506</v>
      </c>
      <c r="AX657">
        <f t="shared" si="582"/>
        <v>-2116.664801662891</v>
      </c>
      <c r="AY657">
        <f t="shared" si="590"/>
        <v>-1.2569279868998799</v>
      </c>
      <c r="BA657">
        <f t="shared" si="572"/>
        <v>0.45060043994082266</v>
      </c>
      <c r="BB657">
        <f t="shared" si="583"/>
        <v>-6.9241677718274977</v>
      </c>
      <c r="BC657">
        <f t="shared" si="584"/>
        <v>-1.759316323176497</v>
      </c>
      <c r="BD657">
        <f t="shared" si="573"/>
        <v>-280.80140026166964</v>
      </c>
      <c r="BF657">
        <f t="shared" si="574"/>
        <v>-97.00928413045402</v>
      </c>
      <c r="BG657">
        <f t="shared" si="575"/>
        <v>-199.07015632024857</v>
      </c>
      <c r="BH657">
        <f t="shared" si="585"/>
        <v>-19.070156320248572</v>
      </c>
      <c r="BI657">
        <f t="shared" si="586"/>
        <v>-19.070156320248572</v>
      </c>
      <c r="BJ657">
        <f t="shared" si="576"/>
        <v>0</v>
      </c>
      <c r="BK657">
        <f t="shared" si="587"/>
        <v>0</v>
      </c>
      <c r="BM657">
        <f t="shared" si="588"/>
        <v>-90.085116358626522</v>
      </c>
      <c r="BN657">
        <f t="shared" si="577"/>
        <v>-98.268756058578916</v>
      </c>
      <c r="BQ657" s="56">
        <f t="shared" si="589"/>
        <v>9.9777930284576382</v>
      </c>
    </row>
    <row r="658" spans="1:69" x14ac:dyDescent="0.25">
      <c r="A658">
        <f t="shared" si="563"/>
        <v>8200000</v>
      </c>
      <c r="B658">
        <f t="shared" si="578"/>
        <v>8200</v>
      </c>
      <c r="C658">
        <f t="shared" si="539"/>
        <v>7.0270041457423789</v>
      </c>
      <c r="D658">
        <f t="shared" si="540"/>
        <v>1.4280034120221059</v>
      </c>
      <c r="F658">
        <f t="shared" si="541"/>
        <v>2.9338955722786032E-7</v>
      </c>
      <c r="G658">
        <f t="shared" si="542"/>
        <v>2.1185286109631855E-4</v>
      </c>
      <c r="H658">
        <f t="shared" si="564"/>
        <v>-3.1413807971389041</v>
      </c>
      <c r="J658">
        <f t="shared" si="565"/>
        <v>15</v>
      </c>
      <c r="M658">
        <f t="shared" si="543"/>
        <v>3.2556930058421952E-4</v>
      </c>
      <c r="N658">
        <f t="shared" si="566"/>
        <v>-1.5707963250000001</v>
      </c>
      <c r="O658">
        <f t="shared" si="544"/>
        <v>2210.2991510477345</v>
      </c>
      <c r="P658">
        <f t="shared" si="567"/>
        <v>1.5703438993333736</v>
      </c>
      <c r="Q658">
        <f t="shared" si="545"/>
        <v>2093.5500409664323</v>
      </c>
      <c r="R658">
        <f t="shared" si="568"/>
        <v>1.5703186692187898</v>
      </c>
      <c r="S658">
        <f t="shared" si="546"/>
        <v>1.8767621802545171E-2</v>
      </c>
      <c r="T658">
        <f t="shared" si="569"/>
        <v>-1.5520276030843823</v>
      </c>
      <c r="U658">
        <f t="shared" si="547"/>
        <v>0.12390770815153701</v>
      </c>
      <c r="V658">
        <f t="shared" si="570"/>
        <v>-1.4465693462094309</v>
      </c>
      <c r="X658">
        <f t="shared" si="548"/>
        <v>-79.304169254316307</v>
      </c>
      <c r="Y658">
        <f t="shared" si="549"/>
        <v>-180.02953258581141</v>
      </c>
      <c r="Z658">
        <f t="shared" si="579"/>
        <v>-2.9532585811409717E-2</v>
      </c>
      <c r="AC658">
        <v>1</v>
      </c>
      <c r="AD658">
        <f t="shared" si="550"/>
        <v>2210.298924834</v>
      </c>
      <c r="AE658">
        <f t="shared" si="551"/>
        <v>-1.3665514229712832</v>
      </c>
      <c r="AF658">
        <f t="shared" si="552"/>
        <v>0.17064125965151999</v>
      </c>
      <c r="AG658">
        <f t="shared" si="553"/>
        <v>198.14687351678552</v>
      </c>
      <c r="AH658">
        <f t="shared" si="554"/>
        <v>-1592.6856876038846</v>
      </c>
      <c r="AJ658">
        <f t="shared" si="571"/>
        <v>18000</v>
      </c>
      <c r="AK658">
        <f t="shared" si="555"/>
        <v>958929.68738952</v>
      </c>
      <c r="AL658">
        <v>33</v>
      </c>
      <c r="AM658">
        <f t="shared" si="556"/>
        <v>2093.5498021376402</v>
      </c>
      <c r="AN658">
        <f t="shared" si="557"/>
        <v>458.0617788173023</v>
      </c>
      <c r="AO658">
        <f t="shared" si="558"/>
        <v>-1.3775460684452439</v>
      </c>
      <c r="AQ658">
        <f t="shared" si="559"/>
        <v>3.7180249713041904E-5</v>
      </c>
      <c r="AR658">
        <f t="shared" si="560"/>
        <v>-0.60975609529388719</v>
      </c>
      <c r="AT658">
        <f t="shared" si="561"/>
        <v>-971.14243875356726</v>
      </c>
      <c r="AU658">
        <f t="shared" si="562"/>
        <v>-120.88048034186639</v>
      </c>
      <c r="AV658">
        <f t="shared" si="580"/>
        <v>-3.0177571248561699</v>
      </c>
      <c r="AW658">
        <f t="shared" si="581"/>
        <v>681.83355629617563</v>
      </c>
      <c r="AX658">
        <f t="shared" si="582"/>
        <v>-2091.3020243997994</v>
      </c>
      <c r="AY658">
        <f t="shared" si="590"/>
        <v>-1.2556303623937384</v>
      </c>
      <c r="BA658">
        <f t="shared" si="572"/>
        <v>0.44490650129848763</v>
      </c>
      <c r="BB658">
        <f t="shared" si="583"/>
        <v>-7.0346249595534314</v>
      </c>
      <c r="BC658">
        <f t="shared" si="584"/>
        <v>-1.7621267624624315</v>
      </c>
      <c r="BD658">
        <f t="shared" si="573"/>
        <v>-280.96242657151544</v>
      </c>
      <c r="BF658">
        <f t="shared" si="574"/>
        <v>-97.228502549143286</v>
      </c>
      <c r="BG658">
        <f t="shared" si="575"/>
        <v>-199.13171956404381</v>
      </c>
      <c r="BH658">
        <f t="shared" si="585"/>
        <v>-19.131719564043806</v>
      </c>
      <c r="BI658">
        <f t="shared" si="586"/>
        <v>-19.131719564043806</v>
      </c>
      <c r="BJ658">
        <f t="shared" si="576"/>
        <v>0</v>
      </c>
      <c r="BK658">
        <f t="shared" si="587"/>
        <v>0</v>
      </c>
      <c r="BM658">
        <f t="shared" si="588"/>
        <v>-90.19387758958986</v>
      </c>
      <c r="BN658">
        <f t="shared" si="577"/>
        <v>-98.169292992528383</v>
      </c>
      <c r="BQ658" s="56">
        <f t="shared" si="589"/>
        <v>9.8673358407317053</v>
      </c>
    </row>
    <row r="659" spans="1:69" x14ac:dyDescent="0.25">
      <c r="A659">
        <f t="shared" si="563"/>
        <v>8300000</v>
      </c>
      <c r="B659">
        <f t="shared" si="578"/>
        <v>8300</v>
      </c>
      <c r="C659">
        <f t="shared" si="539"/>
        <v>7.1109740983182137</v>
      </c>
      <c r="D659">
        <f t="shared" si="540"/>
        <v>1.4297009306097053</v>
      </c>
      <c r="F659">
        <f t="shared" si="541"/>
        <v>2.8636251555692606E-7</v>
      </c>
      <c r="G659">
        <f t="shared" si="542"/>
        <v>2.0930041555635166E-4</v>
      </c>
      <c r="H659">
        <f t="shared" si="564"/>
        <v>-3.1413833495844439</v>
      </c>
      <c r="J659">
        <f t="shared" si="565"/>
        <v>15</v>
      </c>
      <c r="M659">
        <f t="shared" si="543"/>
        <v>3.2164677889043373E-4</v>
      </c>
      <c r="N659">
        <f t="shared" si="566"/>
        <v>-1.5707963250000001</v>
      </c>
      <c r="O659">
        <f t="shared" si="544"/>
        <v>2237.2540132592685</v>
      </c>
      <c r="P659">
        <f t="shared" si="567"/>
        <v>1.5703493502659145</v>
      </c>
      <c r="Q659">
        <f t="shared" si="545"/>
        <v>2119.0811332369972</v>
      </c>
      <c r="R659">
        <f t="shared" si="568"/>
        <v>1.5703244241284857</v>
      </c>
      <c r="S659">
        <f t="shared" si="546"/>
        <v>1.8541584087522177E-2</v>
      </c>
      <c r="T659">
        <f t="shared" si="569"/>
        <v>-1.5522536801400633</v>
      </c>
      <c r="U659">
        <f t="shared" si="547"/>
        <v>0.12243735797140287</v>
      </c>
      <c r="V659">
        <f t="shared" si="570"/>
        <v>-1.4480509787598723</v>
      </c>
      <c r="X659">
        <f t="shared" si="548"/>
        <v>-79.515212071569735</v>
      </c>
      <c r="Y659">
        <f t="shared" si="549"/>
        <v>-180.02962068505263</v>
      </c>
      <c r="Z659">
        <f t="shared" si="579"/>
        <v>-2.9620685052634599E-2</v>
      </c>
      <c r="AC659">
        <v>1</v>
      </c>
      <c r="AD659">
        <f t="shared" si="550"/>
        <v>2237.2537897709999</v>
      </c>
      <c r="AE659">
        <f t="shared" si="551"/>
        <v>-1.4000851803761405</v>
      </c>
      <c r="AF659">
        <f t="shared" si="552"/>
        <v>0.17272225062288002</v>
      </c>
      <c r="AG659">
        <f t="shared" si="553"/>
        <v>193.47215760458053</v>
      </c>
      <c r="AH659">
        <f t="shared" si="554"/>
        <v>-1574.0734022229985</v>
      </c>
      <c r="AJ659">
        <f t="shared" si="571"/>
        <v>18000</v>
      </c>
      <c r="AK659">
        <f t="shared" si="555"/>
        <v>970623.95186988008</v>
      </c>
      <c r="AL659">
        <v>34</v>
      </c>
      <c r="AM659">
        <f t="shared" si="556"/>
        <v>2119.0808972856603</v>
      </c>
      <c r="AN659">
        <f t="shared" si="557"/>
        <v>458.05843361069429</v>
      </c>
      <c r="AO659">
        <f t="shared" si="558"/>
        <v>-1.1448422098202498</v>
      </c>
      <c r="AQ659">
        <f t="shared" si="559"/>
        <v>3.6289737130607717E-5</v>
      </c>
      <c r="AR659">
        <f t="shared" si="560"/>
        <v>-0.60240963636808809</v>
      </c>
      <c r="AT659">
        <f t="shared" si="561"/>
        <v>-948.22996479609424</v>
      </c>
      <c r="AU659">
        <f t="shared" si="562"/>
        <v>-116.60661481991573</v>
      </c>
      <c r="AV659">
        <f t="shared" si="580"/>
        <v>-3.0192340411199683</v>
      </c>
      <c r="AW659">
        <f t="shared" si="581"/>
        <v>676.78281377040196</v>
      </c>
      <c r="AX659">
        <f t="shared" si="582"/>
        <v>-2066.5271070752342</v>
      </c>
      <c r="AY659">
        <f t="shared" si="590"/>
        <v>-1.2543070312895059</v>
      </c>
      <c r="BA659">
        <f t="shared" si="572"/>
        <v>0.43934732936644383</v>
      </c>
      <c r="BB659">
        <f t="shared" si="583"/>
        <v>-7.1438401834764012</v>
      </c>
      <c r="BC659">
        <f t="shared" si="584"/>
        <v>-1.7649270098304624</v>
      </c>
      <c r="BD659">
        <f t="shared" si="573"/>
        <v>-281.12286892747954</v>
      </c>
      <c r="BF659">
        <f t="shared" si="574"/>
        <v>-97.445109691189643</v>
      </c>
      <c r="BG659">
        <f t="shared" si="575"/>
        <v>-199.19504751353938</v>
      </c>
      <c r="BH659">
        <f t="shared" si="585"/>
        <v>-19.195047513539379</v>
      </c>
      <c r="BI659">
        <f t="shared" si="586"/>
        <v>-19.195047513539379</v>
      </c>
      <c r="BJ659">
        <f t="shared" si="576"/>
        <v>0</v>
      </c>
      <c r="BK659">
        <f t="shared" si="587"/>
        <v>0</v>
      </c>
      <c r="BM659">
        <f t="shared" si="588"/>
        <v>-90.301269507713258</v>
      </c>
      <c r="BN659">
        <f t="shared" si="577"/>
        <v>-98.07217858605982</v>
      </c>
      <c r="BQ659" s="56">
        <f t="shared" si="589"/>
        <v>9.7581206168087355</v>
      </c>
    </row>
    <row r="660" spans="1:69" x14ac:dyDescent="0.25">
      <c r="A660">
        <f t="shared" si="563"/>
        <v>8400000</v>
      </c>
      <c r="B660">
        <f t="shared" si="578"/>
        <v>8400</v>
      </c>
      <c r="C660">
        <f t="shared" si="539"/>
        <v>7.1949640633437779</v>
      </c>
      <c r="D660">
        <f t="shared" si="540"/>
        <v>1.4313588221270461</v>
      </c>
      <c r="F660">
        <f t="shared" si="541"/>
        <v>2.7958494288680151E-7</v>
      </c>
      <c r="G660">
        <f t="shared" si="542"/>
        <v>2.0680874257941677E-4</v>
      </c>
      <c r="H660">
        <f t="shared" si="564"/>
        <v>-3.1413858412574207</v>
      </c>
      <c r="J660">
        <f t="shared" si="565"/>
        <v>15</v>
      </c>
      <c r="M660">
        <f t="shared" si="543"/>
        <v>3.1781765057030951E-4</v>
      </c>
      <c r="N660">
        <f t="shared" si="566"/>
        <v>-1.5707963250000001</v>
      </c>
      <c r="O660">
        <f t="shared" si="544"/>
        <v>2264.208875535694</v>
      </c>
      <c r="P660">
        <f t="shared" si="567"/>
        <v>1.5703546714143728</v>
      </c>
      <c r="Q660">
        <f t="shared" si="545"/>
        <v>2144.6122255760733</v>
      </c>
      <c r="R660">
        <f t="shared" si="568"/>
        <v>1.5703300420165525</v>
      </c>
      <c r="S660">
        <f t="shared" si="546"/>
        <v>1.8320925480272306E-2</v>
      </c>
      <c r="T660">
        <f t="shared" si="569"/>
        <v>-1.5524743762374085</v>
      </c>
      <c r="U660">
        <f t="shared" si="547"/>
        <v>0.12100123800857977</v>
      </c>
      <c r="V660">
        <f t="shared" si="570"/>
        <v>-1.449497857025241</v>
      </c>
      <c r="X660">
        <f t="shared" si="548"/>
        <v>-79.723716648622471</v>
      </c>
      <c r="Y660">
        <f t="shared" si="549"/>
        <v>-180.02969147294692</v>
      </c>
      <c r="Z660">
        <f t="shared" si="579"/>
        <v>-2.9691472946922204E-2</v>
      </c>
      <c r="AC660">
        <v>1</v>
      </c>
      <c r="AD660">
        <f t="shared" si="550"/>
        <v>2264.2086547080003</v>
      </c>
      <c r="AE660">
        <f t="shared" si="551"/>
        <v>-1.4340254075677237</v>
      </c>
      <c r="AF660">
        <f t="shared" si="552"/>
        <v>0.17480324159423999</v>
      </c>
      <c r="AG660">
        <f t="shared" si="553"/>
        <v>188.96014058057085</v>
      </c>
      <c r="AH660">
        <f t="shared" si="554"/>
        <v>-1555.8844340050807</v>
      </c>
      <c r="AJ660">
        <f t="shared" si="571"/>
        <v>18000</v>
      </c>
      <c r="AK660">
        <f t="shared" si="555"/>
        <v>982318.21635023993</v>
      </c>
      <c r="AL660">
        <v>35</v>
      </c>
      <c r="AM660">
        <f t="shared" si="556"/>
        <v>2144.6119924336799</v>
      </c>
      <c r="AN660">
        <f t="shared" si="557"/>
        <v>458.05504152460674</v>
      </c>
      <c r="AO660">
        <f t="shared" si="558"/>
        <v>-0.91768280396745361</v>
      </c>
      <c r="AQ660">
        <f t="shared" si="559"/>
        <v>3.5430838876733138E-5</v>
      </c>
      <c r="AR660">
        <f t="shared" si="560"/>
        <v>-0.59523809312911669</v>
      </c>
      <c r="AT660">
        <f t="shared" si="561"/>
        <v>-926.11498861016423</v>
      </c>
      <c r="AU660">
        <f t="shared" si="562"/>
        <v>-112.53140004728085</v>
      </c>
      <c r="AV660">
        <f t="shared" si="580"/>
        <v>-3.0206763153912077</v>
      </c>
      <c r="AW660">
        <f t="shared" si="581"/>
        <v>671.90484158911897</v>
      </c>
      <c r="AX660">
        <f t="shared" si="582"/>
        <v>-2042.3201179787807</v>
      </c>
      <c r="AY660">
        <f t="shared" si="590"/>
        <v>-1.2529589927136651</v>
      </c>
      <c r="BA660">
        <f t="shared" si="572"/>
        <v>0.43391811594452201</v>
      </c>
      <c r="BB660">
        <f t="shared" si="583"/>
        <v>-7.2518443566919988</v>
      </c>
      <c r="BC660">
        <f t="shared" si="584"/>
        <v>-1.7677173226775427</v>
      </c>
      <c r="BD660">
        <f t="shared" si="573"/>
        <v>-281.28274207732107</v>
      </c>
      <c r="BF660">
        <f t="shared" si="574"/>
        <v>-97.659171019964703</v>
      </c>
      <c r="BG660">
        <f t="shared" si="575"/>
        <v>-199.26007323878386</v>
      </c>
      <c r="BH660">
        <f t="shared" si="585"/>
        <v>-19.26007323878386</v>
      </c>
      <c r="BI660">
        <f t="shared" si="586"/>
        <v>-19.26007323878386</v>
      </c>
      <c r="BJ660">
        <f t="shared" si="576"/>
        <v>0</v>
      </c>
      <c r="BK660">
        <f t="shared" si="587"/>
        <v>0</v>
      </c>
      <c r="BM660">
        <f t="shared" si="588"/>
        <v>-90.407326663272698</v>
      </c>
      <c r="BN660">
        <f t="shared" si="577"/>
        <v>-97.977331161462772</v>
      </c>
      <c r="BQ660" s="56">
        <f t="shared" si="589"/>
        <v>9.6501164435931379</v>
      </c>
    </row>
    <row r="661" spans="1:69" x14ac:dyDescent="0.25">
      <c r="A661">
        <f t="shared" si="563"/>
        <v>8500000</v>
      </c>
      <c r="B661">
        <f t="shared" si="578"/>
        <v>8500</v>
      </c>
      <c r="C661">
        <f t="shared" si="539"/>
        <v>7.278973348065521</v>
      </c>
      <c r="D661">
        <f t="shared" si="540"/>
        <v>1.4329784493502105</v>
      </c>
      <c r="F661">
        <f t="shared" si="541"/>
        <v>2.7304516882922542E-7</v>
      </c>
      <c r="G661">
        <f t="shared" si="542"/>
        <v>2.0437569724920471E-4</v>
      </c>
      <c r="H661">
        <f t="shared" si="564"/>
        <v>-3.1413882743027508</v>
      </c>
      <c r="J661">
        <f t="shared" si="565"/>
        <v>15</v>
      </c>
      <c r="M661">
        <f t="shared" si="543"/>
        <v>3.1407861938712939E-4</v>
      </c>
      <c r="N661">
        <f t="shared" si="566"/>
        <v>-1.5707963250000001</v>
      </c>
      <c r="O661">
        <f t="shared" si="544"/>
        <v>2291.1637378747214</v>
      </c>
      <c r="P661">
        <f t="shared" si="567"/>
        <v>1.5703598673593624</v>
      </c>
      <c r="Q661">
        <f t="shared" si="545"/>
        <v>2170.143317981242</v>
      </c>
      <c r="R661">
        <f t="shared" si="568"/>
        <v>1.5703355277190458</v>
      </c>
      <c r="S661">
        <f t="shared" si="546"/>
        <v>1.8105456256671534E-2</v>
      </c>
      <c r="T661">
        <f t="shared" si="569"/>
        <v>-1.5526898812080805</v>
      </c>
      <c r="U661">
        <f t="shared" si="547"/>
        <v>0.11959817545975952</v>
      </c>
      <c r="V661">
        <f t="shared" si="570"/>
        <v>-1.4509111838133217</v>
      </c>
      <c r="X661">
        <f t="shared" si="548"/>
        <v>-79.929743419857331</v>
      </c>
      <c r="Y661">
        <f t="shared" si="549"/>
        <v>-180.02974624389833</v>
      </c>
      <c r="Z661">
        <f t="shared" si="579"/>
        <v>-2.9746243898330249E-2</v>
      </c>
      <c r="AC661">
        <v>1</v>
      </c>
      <c r="AD661">
        <f t="shared" si="550"/>
        <v>2291.1635196450002</v>
      </c>
      <c r="AE661">
        <f t="shared" si="551"/>
        <v>-1.4683721045460323</v>
      </c>
      <c r="AF661">
        <f t="shared" si="552"/>
        <v>0.17688423256559999</v>
      </c>
      <c r="AG661">
        <f t="shared" si="553"/>
        <v>184.60339526890257</v>
      </c>
      <c r="AH661">
        <f t="shared" si="554"/>
        <v>-1538.1047370428669</v>
      </c>
      <c r="AJ661">
        <f t="shared" si="571"/>
        <v>18000</v>
      </c>
      <c r="AK661">
        <f t="shared" si="555"/>
        <v>994012.48083060002</v>
      </c>
      <c r="AL661">
        <v>36</v>
      </c>
      <c r="AM661">
        <f t="shared" si="556"/>
        <v>2170.1430875817</v>
      </c>
      <c r="AN661">
        <f t="shared" si="557"/>
        <v>458.0516086314513</v>
      </c>
      <c r="AO661">
        <f t="shared" si="558"/>
        <v>-0.69587212839065948</v>
      </c>
      <c r="AQ661">
        <f t="shared" si="559"/>
        <v>3.4602076004837107E-5</v>
      </c>
      <c r="AR661">
        <f t="shared" si="560"/>
        <v>-0.5882352920822308</v>
      </c>
      <c r="AT661">
        <f t="shared" si="561"/>
        <v>-904.76110158675976</v>
      </c>
      <c r="AU661">
        <f t="shared" si="562"/>
        <v>-108.64345375238896</v>
      </c>
      <c r="AV661">
        <f t="shared" si="580"/>
        <v>-3.0220851465144087</v>
      </c>
      <c r="AW661">
        <f t="shared" si="581"/>
        <v>667.19182933405261</v>
      </c>
      <c r="AX661">
        <f t="shared" si="582"/>
        <v>-2018.6620036833222</v>
      </c>
      <c r="AY661">
        <f t="shared" si="590"/>
        <v>-1.2515872013624025</v>
      </c>
      <c r="BA661">
        <f t="shared" si="572"/>
        <v>0.42861427958983817</v>
      </c>
      <c r="BB661">
        <f t="shared" si="583"/>
        <v>-7.3586672844668666</v>
      </c>
      <c r="BC661">
        <f t="shared" si="584"/>
        <v>-1.7704979451520062</v>
      </c>
      <c r="BD661">
        <f t="shared" si="573"/>
        <v>-281.44206000970911</v>
      </c>
      <c r="BF661">
        <f t="shared" si="574"/>
        <v>-97.870749585511803</v>
      </c>
      <c r="BG661">
        <f t="shared" si="575"/>
        <v>-199.32673277002297</v>
      </c>
      <c r="BH661">
        <f t="shared" si="585"/>
        <v>-19.326732770022971</v>
      </c>
      <c r="BI661">
        <f t="shared" si="586"/>
        <v>-19.326732770022971</v>
      </c>
      <c r="BJ661">
        <f t="shared" si="576"/>
        <v>0</v>
      </c>
      <c r="BK661">
        <f t="shared" si="587"/>
        <v>0</v>
      </c>
      <c r="BM661">
        <f t="shared" si="588"/>
        <v>-90.512082301044941</v>
      </c>
      <c r="BN661">
        <f t="shared" si="577"/>
        <v>-97.884672760313862</v>
      </c>
      <c r="BQ661" s="56">
        <f t="shared" si="589"/>
        <v>9.5432935158182701</v>
      </c>
    </row>
    <row r="662" spans="1:69" x14ac:dyDescent="0.25">
      <c r="A662">
        <f t="shared" si="563"/>
        <v>8600000</v>
      </c>
      <c r="B662">
        <f t="shared" si="578"/>
        <v>8600</v>
      </c>
      <c r="C662">
        <f t="shared" si="539"/>
        <v>7.3630012911904243</v>
      </c>
      <c r="D662">
        <f t="shared" si="540"/>
        <v>1.4345611136709044</v>
      </c>
      <c r="F662">
        <f t="shared" si="541"/>
        <v>2.6673219753877313E-7</v>
      </c>
      <c r="G662">
        <f t="shared" si="542"/>
        <v>2.0199923441308827E-4</v>
      </c>
      <c r="H662">
        <f t="shared" si="564"/>
        <v>-3.1413906507655871</v>
      </c>
      <c r="J662">
        <f t="shared" si="565"/>
        <v>15</v>
      </c>
      <c r="M662">
        <f t="shared" si="543"/>
        <v>3.1042654241751161E-4</v>
      </c>
      <c r="N662">
        <f t="shared" si="566"/>
        <v>-1.5707963250000001</v>
      </c>
      <c r="O662">
        <f t="shared" si="544"/>
        <v>2318.1186002741665</v>
      </c>
      <c r="P662">
        <f t="shared" si="567"/>
        <v>1.5703649424684445</v>
      </c>
      <c r="Q662">
        <f t="shared" si="545"/>
        <v>2195.6744104501981</v>
      </c>
      <c r="R662">
        <f t="shared" si="568"/>
        <v>1.5703408858470895</v>
      </c>
      <c r="S662">
        <f t="shared" si="546"/>
        <v>1.7894995509736999E-2</v>
      </c>
      <c r="T662">
        <f t="shared" si="569"/>
        <v>-1.5529003760591884</v>
      </c>
      <c r="U662">
        <f t="shared" si="547"/>
        <v>0.11822705009589395</v>
      </c>
      <c r="V662">
        <f t="shared" si="570"/>
        <v>-1.452292107324558</v>
      </c>
      <c r="X662">
        <f t="shared" si="548"/>
        <v>-80.133350683713672</v>
      </c>
      <c r="Y662">
        <f t="shared" si="549"/>
        <v>-180.02978619437536</v>
      </c>
      <c r="Z662">
        <f t="shared" si="579"/>
        <v>-2.9786194375361674E-2</v>
      </c>
      <c r="AC662">
        <v>1</v>
      </c>
      <c r="AD662">
        <f t="shared" si="550"/>
        <v>2318.1183845820001</v>
      </c>
      <c r="AE662">
        <f t="shared" si="551"/>
        <v>-1.5031252713110665</v>
      </c>
      <c r="AF662">
        <f t="shared" si="552"/>
        <v>0.17896522353695998</v>
      </c>
      <c r="AG662">
        <f t="shared" si="553"/>
        <v>180.39491148700898</v>
      </c>
      <c r="AH662">
        <f t="shared" si="554"/>
        <v>-1520.7208690790164</v>
      </c>
      <c r="AJ662">
        <f t="shared" si="571"/>
        <v>18000</v>
      </c>
      <c r="AK662">
        <f t="shared" si="555"/>
        <v>1005706.7453109601</v>
      </c>
      <c r="AL662">
        <v>37</v>
      </c>
      <c r="AM662">
        <f t="shared" si="556"/>
        <v>2195.6741827297201</v>
      </c>
      <c r="AN662">
        <f t="shared" si="557"/>
        <v>458.04814051799661</v>
      </c>
      <c r="AO662">
        <f t="shared" si="558"/>
        <v>-0.47922356108681718</v>
      </c>
      <c r="AQ662">
        <f t="shared" si="559"/>
        <v>3.3802055050696138E-5</v>
      </c>
      <c r="AR662">
        <f t="shared" si="560"/>
        <v>-0.58139534687197358</v>
      </c>
      <c r="AT662">
        <f t="shared" si="561"/>
        <v>-884.13393945491498</v>
      </c>
      <c r="AU662">
        <f t="shared" si="562"/>
        <v>-104.9321656284619</v>
      </c>
      <c r="AV662">
        <f t="shared" si="580"/>
        <v>-3.0234616789110884</v>
      </c>
      <c r="AW662">
        <f t="shared" si="581"/>
        <v>662.63640207837796</v>
      </c>
      <c r="AX662">
        <f t="shared" si="582"/>
        <v>-1995.5345419368603</v>
      </c>
      <c r="AY662">
        <f t="shared" si="590"/>
        <v>-1.2501925699761636</v>
      </c>
      <c r="BA662">
        <f t="shared" si="572"/>
        <v>0.42343145240308189</v>
      </c>
      <c r="BB662">
        <f t="shared" si="583"/>
        <v>-7.4643377162342546</v>
      </c>
      <c r="BC662">
        <f t="shared" si="584"/>
        <v>-1.7732691089349248</v>
      </c>
      <c r="BD662">
        <f t="shared" si="573"/>
        <v>-281.60083599899127</v>
      </c>
      <c r="BF662">
        <f t="shared" si="574"/>
        <v>-98.079906141975925</v>
      </c>
      <c r="BG662">
        <f t="shared" si="575"/>
        <v>-199.39496493453066</v>
      </c>
      <c r="BH662">
        <f t="shared" si="585"/>
        <v>-19.394964934530663</v>
      </c>
      <c r="BI662">
        <f t="shared" si="586"/>
        <v>-19.394964934530663</v>
      </c>
      <c r="BJ662">
        <f t="shared" si="576"/>
        <v>0</v>
      </c>
      <c r="BK662">
        <f t="shared" si="587"/>
        <v>0</v>
      </c>
      <c r="BM662">
        <f t="shared" si="588"/>
        <v>-90.615568425741657</v>
      </c>
      <c r="BN662">
        <f t="shared" si="577"/>
        <v>-97.794128935539391</v>
      </c>
      <c r="BQ662" s="56">
        <f t="shared" si="589"/>
        <v>9.4376230840508804</v>
      </c>
    </row>
    <row r="663" spans="1:69" x14ac:dyDescent="0.25">
      <c r="A663">
        <f t="shared" si="563"/>
        <v>8700000</v>
      </c>
      <c r="B663">
        <f t="shared" si="578"/>
        <v>8700</v>
      </c>
      <c r="C663">
        <f t="shared" si="539"/>
        <v>7.4470472611283602</v>
      </c>
      <c r="D663">
        <f t="shared" si="540"/>
        <v>1.4361080584922112</v>
      </c>
      <c r="F663">
        <f t="shared" si="541"/>
        <v>2.6063566146211393E-7</v>
      </c>
      <c r="G663">
        <f t="shared" si="542"/>
        <v>1.9967740294856814E-4</v>
      </c>
      <c r="H663">
        <f t="shared" si="564"/>
        <v>-3.1413929725970515</v>
      </c>
      <c r="J663">
        <f t="shared" si="565"/>
        <v>15</v>
      </c>
      <c r="M663">
        <f t="shared" si="543"/>
        <v>3.0685842124029885E-4</v>
      </c>
      <c r="N663">
        <f t="shared" si="566"/>
        <v>-1.5707963250000001</v>
      </c>
      <c r="O663">
        <f t="shared" si="544"/>
        <v>2345.0734627319466</v>
      </c>
      <c r="P663">
        <f t="shared" si="567"/>
        <v>1.5703699009083738</v>
      </c>
      <c r="Q663">
        <f t="shared" si="545"/>
        <v>2221.2055029807416</v>
      </c>
      <c r="R663">
        <f t="shared" si="568"/>
        <v>1.5703461207998011</v>
      </c>
      <c r="S663">
        <f t="shared" si="546"/>
        <v>1.7689370643384963E-2</v>
      </c>
      <c r="T663">
        <f t="shared" si="569"/>
        <v>-1.5531060334801192</v>
      </c>
      <c r="U663">
        <f t="shared" si="547"/>
        <v>0.11688679137123988</v>
      </c>
      <c r="V663">
        <f t="shared" si="570"/>
        <v>-1.4536417242015491</v>
      </c>
      <c r="X663">
        <f t="shared" si="548"/>
        <v>-80.33459470227146</v>
      </c>
      <c r="Y663">
        <f t="shared" si="549"/>
        <v>-180.02981243099737</v>
      </c>
      <c r="Z663">
        <f t="shared" si="579"/>
        <v>-2.9812430997367301E-2</v>
      </c>
      <c r="AC663">
        <v>1</v>
      </c>
      <c r="AD663">
        <f t="shared" si="550"/>
        <v>2345.0732495190005</v>
      </c>
      <c r="AE663">
        <f t="shared" si="551"/>
        <v>-1.5382849078628262</v>
      </c>
      <c r="AF663">
        <f t="shared" si="552"/>
        <v>0.18104621450831998</v>
      </c>
      <c r="AG663">
        <f t="shared" si="553"/>
        <v>176.32806839901406</v>
      </c>
      <c r="AH663">
        <f t="shared" si="554"/>
        <v>-1503.7199600674141</v>
      </c>
      <c r="AJ663">
        <f t="shared" si="571"/>
        <v>18000</v>
      </c>
      <c r="AK663">
        <f t="shared" si="555"/>
        <v>1017401.0097913201</v>
      </c>
      <c r="AL663">
        <v>38</v>
      </c>
      <c r="AM663">
        <f t="shared" si="556"/>
        <v>2221.2052778777397</v>
      </c>
      <c r="AN663">
        <f t="shared" si="557"/>
        <v>458.04464232482468</v>
      </c>
      <c r="AO663">
        <f t="shared" si="558"/>
        <v>-0.26755905794735568</v>
      </c>
      <c r="AQ663">
        <f t="shared" si="559"/>
        <v>3.3029462171259541E-5</v>
      </c>
      <c r="AR663">
        <f t="shared" si="560"/>
        <v>-0.57471264177991599</v>
      </c>
      <c r="AT663">
        <f t="shared" si="561"/>
        <v>-864.20104672626837</v>
      </c>
      <c r="AU663">
        <f t="shared" si="562"/>
        <v>-101.38763707108431</v>
      </c>
      <c r="AV663">
        <f t="shared" si="580"/>
        <v>-3.0248070056186638</v>
      </c>
      <c r="AW663">
        <f t="shared" si="581"/>
        <v>658.23159167737526</v>
      </c>
      <c r="AX663">
        <f t="shared" si="582"/>
        <v>-1972.9202975022947</v>
      </c>
      <c r="AY663">
        <f t="shared" si="590"/>
        <v>-1.2487759716510221</v>
      </c>
      <c r="BA663">
        <f t="shared" si="572"/>
        <v>0.4183654677284897</v>
      </c>
      <c r="BB663">
        <f t="shared" si="583"/>
        <v>-7.5688833945693625</v>
      </c>
      <c r="BC663">
        <f t="shared" si="584"/>
        <v>-1.7760310339676417</v>
      </c>
      <c r="BD663">
        <f t="shared" si="573"/>
        <v>-281.75908264687831</v>
      </c>
      <c r="BF663">
        <f t="shared" si="574"/>
        <v>-98.286699257946694</v>
      </c>
      <c r="BG663">
        <f t="shared" si="575"/>
        <v>-199.46471120405974</v>
      </c>
      <c r="BH663">
        <f t="shared" si="585"/>
        <v>-19.464711204059739</v>
      </c>
      <c r="BI663">
        <f t="shared" si="586"/>
        <v>-19.464711204059739</v>
      </c>
      <c r="BJ663">
        <f t="shared" si="576"/>
        <v>0</v>
      </c>
      <c r="BK663">
        <f t="shared" si="587"/>
        <v>0</v>
      </c>
      <c r="BM663">
        <f t="shared" si="588"/>
        <v>-90.717815863377339</v>
      </c>
      <c r="BN663">
        <f t="shared" si="577"/>
        <v>-97.705628557181427</v>
      </c>
      <c r="BQ663" s="56">
        <f t="shared" si="589"/>
        <v>9.3330774057157733</v>
      </c>
    </row>
    <row r="664" spans="1:69" x14ac:dyDescent="0.25">
      <c r="A664">
        <f t="shared" si="563"/>
        <v>8800000</v>
      </c>
      <c r="B664">
        <f t="shared" si="578"/>
        <v>8800</v>
      </c>
      <c r="C664">
        <f t="shared" si="539"/>
        <v>7.531110654350452</v>
      </c>
      <c r="D664">
        <f t="shared" si="540"/>
        <v>1.4376204724028414</v>
      </c>
      <c r="F664">
        <f t="shared" si="541"/>
        <v>2.5474577874519631E-7</v>
      </c>
      <c r="G664">
        <f t="shared" si="542"/>
        <v>1.9740834042064376E-4</v>
      </c>
      <c r="H664">
        <f t="shared" si="564"/>
        <v>-3.1413952416595796</v>
      </c>
      <c r="J664">
        <f t="shared" si="565"/>
        <v>15</v>
      </c>
      <c r="M664">
        <f t="shared" si="543"/>
        <v>3.033713937262045E-4</v>
      </c>
      <c r="N664">
        <f t="shared" si="566"/>
        <v>-1.5707963250000001</v>
      </c>
      <c r="O664">
        <f t="shared" si="544"/>
        <v>2372.0283252460727</v>
      </c>
      <c r="P664">
        <f t="shared" si="567"/>
        <v>1.5703747466565068</v>
      </c>
      <c r="Q664">
        <f t="shared" si="545"/>
        <v>2246.7365955707728</v>
      </c>
      <c r="R664">
        <f t="shared" si="568"/>
        <v>1.5703512367763386</v>
      </c>
      <c r="S664">
        <f t="shared" si="546"/>
        <v>1.7488416900666954E-2</v>
      </c>
      <c r="T664">
        <f t="shared" si="569"/>
        <v>-1.5533070183148376</v>
      </c>
      <c r="U664">
        <f t="shared" si="547"/>
        <v>0.11557637571958898</v>
      </c>
      <c r="V664">
        <f t="shared" si="570"/>
        <v>-1.4549610823774199</v>
      </c>
      <c r="X664">
        <f t="shared" si="548"/>
        <v>-80.533529795094992</v>
      </c>
      <c r="Y664">
        <f t="shared" si="549"/>
        <v>-180.02982597788642</v>
      </c>
      <c r="Z664">
        <f t="shared" si="579"/>
        <v>-2.9825977886417832E-2</v>
      </c>
      <c r="AC664">
        <v>1</v>
      </c>
      <c r="AD664">
        <f t="shared" si="550"/>
        <v>2372.0281144559999</v>
      </c>
      <c r="AE664">
        <f t="shared" si="551"/>
        <v>-1.5738510142013111</v>
      </c>
      <c r="AF664">
        <f t="shared" si="552"/>
        <v>0.18312720547968001</v>
      </c>
      <c r="AG664">
        <f t="shared" si="553"/>
        <v>172.39660897379187</v>
      </c>
      <c r="AH664">
        <f t="shared" si="554"/>
        <v>-1487.0896826331293</v>
      </c>
      <c r="AJ664">
        <f t="shared" si="571"/>
        <v>18000</v>
      </c>
      <c r="AK664">
        <f t="shared" si="555"/>
        <v>1029095.2742716802</v>
      </c>
      <c r="AL664">
        <v>39</v>
      </c>
      <c r="AM664">
        <f t="shared" si="556"/>
        <v>2246.7363730257598</v>
      </c>
      <c r="AN664">
        <f t="shared" si="557"/>
        <v>458.04111878231708</v>
      </c>
      <c r="AO664">
        <f t="shared" si="558"/>
        <v>-6.0708665746103563E-2</v>
      </c>
      <c r="AQ664">
        <f t="shared" si="559"/>
        <v>3.2283057747020086E-5</v>
      </c>
      <c r="AR664">
        <f t="shared" si="560"/>
        <v>-0.56818181634755349</v>
      </c>
      <c r="AT664">
        <f t="shared" si="561"/>
        <v>-844.93175146051533</v>
      </c>
      <c r="AU664">
        <f t="shared" si="562"/>
        <v>-98.000626220987456</v>
      </c>
      <c r="AV664">
        <f t="shared" si="580"/>
        <v>-3.0261221711289492</v>
      </c>
      <c r="AW664">
        <f t="shared" si="581"/>
        <v>653.9708102333359</v>
      </c>
      <c r="AX664">
        <f t="shared" si="582"/>
        <v>-1950.8025807364102</v>
      </c>
      <c r="AY664">
        <f t="shared" si="590"/>
        <v>-1.2473382419991956</v>
      </c>
      <c r="BA664">
        <f t="shared" si="572"/>
        <v>0.41341234869460269</v>
      </c>
      <c r="BB664">
        <f t="shared" si="583"/>
        <v>-7.6723311013527695</v>
      </c>
      <c r="BC664">
        <f t="shared" si="584"/>
        <v>-1.7787839291297536</v>
      </c>
      <c r="BD664">
        <f t="shared" si="573"/>
        <v>-281.91681192128954</v>
      </c>
      <c r="BF664">
        <f t="shared" si="574"/>
        <v>-98.491185420223601</v>
      </c>
      <c r="BG664">
        <f t="shared" si="575"/>
        <v>-199.53591555212242</v>
      </c>
      <c r="BH664">
        <f t="shared" si="585"/>
        <v>-19.535915552122418</v>
      </c>
      <c r="BI664">
        <f t="shared" si="586"/>
        <v>-19.535915552122418</v>
      </c>
      <c r="BJ664">
        <f t="shared" si="576"/>
        <v>0</v>
      </c>
      <c r="BK664">
        <f t="shared" si="587"/>
        <v>0</v>
      </c>
      <c r="BM664">
        <f t="shared" si="588"/>
        <v>-90.818854318870819</v>
      </c>
      <c r="BN664">
        <f t="shared" si="577"/>
        <v>-97.619103630832868</v>
      </c>
      <c r="BQ664" s="56">
        <f t="shared" si="589"/>
        <v>9.2296296989323672</v>
      </c>
    </row>
    <row r="665" spans="1:69" x14ac:dyDescent="0.25">
      <c r="A665">
        <f t="shared" si="563"/>
        <v>8900000</v>
      </c>
      <c r="B665">
        <f t="shared" si="578"/>
        <v>8900</v>
      </c>
      <c r="C665">
        <f t="shared" si="539"/>
        <v>7.6151908938546171</v>
      </c>
      <c r="D665">
        <f t="shared" si="540"/>
        <v>1.4390994921464459</v>
      </c>
      <c r="F665">
        <f t="shared" si="541"/>
        <v>2.4905331397142934E-7</v>
      </c>
      <c r="G665">
        <f t="shared" si="542"/>
        <v>1.95190268099362E-4</v>
      </c>
      <c r="H665">
        <f t="shared" si="564"/>
        <v>-3.141397459731901</v>
      </c>
      <c r="J665">
        <f t="shared" si="565"/>
        <v>15</v>
      </c>
      <c r="M665">
        <f t="shared" si="543"/>
        <v>2.9996272638096625E-4</v>
      </c>
      <c r="N665">
        <f t="shared" si="566"/>
        <v>-1.5707963250000001</v>
      </c>
      <c r="O665">
        <f t="shared" si="544"/>
        <v>2398.9831878146451</v>
      </c>
      <c r="P665">
        <f t="shared" si="567"/>
        <v>1.5703794835114426</v>
      </c>
      <c r="Q665">
        <f t="shared" si="545"/>
        <v>2272.2676882182873</v>
      </c>
      <c r="R665">
        <f t="shared" si="568"/>
        <v>1.5703562377871336</v>
      </c>
      <c r="S665">
        <f t="shared" si="546"/>
        <v>1.7291976923775772E-2</v>
      </c>
      <c r="T665">
        <f t="shared" si="569"/>
        <v>-1.5535034880023697</v>
      </c>
      <c r="U665">
        <f t="shared" si="547"/>
        <v>0.11429482402381153</v>
      </c>
      <c r="V665">
        <f t="shared" si="570"/>
        <v>-1.4562511837382988</v>
      </c>
      <c r="X665">
        <f t="shared" si="548"/>
        <v>-80.730208427728613</v>
      </c>
      <c r="Y665">
        <f t="shared" si="549"/>
        <v>-180.02982778335644</v>
      </c>
      <c r="Z665">
        <f t="shared" si="579"/>
        <v>-2.9827783356438431E-2</v>
      </c>
      <c r="AC665">
        <v>1</v>
      </c>
      <c r="AD665">
        <f t="shared" si="550"/>
        <v>2398.9829793930003</v>
      </c>
      <c r="AE665">
        <f t="shared" si="551"/>
        <v>-1.6098235903265219</v>
      </c>
      <c r="AF665">
        <f t="shared" si="552"/>
        <v>0.18520819645104</v>
      </c>
      <c r="AG665">
        <f t="shared" si="553"/>
        <v>168.59461636745291</v>
      </c>
      <c r="AH665">
        <f t="shared" si="554"/>
        <v>-1470.8182243024373</v>
      </c>
      <c r="AJ665">
        <f t="shared" si="571"/>
        <v>18000</v>
      </c>
      <c r="AK665">
        <f t="shared" si="555"/>
        <v>1040789.53875204</v>
      </c>
      <c r="AL665">
        <v>40</v>
      </c>
      <c r="AM665">
        <f t="shared" si="556"/>
        <v>2272.2674681737799</v>
      </c>
      <c r="AN665">
        <f t="shared" si="557"/>
        <v>458.03757424350852</v>
      </c>
      <c r="AO665">
        <f t="shared" si="558"/>
        <v>0.1414899320803702</v>
      </c>
      <c r="AQ665">
        <f t="shared" si="559"/>
        <v>3.1561671406509055E-5</v>
      </c>
      <c r="AR665">
        <f t="shared" si="560"/>
        <v>-0.56179775103586116</v>
      </c>
      <c r="AT665">
        <f t="shared" si="561"/>
        <v>-826.29704946778543</v>
      </c>
      <c r="AU665">
        <f t="shared" si="562"/>
        <v>-94.762497793482964</v>
      </c>
      <c r="AV665">
        <f t="shared" si="580"/>
        <v>-3.0274081740414274</v>
      </c>
      <c r="AW665">
        <f t="shared" si="581"/>
        <v>649.8478255494756</v>
      </c>
      <c r="AX665">
        <f t="shared" si="582"/>
        <v>-1929.1654087156508</v>
      </c>
      <c r="AY665">
        <f t="shared" si="590"/>
        <v>-1.245880181169984</v>
      </c>
      <c r="BA665">
        <f t="shared" si="572"/>
        <v>0.40856829752947849</v>
      </c>
      <c r="BB665">
        <f t="shared" si="583"/>
        <v>-7.774706701313808</v>
      </c>
      <c r="BC665">
        <f t="shared" si="584"/>
        <v>-1.7815279928714434</v>
      </c>
      <c r="BD665">
        <f t="shared" si="573"/>
        <v>-282.07403519258293</v>
      </c>
      <c r="BF665">
        <f t="shared" si="574"/>
        <v>-98.69341913146927</v>
      </c>
      <c r="BG665">
        <f t="shared" si="575"/>
        <v>-199.60852432037669</v>
      </c>
      <c r="BH665">
        <f t="shared" si="585"/>
        <v>-19.608524320376688</v>
      </c>
      <c r="BI665">
        <f t="shared" si="586"/>
        <v>-19.608524320376688</v>
      </c>
      <c r="BJ665">
        <f t="shared" si="576"/>
        <v>0</v>
      </c>
      <c r="BK665">
        <f t="shared" si="587"/>
        <v>0</v>
      </c>
      <c r="BM665">
        <f t="shared" si="588"/>
        <v>-90.918712430155466</v>
      </c>
      <c r="BN665">
        <f t="shared" si="577"/>
        <v>-97.53448912779379</v>
      </c>
      <c r="BQ665" s="56">
        <f t="shared" si="589"/>
        <v>9.1272540989713278</v>
      </c>
    </row>
    <row r="666" spans="1:69" x14ac:dyDescent="0.25">
      <c r="A666">
        <f t="shared" si="563"/>
        <v>9000000</v>
      </c>
      <c r="B666">
        <f t="shared" si="578"/>
        <v>9000</v>
      </c>
      <c r="C666">
        <f t="shared" si="539"/>
        <v>7.6992874277302814</v>
      </c>
      <c r="D666">
        <f t="shared" si="540"/>
        <v>1.4405462054011642</v>
      </c>
      <c r="F666">
        <f t="shared" si="541"/>
        <v>2.4354954193643379E-7</v>
      </c>
      <c r="G666">
        <f t="shared" si="542"/>
        <v>1.9302148630953028E-4</v>
      </c>
      <c r="H666">
        <f t="shared" si="564"/>
        <v>-3.1413996285136907</v>
      </c>
      <c r="J666">
        <f t="shared" si="565"/>
        <v>15</v>
      </c>
      <c r="M666">
        <f t="shared" si="543"/>
        <v>2.9662980719895554E-4</v>
      </c>
      <c r="N666">
        <f t="shared" si="566"/>
        <v>-1.5707963250000001</v>
      </c>
      <c r="O666">
        <f t="shared" si="544"/>
        <v>2425.9380504358492</v>
      </c>
      <c r="P666">
        <f t="shared" si="567"/>
        <v>1.5703841151029534</v>
      </c>
      <c r="Q666">
        <f t="shared" si="545"/>
        <v>2297.7987809213687</v>
      </c>
      <c r="R666">
        <f t="shared" si="568"/>
        <v>1.5703611276643767</v>
      </c>
      <c r="S666">
        <f t="shared" si="546"/>
        <v>1.709990034335326E-2</v>
      </c>
      <c r="T666">
        <f t="shared" si="569"/>
        <v>-1.5536955929879392</v>
      </c>
      <c r="U666">
        <f t="shared" si="547"/>
        <v>0.11304119924599247</v>
      </c>
      <c r="V666">
        <f t="shared" si="570"/>
        <v>-1.4575129866138379</v>
      </c>
      <c r="X666">
        <f t="shared" si="548"/>
        <v>-80.924681295206625</v>
      </c>
      <c r="Y666">
        <f t="shared" si="549"/>
        <v>-180.02981872600677</v>
      </c>
      <c r="Z666">
        <f t="shared" si="579"/>
        <v>-2.9818726006766383E-2</v>
      </c>
      <c r="AC666">
        <v>1</v>
      </c>
      <c r="AD666">
        <f t="shared" si="550"/>
        <v>2425.9378443299997</v>
      </c>
      <c r="AE666">
        <f t="shared" si="551"/>
        <v>-1.6462026362384581</v>
      </c>
      <c r="AF666">
        <f t="shared" si="552"/>
        <v>0.1872891874224</v>
      </c>
      <c r="AG666">
        <f t="shared" si="553"/>
        <v>164.91649206711446</v>
      </c>
      <c r="AH666">
        <f t="shared" si="554"/>
        <v>-1454.8942613837885</v>
      </c>
      <c r="AJ666">
        <f t="shared" si="571"/>
        <v>18000</v>
      </c>
      <c r="AK666">
        <f t="shared" si="555"/>
        <v>1052483.8032324</v>
      </c>
      <c r="AL666">
        <v>41</v>
      </c>
      <c r="AM666">
        <f t="shared" si="556"/>
        <v>2297.7985633218</v>
      </c>
      <c r="AN666">
        <f t="shared" si="557"/>
        <v>458.03401271410274</v>
      </c>
      <c r="AO666">
        <f t="shared" si="558"/>
        <v>0.33919183940627295</v>
      </c>
      <c r="AQ666">
        <f t="shared" si="559"/>
        <v>3.0864197435604332E-5</v>
      </c>
      <c r="AR666">
        <f t="shared" si="560"/>
        <v>-0.55555555384087796</v>
      </c>
      <c r="AT666">
        <f t="shared" si="561"/>
        <v>-808.26949714781415</v>
      </c>
      <c r="AU666">
        <f t="shared" si="562"/>
        <v>-91.665177231571803</v>
      </c>
      <c r="AV666">
        <f t="shared" si="580"/>
        <v>-3.0286659695451794</v>
      </c>
      <c r="AW666">
        <f t="shared" si="581"/>
        <v>645.856738405079</v>
      </c>
      <c r="AX666">
        <f t="shared" si="582"/>
        <v>-1907.9934687311879</v>
      </c>
      <c r="AY666">
        <f t="shared" si="590"/>
        <v>-1.2444025557414644</v>
      </c>
      <c r="BA666">
        <f t="shared" si="572"/>
        <v>0.40382968558994953</v>
      </c>
      <c r="BB666">
        <f t="shared" si="583"/>
        <v>-7.8760351831304849</v>
      </c>
      <c r="BC666">
        <f t="shared" si="584"/>
        <v>-1.784263413803715</v>
      </c>
      <c r="BD666">
        <f t="shared" si="573"/>
        <v>-282.23076326737294</v>
      </c>
      <c r="BF666">
        <f t="shared" si="574"/>
        <v>-98.893453002179101</v>
      </c>
      <c r="BG666">
        <f t="shared" si="575"/>
        <v>-199.68248609345437</v>
      </c>
      <c r="BH666">
        <f t="shared" si="585"/>
        <v>-19.682486093454372</v>
      </c>
      <c r="BI666">
        <f t="shared" si="586"/>
        <v>-19.682486093454372</v>
      </c>
      <c r="BJ666">
        <f t="shared" si="576"/>
        <v>0</v>
      </c>
      <c r="BK666">
        <f t="shared" si="587"/>
        <v>0</v>
      </c>
      <c r="BM666">
        <f t="shared" si="588"/>
        <v>-91.017417819048617</v>
      </c>
      <c r="BN666">
        <f t="shared" si="577"/>
        <v>-97.451722826081465</v>
      </c>
      <c r="BQ666" s="56">
        <f t="shared" si="589"/>
        <v>9.0259256171546518</v>
      </c>
    </row>
    <row r="667" spans="1:69" x14ac:dyDescent="0.25">
      <c r="A667">
        <f t="shared" si="563"/>
        <v>9100000</v>
      </c>
      <c r="B667">
        <f t="shared" si="578"/>
        <v>9100</v>
      </c>
      <c r="C667">
        <f t="shared" si="539"/>
        <v>7.7833997278148805</v>
      </c>
      <c r="D667">
        <f t="shared" si="540"/>
        <v>1.4419616533833188</v>
      </c>
      <c r="F667">
        <f t="shared" si="541"/>
        <v>2.3822621419389639E-7</v>
      </c>
      <c r="G667">
        <f t="shared" si="542"/>
        <v>1.9090037008704188E-4</v>
      </c>
      <c r="H667">
        <f t="shared" si="564"/>
        <v>-3.1414017496299134</v>
      </c>
      <c r="J667">
        <f t="shared" si="565"/>
        <v>15</v>
      </c>
      <c r="M667">
        <f t="shared" si="543"/>
        <v>2.9337013898797796E-4</v>
      </c>
      <c r="N667">
        <f t="shared" si="566"/>
        <v>-1.5707963250000001</v>
      </c>
      <c r="O667">
        <f t="shared" si="544"/>
        <v>2452.8929131079499</v>
      </c>
      <c r="P667">
        <f t="shared" si="567"/>
        <v>1.5703886449012612</v>
      </c>
      <c r="Q667">
        <f t="shared" si="545"/>
        <v>2323.3298736781849</v>
      </c>
      <c r="R667">
        <f t="shared" si="568"/>
        <v>1.5703659100718106</v>
      </c>
      <c r="S667">
        <f t="shared" si="546"/>
        <v>1.6912043394848683E-2</v>
      </c>
      <c r="T667">
        <f t="shared" si="569"/>
        <v>-1.5538834771070178</v>
      </c>
      <c r="U667">
        <f t="shared" si="547"/>
        <v>0.11181460420648795</v>
      </c>
      <c r="V667">
        <f t="shared" si="570"/>
        <v>-1.4587474081085365</v>
      </c>
      <c r="X667">
        <f t="shared" si="548"/>
        <v>-81.116997400910378</v>
      </c>
      <c r="Y667">
        <f t="shared" si="549"/>
        <v>-180.02979962027663</v>
      </c>
      <c r="Z667">
        <f t="shared" si="579"/>
        <v>-2.9799620276634187E-2</v>
      </c>
      <c r="AC667">
        <v>1</v>
      </c>
      <c r="AD667">
        <f t="shared" si="550"/>
        <v>2452.8927092670001</v>
      </c>
      <c r="AE667">
        <f t="shared" si="551"/>
        <v>-1.6829881519371201</v>
      </c>
      <c r="AF667">
        <f t="shared" si="552"/>
        <v>0.18937017839376</v>
      </c>
      <c r="AG667">
        <f t="shared" si="553"/>
        <v>161.3569356481342</v>
      </c>
      <c r="AH667">
        <f t="shared" si="554"/>
        <v>-1439.3069343893669</v>
      </c>
      <c r="AJ667">
        <f t="shared" si="571"/>
        <v>18000</v>
      </c>
      <c r="AK667">
        <f t="shared" si="555"/>
        <v>1064178.0677127601</v>
      </c>
      <c r="AL667">
        <v>42</v>
      </c>
      <c r="AM667">
        <f t="shared" si="556"/>
        <v>2323.3296584698201</v>
      </c>
      <c r="AN667">
        <f t="shared" si="557"/>
        <v>458.03043787991902</v>
      </c>
      <c r="AO667">
        <f t="shared" si="558"/>
        <v>0.53254534346687965</v>
      </c>
      <c r="AQ667">
        <f t="shared" si="559"/>
        <v>3.018959053800993E-5</v>
      </c>
      <c r="AR667">
        <f t="shared" si="560"/>
        <v>-0.54945054779178071</v>
      </c>
      <c r="AT667">
        <f t="shared" si="561"/>
        <v>-790.82311224092859</v>
      </c>
      <c r="AU667">
        <f t="shared" si="562"/>
        <v>-88.701108768878186</v>
      </c>
      <c r="AV667">
        <f t="shared" si="580"/>
        <v>-3.0298964717421786</v>
      </c>
      <c r="AW667">
        <f t="shared" si="581"/>
        <v>641.99196149977854</v>
      </c>
      <c r="AX667">
        <f t="shared" si="582"/>
        <v>-1887.2720839895171</v>
      </c>
      <c r="AY667">
        <f t="shared" si="590"/>
        <v>-1.242906100492424</v>
      </c>
      <c r="BA667">
        <f t="shared" si="572"/>
        <v>0.39919304404984168</v>
      </c>
      <c r="BB667">
        <f t="shared" si="583"/>
        <v>-7.9763406982489364</v>
      </c>
      <c r="BC667">
        <f t="shared" si="584"/>
        <v>-1.7869903712497546</v>
      </c>
      <c r="BD667">
        <f t="shared" si="573"/>
        <v>-282.38700642012128</v>
      </c>
      <c r="BF667">
        <f t="shared" si="574"/>
        <v>-99.091337837360697</v>
      </c>
      <c r="BG667">
        <f t="shared" si="575"/>
        <v>-199.75775158161983</v>
      </c>
      <c r="BH667">
        <f t="shared" si="585"/>
        <v>-19.757751581619829</v>
      </c>
      <c r="BI667">
        <f t="shared" si="586"/>
        <v>-19.757751581619829</v>
      </c>
      <c r="BJ667">
        <f t="shared" si="576"/>
        <v>0</v>
      </c>
      <c r="BK667">
        <f t="shared" si="587"/>
        <v>0</v>
      </c>
      <c r="BM667">
        <f t="shared" si="588"/>
        <v>-91.114997139111779</v>
      </c>
      <c r="BN667">
        <f t="shared" si="577"/>
        <v>-97.370745161498576</v>
      </c>
      <c r="BQ667" s="56">
        <f t="shared" si="589"/>
        <v>8.925620102036202</v>
      </c>
    </row>
    <row r="668" spans="1:69" x14ac:dyDescent="0.25">
      <c r="A668">
        <f t="shared" si="563"/>
        <v>9200000</v>
      </c>
      <c r="B668">
        <f t="shared" si="578"/>
        <v>9200</v>
      </c>
      <c r="C668">
        <f t="shared" si="539"/>
        <v>7.8675272884354097</v>
      </c>
      <c r="D668">
        <f t="shared" si="540"/>
        <v>1.4433468332880213</v>
      </c>
      <c r="F668">
        <f t="shared" si="541"/>
        <v>2.3307552813288525E-7</v>
      </c>
      <c r="G668">
        <f t="shared" si="542"/>
        <v>1.8882536511848541E-4</v>
      </c>
      <c r="H668">
        <f t="shared" si="564"/>
        <v>-3.1414038246348817</v>
      </c>
      <c r="J668">
        <f t="shared" si="565"/>
        <v>15</v>
      </c>
      <c r="M668">
        <f t="shared" si="543"/>
        <v>2.9018133312941303E-4</v>
      </c>
      <c r="N668">
        <f t="shared" si="566"/>
        <v>-1.5707963250000001</v>
      </c>
      <c r="O668">
        <f t="shared" si="544"/>
        <v>2479.8477758292875</v>
      </c>
      <c r="P668">
        <f t="shared" si="567"/>
        <v>1.570393076225709</v>
      </c>
      <c r="Q668">
        <f t="shared" si="545"/>
        <v>2348.8609664869837</v>
      </c>
      <c r="R668">
        <f t="shared" si="568"/>
        <v>1.5703705885138843</v>
      </c>
      <c r="S668">
        <f t="shared" si="546"/>
        <v>1.6728268559871803E-2</v>
      </c>
      <c r="T668">
        <f t="shared" si="569"/>
        <v>-1.5540672779443432</v>
      </c>
      <c r="U668">
        <f t="shared" si="547"/>
        <v>0.1106141795011798</v>
      </c>
      <c r="V668">
        <f t="shared" si="570"/>
        <v>-1.4599553262855587</v>
      </c>
      <c r="X668">
        <f t="shared" si="548"/>
        <v>-81.307204131080439</v>
      </c>
      <c r="Y668">
        <f t="shared" si="549"/>
        <v>-180.02977122151415</v>
      </c>
      <c r="Z668">
        <f t="shared" si="579"/>
        <v>-2.9771221514153012E-2</v>
      </c>
      <c r="AC668">
        <v>1</v>
      </c>
      <c r="AD668">
        <f t="shared" si="550"/>
        <v>2479.847574204</v>
      </c>
      <c r="AE668">
        <f t="shared" si="551"/>
        <v>-1.7201801374225076</v>
      </c>
      <c r="AF668">
        <f t="shared" si="552"/>
        <v>0.19145116936511999</v>
      </c>
      <c r="AG668">
        <f t="shared" si="553"/>
        <v>157.9109260107295</v>
      </c>
      <c r="AH668">
        <f t="shared" si="554"/>
        <v>-1424.0458248949346</v>
      </c>
      <c r="AJ668">
        <f t="shared" si="571"/>
        <v>18000</v>
      </c>
      <c r="AK668">
        <f t="shared" si="555"/>
        <v>1075872.3321931201</v>
      </c>
      <c r="AL668">
        <v>43</v>
      </c>
      <c r="AM668">
        <f t="shared" si="556"/>
        <v>2348.8607536178401</v>
      </c>
      <c r="AN668">
        <f t="shared" si="557"/>
        <v>458.02685313200988</v>
      </c>
      <c r="AO668">
        <f t="shared" si="558"/>
        <v>0.72169228510692118</v>
      </c>
      <c r="AQ668">
        <f t="shared" si="559"/>
        <v>2.9536861916538098E-5</v>
      </c>
      <c r="AR668">
        <f t="shared" si="560"/>
        <v>-0.54347825926430093</v>
      </c>
      <c r="AT668">
        <f t="shared" si="561"/>
        <v>-773.93328183327787</v>
      </c>
      <c r="AU668">
        <f t="shared" si="562"/>
        <v>-85.863217032017829</v>
      </c>
      <c r="AV668">
        <f t="shared" si="580"/>
        <v>-3.0311005558236093</v>
      </c>
      <c r="AW668">
        <f t="shared" si="581"/>
        <v>638.2481999289389</v>
      </c>
      <c r="AX668">
        <f t="shared" si="582"/>
        <v>-1866.9871813672985</v>
      </c>
      <c r="AY668">
        <f t="shared" si="590"/>
        <v>-1.2413915200632168</v>
      </c>
      <c r="BA668">
        <f t="shared" si="572"/>
        <v>0.39465505519687816</v>
      </c>
      <c r="BB668">
        <f t="shared" si="583"/>
        <v>-8.0756465975727636</v>
      </c>
      <c r="BC668">
        <f t="shared" si="584"/>
        <v>-1.7897090357603924</v>
      </c>
      <c r="BD668">
        <f t="shared" si="573"/>
        <v>-282.54277442267079</v>
      </c>
      <c r="BF668">
        <f t="shared" si="574"/>
        <v>-99.287122718285303</v>
      </c>
      <c r="BG668">
        <f t="shared" si="575"/>
        <v>-199.8342735107002</v>
      </c>
      <c r="BH668">
        <f t="shared" si="585"/>
        <v>-19.8342735107002</v>
      </c>
      <c r="BI668">
        <f t="shared" si="586"/>
        <v>-19.8342735107002</v>
      </c>
      <c r="BJ668">
        <f t="shared" si="576"/>
        <v>0</v>
      </c>
      <c r="BK668">
        <f t="shared" si="587"/>
        <v>0</v>
      </c>
      <c r="BM668">
        <f t="shared" si="588"/>
        <v>-91.211476120712547</v>
      </c>
      <c r="BN668">
        <f t="shared" si="577"/>
        <v>-97.291499088029383</v>
      </c>
      <c r="BQ668" s="56">
        <f t="shared" si="589"/>
        <v>8.8263142027123713</v>
      </c>
    </row>
    <row r="669" spans="1:69" x14ac:dyDescent="0.25">
      <c r="A669">
        <f t="shared" si="563"/>
        <v>9300000</v>
      </c>
      <c r="B669">
        <f t="shared" si="578"/>
        <v>9300</v>
      </c>
      <c r="C669">
        <f t="shared" si="539"/>
        <v>7.9516696252288313</v>
      </c>
      <c r="D669">
        <f t="shared" si="540"/>
        <v>1.4447027005784145</v>
      </c>
      <c r="F669">
        <f t="shared" si="541"/>
        <v>2.2809009837005094E-7</v>
      </c>
      <c r="G669">
        <f t="shared" si="542"/>
        <v>1.8679498394271496E-4</v>
      </c>
      <c r="H669">
        <f t="shared" si="564"/>
        <v>-3.1414058550160573</v>
      </c>
      <c r="J669">
        <f t="shared" si="565"/>
        <v>15</v>
      </c>
      <c r="M669">
        <f t="shared" si="543"/>
        <v>2.8706110374092467E-4</v>
      </c>
      <c r="N669">
        <f t="shared" si="566"/>
        <v>-1.5707963250000001</v>
      </c>
      <c r="O669">
        <f t="shared" si="544"/>
        <v>2506.8026385982739</v>
      </c>
      <c r="P669">
        <f t="shared" si="567"/>
        <v>1.5703974122528721</v>
      </c>
      <c r="Q669">
        <f t="shared" si="545"/>
        <v>2374.3920593460884</v>
      </c>
      <c r="R669">
        <f t="shared" si="568"/>
        <v>1.5703751663443188</v>
      </c>
      <c r="S669">
        <f t="shared" si="546"/>
        <v>1.6548444230661537E-2</v>
      </c>
      <c r="T669">
        <f t="shared" si="569"/>
        <v>-1.5542471271697906</v>
      </c>
      <c r="U669">
        <f t="shared" si="547"/>
        <v>0.10943910154707301</v>
      </c>
      <c r="V669">
        <f t="shared" si="570"/>
        <v>-1.4611375822137751</v>
      </c>
      <c r="X669">
        <f t="shared" si="548"/>
        <v>-81.495347325268312</v>
      </c>
      <c r="Y669">
        <f t="shared" si="549"/>
        <v>-180.02973423060533</v>
      </c>
      <c r="Z669">
        <f t="shared" si="579"/>
        <v>-2.9734230605328094E-2</v>
      </c>
      <c r="AC669">
        <v>1</v>
      </c>
      <c r="AD669">
        <f t="shared" si="550"/>
        <v>2506.8024391409999</v>
      </c>
      <c r="AE669">
        <f t="shared" si="551"/>
        <v>-1.7577785926946206</v>
      </c>
      <c r="AF669">
        <f t="shared" si="552"/>
        <v>0.19353216033647999</v>
      </c>
      <c r="AG669">
        <f t="shared" si="553"/>
        <v>154.57370397425254</v>
      </c>
      <c r="AH669">
        <f t="shared" si="554"/>
        <v>-1409.1009337431167</v>
      </c>
      <c r="AJ669">
        <f t="shared" si="571"/>
        <v>18000</v>
      </c>
      <c r="AK669">
        <f t="shared" si="555"/>
        <v>1087566.59667348</v>
      </c>
      <c r="AL669">
        <v>44</v>
      </c>
      <c r="AM669">
        <f t="shared" si="556"/>
        <v>2374.3918487658598</v>
      </c>
      <c r="AN669">
        <f t="shared" si="557"/>
        <v>458.02326158966451</v>
      </c>
      <c r="AO669">
        <f t="shared" si="558"/>
        <v>0.9067684051662841</v>
      </c>
      <c r="AQ669">
        <f t="shared" si="559"/>
        <v>2.8905075647748077E-5</v>
      </c>
      <c r="AR669">
        <f t="shared" si="560"/>
        <v>-0.53763440704811416</v>
      </c>
      <c r="AT669">
        <f t="shared" si="561"/>
        <v>-757.57667701931803</v>
      </c>
      <c r="AU669">
        <f t="shared" si="562"/>
        <v>-83.144871850513141</v>
      </c>
      <c r="AV669">
        <f t="shared" si="580"/>
        <v>-3.0322790601098877</v>
      </c>
      <c r="AW669">
        <f t="shared" si="581"/>
        <v>634.62043306476733</v>
      </c>
      <c r="AX669">
        <f t="shared" si="582"/>
        <v>-1847.1252610807319</v>
      </c>
      <c r="AY669">
        <f t="shared" si="590"/>
        <v>-1.2398594905135407</v>
      </c>
      <c r="BA669">
        <f t="shared" si="572"/>
        <v>0.39021254429232843</v>
      </c>
      <c r="BB669">
        <f t="shared" si="583"/>
        <v>-8.1739754661611936</v>
      </c>
      <c r="BC669">
        <f t="shared" si="584"/>
        <v>-1.792419569596347</v>
      </c>
      <c r="BD669">
        <f t="shared" si="573"/>
        <v>-282.69807657187584</v>
      </c>
      <c r="BF669">
        <f t="shared" si="574"/>
        <v>-99.480855079644371</v>
      </c>
      <c r="BG669">
        <f t="shared" si="575"/>
        <v>-199.9120065187694</v>
      </c>
      <c r="BH669">
        <f t="shared" si="585"/>
        <v>-19.912006518769402</v>
      </c>
      <c r="BI669">
        <f t="shared" si="586"/>
        <v>-19.912006518769402</v>
      </c>
      <c r="BJ669">
        <f t="shared" si="576"/>
        <v>0</v>
      </c>
      <c r="BK669">
        <f t="shared" si="587"/>
        <v>0</v>
      </c>
      <c r="BM669">
        <f t="shared" si="588"/>
        <v>-91.306879613483162</v>
      </c>
      <c r="BN669">
        <f t="shared" si="577"/>
        <v>-97.213929946893558</v>
      </c>
      <c r="BQ669" s="56">
        <f t="shared" si="589"/>
        <v>8.7279853341239431</v>
      </c>
    </row>
    <row r="670" spans="1:69" x14ac:dyDescent="0.25">
      <c r="A670">
        <f t="shared" si="563"/>
        <v>9400000</v>
      </c>
      <c r="B670">
        <f t="shared" si="578"/>
        <v>9400</v>
      </c>
      <c r="C670">
        <f t="shared" si="539"/>
        <v>8.035826274035653</v>
      </c>
      <c r="D670">
        <f t="shared" si="540"/>
        <v>1.4460301711343249</v>
      </c>
      <c r="F670">
        <f t="shared" si="541"/>
        <v>2.2326293026076022E-7</v>
      </c>
      <c r="G670">
        <f t="shared" si="542"/>
        <v>1.8480780239487374E-4</v>
      </c>
      <c r="H670">
        <f t="shared" si="564"/>
        <v>-3.1414078421976055</v>
      </c>
      <c r="J670">
        <f t="shared" si="565"/>
        <v>15</v>
      </c>
      <c r="M670">
        <f t="shared" si="543"/>
        <v>2.8400726221176594E-4</v>
      </c>
      <c r="N670">
        <f t="shared" si="566"/>
        <v>-1.5707963250000001</v>
      </c>
      <c r="O670">
        <f t="shared" si="544"/>
        <v>2533.7575014133881</v>
      </c>
      <c r="P670">
        <f t="shared" si="567"/>
        <v>1.5704016560241527</v>
      </c>
      <c r="Q670">
        <f t="shared" si="545"/>
        <v>2399.923152253893</v>
      </c>
      <c r="R670">
        <f t="shared" si="568"/>
        <v>1.5703796467741227</v>
      </c>
      <c r="S670">
        <f t="shared" si="546"/>
        <v>1.6372444395950737E-2</v>
      </c>
      <c r="T670">
        <f t="shared" si="569"/>
        <v>-1.5544231508528206</v>
      </c>
      <c r="U670">
        <f t="shared" si="547"/>
        <v>0.10828858074716965</v>
      </c>
      <c r="V670">
        <f t="shared" si="570"/>
        <v>-1.4622949818878759</v>
      </c>
      <c r="X670">
        <f t="shared" si="548"/>
        <v>-81.681471342990037</v>
      </c>
      <c r="Y670">
        <f t="shared" si="549"/>
        <v>-180.02968929820557</v>
      </c>
      <c r="Z670">
        <f t="shared" si="579"/>
        <v>-2.9689298205568093E-2</v>
      </c>
      <c r="AC670">
        <v>1</v>
      </c>
      <c r="AD670">
        <f t="shared" si="550"/>
        <v>2533.7573040780003</v>
      </c>
      <c r="AE670">
        <f t="shared" si="551"/>
        <v>-1.7957835177534587</v>
      </c>
      <c r="AF670">
        <f t="shared" si="552"/>
        <v>0.19561315130784002</v>
      </c>
      <c r="AG670">
        <f t="shared" si="553"/>
        <v>151.34075611849272</v>
      </c>
      <c r="AH670">
        <f t="shared" si="554"/>
        <v>-1394.462660502124</v>
      </c>
      <c r="AJ670">
        <f t="shared" si="571"/>
        <v>18000</v>
      </c>
      <c r="AK670">
        <f t="shared" si="555"/>
        <v>1099260.8611538401</v>
      </c>
      <c r="AL670">
        <v>45</v>
      </c>
      <c r="AM670">
        <f t="shared" si="556"/>
        <v>2399.9229439138799</v>
      </c>
      <c r="AN670">
        <f t="shared" si="557"/>
        <v>458.01966612149272</v>
      </c>
      <c r="AO670">
        <f t="shared" si="558"/>
        <v>1.0879036687774848</v>
      </c>
      <c r="AQ670">
        <f t="shared" si="559"/>
        <v>2.8293345325109367E-5</v>
      </c>
      <c r="AR670">
        <f t="shared" si="560"/>
        <v>-0.53191489211205611</v>
      </c>
      <c r="AT670">
        <f t="shared" si="561"/>
        <v>-741.7311736790034</v>
      </c>
      <c r="AU670">
        <f t="shared" si="562"/>
        <v>-80.539855976521608</v>
      </c>
      <c r="AV670">
        <f t="shared" si="580"/>
        <v>-3.0334327879642049</v>
      </c>
      <c r="AW670">
        <f t="shared" si="581"/>
        <v>631.10389772914925</v>
      </c>
      <c r="AX670">
        <f t="shared" si="582"/>
        <v>-1827.6733681402438</v>
      </c>
      <c r="AY670">
        <f t="shared" si="590"/>
        <v>-1.2383106607844665</v>
      </c>
      <c r="BA670">
        <f t="shared" si="572"/>
        <v>0.38586247195138534</v>
      </c>
      <c r="BB670">
        <f t="shared" si="583"/>
        <v>-8.2713491560645345</v>
      </c>
      <c r="BC670">
        <f t="shared" si="584"/>
        <v>-1.7951221271797384</v>
      </c>
      <c r="BD670">
        <f t="shared" si="573"/>
        <v>-282.85292171547223</v>
      </c>
      <c r="BF670">
        <f t="shared" si="574"/>
        <v>-99.672580782418891</v>
      </c>
      <c r="BG670">
        <f t="shared" si="575"/>
        <v>-199.99090705911325</v>
      </c>
      <c r="BH670">
        <f t="shared" si="585"/>
        <v>-19.990907059113255</v>
      </c>
      <c r="BI670">
        <f t="shared" si="586"/>
        <v>-19.990907059113255</v>
      </c>
      <c r="BJ670">
        <f t="shared" si="576"/>
        <v>0</v>
      </c>
      <c r="BK670">
        <f t="shared" si="587"/>
        <v>0</v>
      </c>
      <c r="BM670">
        <f t="shared" si="588"/>
        <v>-91.401231626354345</v>
      </c>
      <c r="BN670">
        <f t="shared" si="577"/>
        <v>-97.137985343641063</v>
      </c>
      <c r="BQ670" s="56">
        <f t="shared" si="589"/>
        <v>8.6306116442206022</v>
      </c>
    </row>
    <row r="671" spans="1:69" x14ac:dyDescent="0.25">
      <c r="A671">
        <f t="shared" si="563"/>
        <v>9500000</v>
      </c>
      <c r="B671">
        <f t="shared" si="578"/>
        <v>9500</v>
      </c>
      <c r="C671">
        <f t="shared" si="539"/>
        <v>8.1199967898614656</v>
      </c>
      <c r="D671">
        <f t="shared" si="540"/>
        <v>1.4473301232702418</v>
      </c>
      <c r="F671">
        <f t="shared" si="541"/>
        <v>2.1858739535167614E-7</v>
      </c>
      <c r="G671">
        <f t="shared" si="542"/>
        <v>1.8286245627500625E-4</v>
      </c>
      <c r="H671">
        <f t="shared" si="564"/>
        <v>-3.1414097875437252</v>
      </c>
      <c r="J671">
        <f t="shared" si="565"/>
        <v>15</v>
      </c>
      <c r="M671">
        <f t="shared" si="543"/>
        <v>2.81017712083221E-4</v>
      </c>
      <c r="N671">
        <f t="shared" si="566"/>
        <v>-1.5707963250000001</v>
      </c>
      <c r="O671">
        <f t="shared" si="544"/>
        <v>2560.7123642731735</v>
      </c>
      <c r="P671">
        <f t="shared" si="567"/>
        <v>1.570405810452894</v>
      </c>
      <c r="Q671">
        <f t="shared" si="545"/>
        <v>2425.4542452088608</v>
      </c>
      <c r="R671">
        <f t="shared" si="568"/>
        <v>1.5703840328791048</v>
      </c>
      <c r="S671">
        <f t="shared" si="546"/>
        <v>1.6200148346652232E-2</v>
      </c>
      <c r="T671">
        <f t="shared" si="569"/>
        <v>-1.5545954697570785</v>
      </c>
      <c r="U671">
        <f t="shared" si="547"/>
        <v>0.10716185976627157</v>
      </c>
      <c r="V671">
        <f t="shared" si="570"/>
        <v>-1.4634282980306053</v>
      </c>
      <c r="X671">
        <f t="shared" si="548"/>
        <v>-81.865619126825237</v>
      </c>
      <c r="Y671">
        <f t="shared" si="549"/>
        <v>-180.02963702861038</v>
      </c>
      <c r="Z671">
        <f t="shared" si="579"/>
        <v>-2.9637028610380867E-2</v>
      </c>
      <c r="AC671">
        <v>1</v>
      </c>
      <c r="AD671">
        <f t="shared" si="550"/>
        <v>2560.7121690150002</v>
      </c>
      <c r="AE671">
        <f t="shared" si="551"/>
        <v>-1.8341949125990229</v>
      </c>
      <c r="AF671">
        <f t="shared" si="552"/>
        <v>0.19769414227920001</v>
      </c>
      <c r="AG671">
        <f t="shared" si="553"/>
        <v>148.20779977137155</v>
      </c>
      <c r="AH671">
        <f t="shared" si="554"/>
        <v>-1380.1217840982576</v>
      </c>
      <c r="AJ671">
        <f t="shared" si="571"/>
        <v>18000</v>
      </c>
      <c r="AK671">
        <f t="shared" si="555"/>
        <v>1110955.1256342002</v>
      </c>
      <c r="AL671">
        <v>46</v>
      </c>
      <c r="AM671">
        <f t="shared" si="556"/>
        <v>2425.4540390618999</v>
      </c>
      <c r="AN671">
        <f t="shared" si="557"/>
        <v>458.01606936476185</v>
      </c>
      <c r="AO671">
        <f t="shared" si="558"/>
        <v>1.2652225692002599</v>
      </c>
      <c r="AQ671">
        <f t="shared" si="559"/>
        <v>2.7700830948197144E-5</v>
      </c>
      <c r="AR671">
        <f t="shared" si="560"/>
        <v>-0.52631578801574574</v>
      </c>
      <c r="AT671">
        <f t="shared" si="561"/>
        <v>-726.37577887616465</v>
      </c>
      <c r="AU671">
        <f t="shared" si="562"/>
        <v>-78.042335446978512</v>
      </c>
      <c r="AV671">
        <f t="shared" si="580"/>
        <v>-3.0345625095886057</v>
      </c>
      <c r="AW671">
        <f t="shared" si="581"/>
        <v>627.69407255445446</v>
      </c>
      <c r="AX671">
        <f t="shared" si="582"/>
        <v>-1808.619065470979</v>
      </c>
      <c r="AY671">
        <f t="shared" si="590"/>
        <v>-1.2367456540714803</v>
      </c>
      <c r="BA671">
        <f t="shared" si="572"/>
        <v>0.38160192700580409</v>
      </c>
      <c r="BB671">
        <f t="shared" si="583"/>
        <v>-8.3677888174157538</v>
      </c>
      <c r="BC671">
        <f t="shared" si="584"/>
        <v>-1.7978168555171254</v>
      </c>
      <c r="BD671">
        <f t="shared" si="573"/>
        <v>-283.00731827631523</v>
      </c>
      <c r="BF671">
        <f t="shared" si="574"/>
        <v>-99.86234418274492</v>
      </c>
      <c r="BG671">
        <f t="shared" si="575"/>
        <v>-200.07093330903658</v>
      </c>
      <c r="BH671">
        <f t="shared" si="585"/>
        <v>-20.070933309036576</v>
      </c>
      <c r="BI671">
        <f t="shared" si="586"/>
        <v>-20.070933309036576</v>
      </c>
      <c r="BJ671">
        <f t="shared" si="576"/>
        <v>0</v>
      </c>
      <c r="BK671">
        <f t="shared" si="587"/>
        <v>0</v>
      </c>
      <c r="BM671">
        <f t="shared" si="588"/>
        <v>-91.494555365329177</v>
      </c>
      <c r="BN671">
        <f t="shared" si="577"/>
        <v>-97.063615032721373</v>
      </c>
      <c r="BQ671" s="56">
        <f t="shared" si="589"/>
        <v>8.5341719828693812</v>
      </c>
    </row>
    <row r="672" spans="1:69" x14ac:dyDescent="0.25">
      <c r="A672">
        <f t="shared" si="563"/>
        <v>9600000</v>
      </c>
      <c r="B672">
        <f t="shared" si="578"/>
        <v>9600</v>
      </c>
      <c r="C672">
        <f t="shared" si="539"/>
        <v>8.2041807459016418</v>
      </c>
      <c r="D672">
        <f t="shared" si="540"/>
        <v>1.4486033996317478</v>
      </c>
      <c r="F672">
        <f t="shared" si="541"/>
        <v>2.1405720861384847E-7</v>
      </c>
      <c r="G672">
        <f t="shared" si="542"/>
        <v>1.8095763822488219E-4</v>
      </c>
      <c r="H672">
        <f t="shared" si="564"/>
        <v>-3.1414116923617752</v>
      </c>
      <c r="J672">
        <f t="shared" si="565"/>
        <v>15</v>
      </c>
      <c r="M672">
        <f t="shared" si="543"/>
        <v>2.7809044424902081E-4</v>
      </c>
      <c r="N672">
        <f t="shared" si="566"/>
        <v>-1.5707963250000001</v>
      </c>
      <c r="O672">
        <f t="shared" si="544"/>
        <v>2587.6672271762345</v>
      </c>
      <c r="P672">
        <f t="shared" si="567"/>
        <v>1.5704098783310492</v>
      </c>
      <c r="Q672">
        <f t="shared" si="545"/>
        <v>2450.9853382095166</v>
      </c>
      <c r="R672">
        <f t="shared" si="568"/>
        <v>1.5703883276069153</v>
      </c>
      <c r="S672">
        <f t="shared" si="546"/>
        <v>1.6031440399922395E-2</v>
      </c>
      <c r="T672">
        <f t="shared" si="569"/>
        <v>-1.5547641996165922</v>
      </c>
      <c r="U672">
        <f t="shared" si="547"/>
        <v>0.10605821191002059</v>
      </c>
      <c r="V672">
        <f t="shared" si="570"/>
        <v>-1.46453827178544</v>
      </c>
      <c r="X672">
        <f t="shared" si="548"/>
        <v>-82.047832262186589</v>
      </c>
      <c r="Y672">
        <f t="shared" si="549"/>
        <v>-180.02957798329999</v>
      </c>
      <c r="Z672">
        <f t="shared" si="579"/>
        <v>-2.9577983299986954E-2</v>
      </c>
      <c r="AC672">
        <v>1</v>
      </c>
      <c r="AD672">
        <f t="shared" si="550"/>
        <v>2587.6670339520001</v>
      </c>
      <c r="AE672">
        <f t="shared" si="551"/>
        <v>-1.8730127772313125</v>
      </c>
      <c r="AF672">
        <f t="shared" si="552"/>
        <v>0.19977513325055998</v>
      </c>
      <c r="AG672">
        <f t="shared" si="553"/>
        <v>145.1707690514028</v>
      </c>
      <c r="AH672">
        <f t="shared" si="554"/>
        <v>-1366.0694445463898</v>
      </c>
      <c r="AJ672">
        <f t="shared" si="571"/>
        <v>18000</v>
      </c>
      <c r="AK672">
        <f t="shared" si="555"/>
        <v>1122649.3901145603</v>
      </c>
      <c r="AL672">
        <v>47</v>
      </c>
      <c r="AM672">
        <f t="shared" si="556"/>
        <v>2450.98513420992</v>
      </c>
      <c r="AN672">
        <f t="shared" si="557"/>
        <v>458.01247374314681</v>
      </c>
      <c r="AO672">
        <f t="shared" si="558"/>
        <v>1.4388444126833528</v>
      </c>
      <c r="AQ672">
        <f t="shared" si="559"/>
        <v>2.7126736037525129E-5</v>
      </c>
      <c r="AR672">
        <f t="shared" si="560"/>
        <v>-0.52083333192048253</v>
      </c>
      <c r="AT672">
        <f t="shared" si="561"/>
        <v>-711.49056242872666</v>
      </c>
      <c r="AU672">
        <f t="shared" si="562"/>
        <v>-75.646832347732115</v>
      </c>
      <c r="AV672">
        <f t="shared" si="580"/>
        <v>-3.0356689637108976</v>
      </c>
      <c r="AW672">
        <f t="shared" si="581"/>
        <v>624.38666343780937</v>
      </c>
      <c r="AX672">
        <f t="shared" si="582"/>
        <v>-1789.9504085884951</v>
      </c>
      <c r="AY672">
        <f t="shared" si="590"/>
        <v>-1.2351650691147527</v>
      </c>
      <c r="BA672">
        <f t="shared" si="572"/>
        <v>0.37742811981354857</v>
      </c>
      <c r="BB672">
        <f t="shared" si="583"/>
        <v>-8.4633149278883817</v>
      </c>
      <c r="BC672">
        <f t="shared" si="584"/>
        <v>-1.8005038945961449</v>
      </c>
      <c r="BD672">
        <f t="shared" si="573"/>
        <v>-283.16127427510565</v>
      </c>
      <c r="BF672">
        <f t="shared" si="574"/>
        <v>-100.05018819703727</v>
      </c>
      <c r="BG672">
        <f t="shared" si="575"/>
        <v>-200.15204508411074</v>
      </c>
      <c r="BH672">
        <f t="shared" si="585"/>
        <v>-20.152045084110739</v>
      </c>
      <c r="BI672">
        <f t="shared" si="586"/>
        <v>-20.152045084110739</v>
      </c>
      <c r="BJ672">
        <f t="shared" si="576"/>
        <v>0</v>
      </c>
      <c r="BK672">
        <f t="shared" si="587"/>
        <v>0</v>
      </c>
      <c r="BM672">
        <f t="shared" si="588"/>
        <v>-91.586873269148882</v>
      </c>
      <c r="BN672">
        <f t="shared" si="577"/>
        <v>-96.99077080900507</v>
      </c>
      <c r="BQ672" s="56">
        <f t="shared" si="589"/>
        <v>8.4386458723967532</v>
      </c>
    </row>
    <row r="673" spans="1:69" x14ac:dyDescent="0.25">
      <c r="A673">
        <f t="shared" si="563"/>
        <v>9700000</v>
      </c>
      <c r="B673">
        <f t="shared" si="578"/>
        <v>9700</v>
      </c>
      <c r="C673">
        <f t="shared" si="539"/>
        <v>8.2883777326247525</v>
      </c>
      <c r="D673">
        <f t="shared" si="540"/>
        <v>1.4498508089788129</v>
      </c>
      <c r="F673">
        <f t="shared" si="541"/>
        <v>2.0966640731023364E-7</v>
      </c>
      <c r="G673">
        <f t="shared" si="542"/>
        <v>1.7909209479800714E-4</v>
      </c>
      <c r="H673">
        <f t="shared" si="564"/>
        <v>-3.141413557905202</v>
      </c>
      <c r="J673">
        <f t="shared" si="565"/>
        <v>15</v>
      </c>
      <c r="M673">
        <f t="shared" si="543"/>
        <v>2.7522353245263917E-4</v>
      </c>
      <c r="N673">
        <f t="shared" si="566"/>
        <v>-1.5707963250000001</v>
      </c>
      <c r="O673">
        <f t="shared" si="544"/>
        <v>2614.6220901212318</v>
      </c>
      <c r="P673">
        <f t="shared" si="567"/>
        <v>1.5704138623354407</v>
      </c>
      <c r="Q673">
        <f t="shared" si="545"/>
        <v>2476.5164312544484</v>
      </c>
      <c r="R673">
        <f t="shared" si="568"/>
        <v>1.5703925337836513</v>
      </c>
      <c r="S673">
        <f t="shared" si="546"/>
        <v>1.5866209640277417E-2</v>
      </c>
      <c r="T673">
        <f t="shared" si="569"/>
        <v>-1.5549294513948979</v>
      </c>
      <c r="U673">
        <f t="shared" si="547"/>
        <v>0.10497693960008431</v>
      </c>
      <c r="V673">
        <f t="shared" si="570"/>
        <v>-1.4656256143073725</v>
      </c>
      <c r="X673">
        <f t="shared" si="548"/>
        <v>-82.228151033968416</v>
      </c>
      <c r="Y673">
        <f t="shared" si="549"/>
        <v>-180.02951268418653</v>
      </c>
      <c r="Z673">
        <f t="shared" si="579"/>
        <v>-2.9512684186528304E-2</v>
      </c>
      <c r="AC673">
        <v>1</v>
      </c>
      <c r="AD673">
        <f t="shared" si="550"/>
        <v>2614.621898889</v>
      </c>
      <c r="AE673">
        <f t="shared" si="551"/>
        <v>-1.9122371116503274</v>
      </c>
      <c r="AF673">
        <f t="shared" si="552"/>
        <v>0.20185612422192001</v>
      </c>
      <c r="AG673">
        <f t="shared" si="553"/>
        <v>142.22580188140788</v>
      </c>
      <c r="AH673">
        <f t="shared" si="554"/>
        <v>-1352.2971257079785</v>
      </c>
      <c r="AJ673">
        <f t="shared" si="571"/>
        <v>18000</v>
      </c>
      <c r="AK673">
        <f t="shared" si="555"/>
        <v>1134343.6545949201</v>
      </c>
      <c r="AL673">
        <v>48</v>
      </c>
      <c r="AM673">
        <f t="shared" si="556"/>
        <v>2476.5162293579401</v>
      </c>
      <c r="AN673">
        <f t="shared" si="557"/>
        <v>458.00888148303176</v>
      </c>
      <c r="AO673">
        <f t="shared" si="558"/>
        <v>1.6088835857209478</v>
      </c>
      <c r="AQ673">
        <f t="shared" si="559"/>
        <v>2.65703049565036E-5</v>
      </c>
      <c r="AR673">
        <f t="shared" si="560"/>
        <v>-0.51546391615616982</v>
      </c>
      <c r="AT673">
        <f t="shared" si="561"/>
        <v>-697.05659324123815</v>
      </c>
      <c r="AU673">
        <f t="shared" si="562"/>
        <v>-73.348199763263921</v>
      </c>
      <c r="AV673">
        <f t="shared" si="580"/>
        <v>-3.0367528591700177</v>
      </c>
      <c r="AW673">
        <f t="shared" si="581"/>
        <v>621.17759000265437</v>
      </c>
      <c r="AX673">
        <f t="shared" si="582"/>
        <v>-1771.6559217271765</v>
      </c>
      <c r="AY673">
        <f t="shared" si="590"/>
        <v>-1.2335694814123641</v>
      </c>
      <c r="BA673">
        <f t="shared" si="572"/>
        <v>0.37333837598310726</v>
      </c>
      <c r="BB673">
        <f t="shared" si="583"/>
        <v>-8.5579473206227838</v>
      </c>
      <c r="BC673">
        <f t="shared" si="584"/>
        <v>-1.8031833777576536</v>
      </c>
      <c r="BD673">
        <f t="shared" si="573"/>
        <v>-283.31479735171195</v>
      </c>
      <c r="BF673">
        <f t="shared" si="574"/>
        <v>-100.23615436361337</v>
      </c>
      <c r="BG673">
        <f t="shared" si="575"/>
        <v>-200.2342037574883</v>
      </c>
      <c r="BH673">
        <f t="shared" si="585"/>
        <v>-20.234203757488302</v>
      </c>
      <c r="BI673">
        <f t="shared" si="586"/>
        <v>-20.234203757488302</v>
      </c>
      <c r="BJ673">
        <f t="shared" si="576"/>
        <v>0</v>
      </c>
      <c r="BK673">
        <f t="shared" si="587"/>
        <v>0</v>
      </c>
      <c r="BM673">
        <f t="shared" si="588"/>
        <v>-91.678207042990579</v>
      </c>
      <c r="BN673">
        <f t="shared" si="577"/>
        <v>-96.919406405776385</v>
      </c>
      <c r="BQ673" s="56">
        <f t="shared" si="589"/>
        <v>8.3440134796623529</v>
      </c>
    </row>
    <row r="674" spans="1:69" x14ac:dyDescent="0.25">
      <c r="A674">
        <f t="shared" si="563"/>
        <v>9800000</v>
      </c>
      <c r="B674">
        <f t="shared" si="578"/>
        <v>9800</v>
      </c>
      <c r="C674">
        <f t="shared" si="539"/>
        <v>8.3725873569106657</v>
      </c>
      <c r="D674">
        <f t="shared" si="540"/>
        <v>1.4510731278637041</v>
      </c>
      <c r="F674">
        <f t="shared" si="541"/>
        <v>2.0540933136490891E-7</v>
      </c>
      <c r="G674">
        <f t="shared" si="542"/>
        <v>1.7726462370902001E-4</v>
      </c>
      <c r="H674">
        <f t="shared" si="564"/>
        <v>-3.1414153853762912</v>
      </c>
      <c r="J674">
        <f t="shared" si="565"/>
        <v>15</v>
      </c>
      <c r="M674">
        <f t="shared" si="543"/>
        <v>2.7241512906026527E-4</v>
      </c>
      <c r="N674">
        <f t="shared" si="566"/>
        <v>-1.5707963250000001</v>
      </c>
      <c r="O674">
        <f t="shared" si="544"/>
        <v>2641.5769531068831</v>
      </c>
      <c r="P674">
        <f t="shared" si="567"/>
        <v>1.5704177650336317</v>
      </c>
      <c r="Q674">
        <f t="shared" si="545"/>
        <v>2502.0475243422998</v>
      </c>
      <c r="R674">
        <f t="shared" si="568"/>
        <v>1.5703966541200596</v>
      </c>
      <c r="S674">
        <f t="shared" si="546"/>
        <v>1.5704349676545475E-2</v>
      </c>
      <c r="T674">
        <f t="shared" si="569"/>
        <v>-1.5550913315283086</v>
      </c>
      <c r="U674">
        <f t="shared" si="547"/>
        <v>0.10391737293894208</v>
      </c>
      <c r="V674">
        <f t="shared" si="570"/>
        <v>-1.4666910082588569</v>
      </c>
      <c r="X674">
        <f t="shared" si="548"/>
        <v>-82.406614480268217</v>
      </c>
      <c r="Y674">
        <f t="shared" si="549"/>
        <v>-180.02944161659246</v>
      </c>
      <c r="Z674">
        <f t="shared" si="579"/>
        <v>-2.944161659246447E-2</v>
      </c>
      <c r="AC674">
        <v>1</v>
      </c>
      <c r="AD674">
        <f t="shared" si="550"/>
        <v>2641.5767638260004</v>
      </c>
      <c r="AE674">
        <f t="shared" si="551"/>
        <v>-1.9518679158560681</v>
      </c>
      <c r="AF674">
        <f t="shared" si="552"/>
        <v>0.20393711519327998</v>
      </c>
      <c r="AG674">
        <f t="shared" si="553"/>
        <v>139.36922789731619</v>
      </c>
      <c r="AH674">
        <f t="shared" si="554"/>
        <v>-1338.7966390112038</v>
      </c>
      <c r="AJ674">
        <f t="shared" si="571"/>
        <v>18000</v>
      </c>
      <c r="AK674">
        <f t="shared" si="555"/>
        <v>1146037.9190752802</v>
      </c>
      <c r="AL674">
        <v>49</v>
      </c>
      <c r="AM674">
        <f t="shared" si="556"/>
        <v>2502.0473245059602</v>
      </c>
      <c r="AN674">
        <f t="shared" si="557"/>
        <v>458.00529462849431</v>
      </c>
      <c r="AO674">
        <f t="shared" si="558"/>
        <v>1.7754498059597505</v>
      </c>
      <c r="AQ674">
        <f t="shared" si="559"/>
        <v>2.603082042370153E-5</v>
      </c>
      <c r="AR674">
        <f t="shared" si="560"/>
        <v>-0.51020408030455</v>
      </c>
      <c r="AT674">
        <f t="shared" si="561"/>
        <v>-683.05588002618981</v>
      </c>
      <c r="AU674">
        <f t="shared" si="562"/>
        <v>-71.141598716999397</v>
      </c>
      <c r="AV674">
        <f t="shared" si="580"/>
        <v>-3.0378148764068995</v>
      </c>
      <c r="AW674">
        <f t="shared" si="581"/>
        <v>618.06297298895186</v>
      </c>
      <c r="AX674">
        <f t="shared" si="582"/>
        <v>-1753.7245753264679</v>
      </c>
      <c r="AY674">
        <f t="shared" si="590"/>
        <v>-1.2319594443617756</v>
      </c>
      <c r="BA674">
        <f t="shared" si="572"/>
        <v>0.36933013048279284</v>
      </c>
      <c r="BB674">
        <f t="shared" si="583"/>
        <v>-8.6517052107154662</v>
      </c>
      <c r="BC674">
        <f t="shared" si="584"/>
        <v>-1.8058554320451239</v>
      </c>
      <c r="BD674">
        <f t="shared" si="573"/>
        <v>-283.46789478518872</v>
      </c>
      <c r="BF674">
        <f t="shared" si="574"/>
        <v>-100.42028290104125</v>
      </c>
      <c r="BG674">
        <f t="shared" si="575"/>
        <v>-200.31737218394241</v>
      </c>
      <c r="BH674">
        <f t="shared" si="585"/>
        <v>-20.31737218394241</v>
      </c>
      <c r="BI674">
        <f t="shared" si="586"/>
        <v>-20.31737218394241</v>
      </c>
      <c r="BJ674">
        <f t="shared" si="576"/>
        <v>0</v>
      </c>
      <c r="BK674">
        <f t="shared" si="587"/>
        <v>0</v>
      </c>
      <c r="BM674">
        <f t="shared" si="588"/>
        <v>-91.768577690325785</v>
      </c>
      <c r="BN674">
        <f t="shared" si="577"/>
        <v>-96.849477398753677</v>
      </c>
      <c r="BQ674" s="56">
        <f t="shared" si="589"/>
        <v>8.2502555895696688</v>
      </c>
    </row>
    <row r="675" spans="1:69" x14ac:dyDescent="0.25">
      <c r="A675">
        <f t="shared" si="563"/>
        <v>9900000</v>
      </c>
      <c r="B675">
        <f t="shared" si="578"/>
        <v>9900</v>
      </c>
      <c r="C675">
        <f t="shared" si="539"/>
        <v>8.4568092412395544</v>
      </c>
      <c r="D675">
        <f t="shared" si="540"/>
        <v>1.4522711022106727</v>
      </c>
      <c r="F675">
        <f t="shared" si="541"/>
        <v>2.0128060511325128E-7</v>
      </c>
      <c r="G675">
        <f t="shared" si="542"/>
        <v>1.7547407124979478E-4</v>
      </c>
      <c r="H675">
        <f t="shared" si="564"/>
        <v>-3.1414171759287504</v>
      </c>
      <c r="J675">
        <f t="shared" si="565"/>
        <v>15</v>
      </c>
      <c r="M675">
        <f t="shared" si="543"/>
        <v>2.6966346108995957E-4</v>
      </c>
      <c r="N675">
        <f t="shared" si="566"/>
        <v>-1.5707963250000001</v>
      </c>
      <c r="O675">
        <f t="shared" si="544"/>
        <v>2668.5318161319551</v>
      </c>
      <c r="P675">
        <f t="shared" si="567"/>
        <v>1.5704215888894464</v>
      </c>
      <c r="Q675">
        <f t="shared" si="545"/>
        <v>2527.5786174717709</v>
      </c>
      <c r="R675">
        <f t="shared" si="568"/>
        <v>1.5704006912173618</v>
      </c>
      <c r="S675">
        <f t="shared" si="546"/>
        <v>1.5545758413536195E-2</v>
      </c>
      <c r="T675">
        <f t="shared" si="569"/>
        <v>-1.5552499421544488</v>
      </c>
      <c r="U675">
        <f t="shared" si="547"/>
        <v>0.10287886835822814</v>
      </c>
      <c r="V675">
        <f t="shared" si="570"/>
        <v>-1.467735109217424</v>
      </c>
      <c r="X675">
        <f t="shared" si="548"/>
        <v>-82.58326044336043</v>
      </c>
      <c r="Y675">
        <f t="shared" si="549"/>
        <v>-180.02936523198369</v>
      </c>
      <c r="Z675">
        <f t="shared" si="579"/>
        <v>-2.9365231983689455E-2</v>
      </c>
      <c r="AC675">
        <v>1</v>
      </c>
      <c r="AD675">
        <f t="shared" si="550"/>
        <v>2668.5316287629998</v>
      </c>
      <c r="AE675">
        <f t="shared" si="551"/>
        <v>-1.9919051898485347</v>
      </c>
      <c r="AF675">
        <f t="shared" si="552"/>
        <v>0.20601810616464</v>
      </c>
      <c r="AG675">
        <f t="shared" si="553"/>
        <v>136.59755718250602</v>
      </c>
      <c r="AH675">
        <f t="shared" si="554"/>
        <v>-1325.5601080723727</v>
      </c>
      <c r="AJ675">
        <f t="shared" si="571"/>
        <v>18000</v>
      </c>
      <c r="AK675">
        <f t="shared" si="555"/>
        <v>1157732.18355564</v>
      </c>
      <c r="AL675">
        <v>50</v>
      </c>
      <c r="AM675">
        <f t="shared" si="556"/>
        <v>2527.5784196539798</v>
      </c>
      <c r="AN675">
        <f t="shared" si="557"/>
        <v>458.00171505508519</v>
      </c>
      <c r="AO675">
        <f t="shared" si="558"/>
        <v>1.9386483579113118</v>
      </c>
      <c r="AQ675">
        <f t="shared" si="559"/>
        <v>2.550760120011325E-5</v>
      </c>
      <c r="AR675">
        <f t="shared" si="560"/>
        <v>-0.50505050376224236</v>
      </c>
      <c r="AT675">
        <f t="shared" si="561"/>
        <v>-669.47131607307074</v>
      </c>
      <c r="AU675">
        <f t="shared" si="562"/>
        <v>-69.022476926319854</v>
      </c>
      <c r="AV675">
        <f t="shared" si="580"/>
        <v>-3.038855668867309</v>
      </c>
      <c r="AW675">
        <f t="shared" si="581"/>
        <v>615.03912250022051</v>
      </c>
      <c r="AX675">
        <f t="shared" si="582"/>
        <v>-1736.1457647868758</v>
      </c>
      <c r="AY675">
        <f t="shared" si="590"/>
        <v>-1.2303354903344121</v>
      </c>
      <c r="BA675">
        <f t="shared" si="572"/>
        <v>0.36540092210773506</v>
      </c>
      <c r="BB675">
        <f t="shared" si="583"/>
        <v>-8.7446072203595069</v>
      </c>
      <c r="BC675">
        <f t="shared" si="584"/>
        <v>-1.8085201785328968</v>
      </c>
      <c r="BD675">
        <f t="shared" si="573"/>
        <v>-283.62057351258488</v>
      </c>
      <c r="BF675">
        <f t="shared" si="574"/>
        <v>-100.60261276341949</v>
      </c>
      <c r="BG675">
        <f t="shared" si="575"/>
        <v>-200.40151462831292</v>
      </c>
      <c r="BH675">
        <f t="shared" si="585"/>
        <v>-20.401514628312924</v>
      </c>
      <c r="BI675">
        <f t="shared" si="586"/>
        <v>-20.401514628312924</v>
      </c>
      <c r="BJ675">
        <f t="shared" si="576"/>
        <v>0</v>
      </c>
      <c r="BK675">
        <f t="shared" si="587"/>
        <v>0</v>
      </c>
      <c r="BM675">
        <f t="shared" si="588"/>
        <v>-91.858005543059974</v>
      </c>
      <c r="BN675">
        <f t="shared" si="577"/>
        <v>-96.780941115728012</v>
      </c>
      <c r="BQ675" s="56">
        <f t="shared" si="589"/>
        <v>8.157353579925628</v>
      </c>
    </row>
    <row r="676" spans="1:69" x14ac:dyDescent="0.25">
      <c r="A676">
        <f t="shared" si="563"/>
        <v>10000000</v>
      </c>
      <c r="B676">
        <f t="shared" si="578"/>
        <v>10000</v>
      </c>
      <c r="C676">
        <f t="shared" si="539"/>
        <v>8.5410430229283492</v>
      </c>
      <c r="D676">
        <f t="shared" si="540"/>
        <v>1.4534454488040225</v>
      </c>
      <c r="F676">
        <f t="shared" si="541"/>
        <v>1.9727512032316153E-7</v>
      </c>
      <c r="G676">
        <f t="shared" si="542"/>
        <v>1.7371932986057554E-4</v>
      </c>
      <c r="H676">
        <f t="shared" si="564"/>
        <v>-3.1414189306701394</v>
      </c>
      <c r="J676">
        <f t="shared" si="565"/>
        <v>15</v>
      </c>
      <c r="M676">
        <f t="shared" si="543"/>
        <v>2.6696682647905999E-4</v>
      </c>
      <c r="N676">
        <f t="shared" si="566"/>
        <v>-1.5707963250000001</v>
      </c>
      <c r="O676">
        <f t="shared" si="544"/>
        <v>2695.4866791952659</v>
      </c>
      <c r="P676">
        <f t="shared" si="567"/>
        <v>1.5704253362681553</v>
      </c>
      <c r="Q676">
        <f t="shared" si="545"/>
        <v>2553.1097106416137</v>
      </c>
      <c r="R676">
        <f t="shared" si="568"/>
        <v>1.5704046475727305</v>
      </c>
      <c r="S676">
        <f t="shared" si="546"/>
        <v>1.5390337837398226E-2</v>
      </c>
      <c r="T676">
        <f t="shared" si="569"/>
        <v>-1.5554053813270838</v>
      </c>
      <c r="U676">
        <f t="shared" si="547"/>
        <v>0.10186080734504542</v>
      </c>
      <c r="V676">
        <f t="shared" si="570"/>
        <v>-1.4687585470009659</v>
      </c>
      <c r="X676">
        <f t="shared" si="548"/>
        <v>-82.75812561809002</v>
      </c>
      <c r="Y676">
        <f t="shared" si="549"/>
        <v>-180.02928395047988</v>
      </c>
      <c r="Z676">
        <f t="shared" si="579"/>
        <v>-2.9283950479879195E-2</v>
      </c>
      <c r="AC676">
        <v>1</v>
      </c>
      <c r="AD676">
        <f t="shared" si="550"/>
        <v>2695.4864937000002</v>
      </c>
      <c r="AE676">
        <f t="shared" si="551"/>
        <v>-2.0323489336277265</v>
      </c>
      <c r="AF676">
        <f t="shared" si="552"/>
        <v>0.208099097136</v>
      </c>
      <c r="AG676">
        <f t="shared" si="553"/>
        <v>133.90746976413618</v>
      </c>
      <c r="AH676">
        <f t="shared" si="554"/>
        <v>-1312.5799541620224</v>
      </c>
      <c r="AJ676">
        <f t="shared" si="571"/>
        <v>18000</v>
      </c>
      <c r="AK676">
        <f t="shared" si="555"/>
        <v>1169426.4480360001</v>
      </c>
      <c r="AL676">
        <v>51</v>
      </c>
      <c r="AM676">
        <f t="shared" si="556"/>
        <v>2553.1095148019999</v>
      </c>
      <c r="AN676">
        <f t="shared" si="557"/>
        <v>457.99814448251061</v>
      </c>
      <c r="AO676">
        <f t="shared" si="558"/>
        <v>2.0985803145320867</v>
      </c>
      <c r="AQ676">
        <f t="shared" si="559"/>
        <v>2.4999999937500001E-5</v>
      </c>
      <c r="AR676">
        <f t="shared" si="560"/>
        <v>-0.49999999875000001</v>
      </c>
      <c r="AT676">
        <f t="shared" si="561"/>
        <v>-656.28662775355053</v>
      </c>
      <c r="AU676">
        <f t="shared" si="562"/>
        <v>-66.98654921345576</v>
      </c>
      <c r="AV676">
        <f t="shared" si="580"/>
        <v>-3.0398758643226453</v>
      </c>
      <c r="AW676">
        <f t="shared" si="581"/>
        <v>612.10252704172842</v>
      </c>
      <c r="AX676">
        <f t="shared" si="582"/>
        <v>-1718.9092904140916</v>
      </c>
      <c r="AY676">
        <f t="shared" si="590"/>
        <v>-1.2286981316878709</v>
      </c>
      <c r="BA676">
        <f t="shared" si="572"/>
        <v>0.36154838827947811</v>
      </c>
      <c r="BB676">
        <f t="shared" si="583"/>
        <v>-8.836671402717645</v>
      </c>
      <c r="BC676">
        <f t="shared" si="584"/>
        <v>-1.8111777326347744</v>
      </c>
      <c r="BD676">
        <f t="shared" si="573"/>
        <v>-283.77284014662416</v>
      </c>
      <c r="BF676">
        <f t="shared" si="574"/>
        <v>-100.7831816927806</v>
      </c>
      <c r="BG676">
        <f t="shared" si="575"/>
        <v>-200.48659669806662</v>
      </c>
      <c r="BH676">
        <f t="shared" si="585"/>
        <v>-20.48659669806662</v>
      </c>
      <c r="BI676">
        <f t="shared" si="586"/>
        <v>-20.48659669806662</v>
      </c>
      <c r="BJ676">
        <f t="shared" si="576"/>
        <v>0</v>
      </c>
      <c r="BK676">
        <f t="shared" si="587"/>
        <v>0</v>
      </c>
      <c r="BM676">
        <f t="shared" si="588"/>
        <v>-91.94651029006296</v>
      </c>
      <c r="BN676">
        <f t="shared" si="577"/>
        <v>-96.713756551442486</v>
      </c>
      <c r="BQ676" s="56">
        <f t="shared" si="589"/>
        <v>8.0652893975674935</v>
      </c>
    </row>
    <row r="677" spans="1:69" x14ac:dyDescent="0.25">
      <c r="BD677">
        <f t="shared" si="573"/>
        <v>-180</v>
      </c>
    </row>
    <row r="678" spans="1:69" x14ac:dyDescent="0.25">
      <c r="BD678">
        <f t="shared" si="573"/>
        <v>-180</v>
      </c>
    </row>
    <row r="679" spans="1:69" x14ac:dyDescent="0.25">
      <c r="C679" s="565" t="s">
        <v>46</v>
      </c>
      <c r="D679" s="565"/>
      <c r="E679" s="565"/>
      <c r="F679" s="565"/>
      <c r="G679" s="565"/>
      <c r="H679" s="565"/>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437</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5">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5">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436</v>
      </c>
      <c r="BB681" s="2" t="s">
        <v>434</v>
      </c>
      <c r="BC681" s="2" t="s">
        <v>435</v>
      </c>
      <c r="BF681" s="2" t="s">
        <v>71</v>
      </c>
      <c r="BG681" s="2" t="s">
        <v>72</v>
      </c>
      <c r="BH681" s="2" t="s">
        <v>104</v>
      </c>
    </row>
    <row r="682" spans="1:69" x14ac:dyDescent="0.25">
      <c r="A682">
        <f>Fesr</f>
        <v>1178925.5057315286</v>
      </c>
      <c r="B682">
        <f t="shared" ref="B682:B692" si="591">A682/1000</f>
        <v>1178.9255057315286</v>
      </c>
      <c r="C682">
        <f t="shared" ref="C682:C686" si="592">SQRT((A682/Fesr)^2+1)</f>
        <v>1.4142135623730951</v>
      </c>
      <c r="D682">
        <f t="shared" ref="D682:D686" si="593">ATAN(A682/Fesr)</f>
        <v>0.78539816339744828</v>
      </c>
      <c r="F682">
        <f t="shared" ref="F682:F687" si="594">(Ro/(Ro+Rdcr))/SQRT((A682/(Q*Fo))^2+(1-(A682^2/Fo^2))^2)</f>
        <v>1.4194017828856106E-5</v>
      </c>
      <c r="G682">
        <f t="shared" ref="G682:G687" si="595">-ATAN(A682*Fo/(Q*(Fo^2-A682^2)))</f>
        <v>1.4735595569535201E-3</v>
      </c>
      <c r="H682">
        <f t="shared" ref="H682:H687" si="596">IF(G682&gt;0,G682-Pi,G682)</f>
        <v>-3.1401190904430467</v>
      </c>
      <c r="J682">
        <f t="shared" ref="J682:J688" si="597">Vin/Vramp</f>
        <v>15</v>
      </c>
      <c r="M682">
        <f t="shared" ref="M682:M687" si="598">1/(2*Pi*_Rfb1*(Cc1ea_u+Cc2ea_u)*A682)</f>
        <v>2.2644927536231889E-3</v>
      </c>
      <c r="N682">
        <f t="shared" ref="N682:N688" si="599">-Pi/2</f>
        <v>-1.5707963250000001</v>
      </c>
      <c r="O682">
        <f t="shared" ref="O682:O687" si="600">SQRT(1+(A682/Fz1_u)^2)</f>
        <v>317.77935120045595</v>
      </c>
      <c r="P682">
        <f t="shared" ref="P682:P687" si="601">ATAN(A682/Fz1_u)</f>
        <v>1.5676494840354134</v>
      </c>
      <c r="Q682">
        <f t="shared" ref="Q682:Q687" si="602">SQRT(1+(A682/Fz2_u)^2)</f>
        <v>300.99425375845698</v>
      </c>
      <c r="R682">
        <f t="shared" ref="R682:R687" si="603">ATAN(A682/Fz2_u)</f>
        <v>1.567473998121973</v>
      </c>
      <c r="S682">
        <f t="shared" ref="S682:S687" si="604">1/SQRT(1+(A682/Fp1_u)^2)</f>
        <v>0.12946217481267544</v>
      </c>
      <c r="T682">
        <f t="shared" ref="T682:T687" si="605">-ATAN(A682/Fp1_u)</f>
        <v>-1.4409697560678671</v>
      </c>
      <c r="U682">
        <f t="shared" ref="U682:U687" si="606">1/SQRT(1+(A682/Fp2_u)^2)</f>
        <v>0.65573417736986184</v>
      </c>
      <c r="V682">
        <f t="shared" ref="V682:V687" si="607">-ATAN(A682/Fp2_u)</f>
        <v>-0.85564168561153375</v>
      </c>
      <c r="X682">
        <f t="shared" ref="X682:X686" si="608">20*LOG(C682*J682*O682*Q682*F682*M682*S682*U682)</f>
        <v>-45.135257287928667</v>
      </c>
      <c r="Y682">
        <f t="shared" ref="Y682:Y686" si="609">(180/Pi)*(D682+H682+N682+P682+R682+T682+V682)</f>
        <v>-176.87237015982015</v>
      </c>
      <c r="Z682">
        <f t="shared" ref="Z682:Z687" si="610">Y682+180</f>
        <v>3.1276298401798499</v>
      </c>
      <c r="AC682">
        <v>1</v>
      </c>
      <c r="AD682">
        <f t="shared" ref="AD682:AD687" si="611">Rcea1_u*Cc1ea_u*A682*2*Pi</f>
        <v>317.77777777777777</v>
      </c>
      <c r="AE682">
        <f t="shared" ref="AE682:AE687" si="612">-Rcea1_u*Cc1ea_u*Cc2ea_u*(A682*2*Pi)^2</f>
        <v>-2.8246913580246908E-2</v>
      </c>
      <c r="AF682">
        <f t="shared" ref="AF682:AF687" si="613">(Cc2ea_u+Cc1ea_u)*A682*2*Pi</f>
        <v>2.4533333333333331E-2</v>
      </c>
      <c r="AG682">
        <f t="shared" ref="AG682:AG687" si="614">AC682*AE682/(AE682^2+AF682^2)+AD682*AF682/(AE682^2+AF682^2)</f>
        <v>5549.4023772782111</v>
      </c>
      <c r="AH682">
        <f t="shared" ref="AH682:AH687" si="615">AD682*AE682/(AE682^2+AF682^2)-AC682*AF682/(AE682^2+AF682^2)</f>
        <v>-6430.1694037905327</v>
      </c>
      <c r="AJ682">
        <f t="shared" ref="AJ682:AJ688" si="616">_Rfb1</f>
        <v>18000</v>
      </c>
      <c r="AK682">
        <f t="shared" ref="AK682:AK687" si="617">_Rfb1*Rcea2_u*Cc3ea_u*A682*2*Pi</f>
        <v>137866.66666666666</v>
      </c>
      <c r="AL682">
        <v>1</v>
      </c>
      <c r="AM682">
        <f t="shared" ref="AM682:AM687" si="618">(_Rfb1+Rcea2_u)*Cc3ea_u*A682*2*Pi</f>
        <v>300.99259259259253</v>
      </c>
      <c r="AN682">
        <f t="shared" ref="AN682:AN687" si="619">AJ682*AL682/(AL682^2+AM682^2)+AK682*AM682/(AL682^2+AM682^2)</f>
        <v>458.23369009272511</v>
      </c>
      <c r="AO682">
        <f t="shared" ref="AO682:AO687" si="620">AK682*AL682/(AL682^2+AM682^2)-AJ682*AM682/(AL682^2+AM682^2)</f>
        <v>-58.279727613266786</v>
      </c>
      <c r="AQ682">
        <f t="shared" ref="AQ682:AQ687" si="621">Eadcg/(1+(Eadcg*A682/GBP)^2)</f>
        <v>1.7987350744429812E-3</v>
      </c>
      <c r="AR682">
        <f t="shared" ref="AR682:AR687" si="622">-(A682*Eadcg*Eadcg/GBP)/(1+(Eadcg*A682/GBP)^2)</f>
        <v>-4.2411493146294612</v>
      </c>
      <c r="AT682">
        <f t="shared" ref="AT682:AT687" si="623">-AR682*AH682+AG682*AQ682</f>
        <v>-27261.326655139339</v>
      </c>
      <c r="AU682">
        <f t="shared" ref="AU682:AU687" si="624">AQ682*AH682+AG682*AR682</f>
        <v>-23547.410260237797</v>
      </c>
      <c r="AV682">
        <f t="shared" ref="AV682:AV687" si="625">IF(AT682&lt;0,ATAN(AU682/AT682)+Pi,ATAN(AU682/AT682))</f>
        <v>3.8540245634062007</v>
      </c>
      <c r="AW682">
        <f t="shared" ref="AW682:AW687" si="626">AG682-AH682*AO682/_Rfb2+AG682*AN682/_Rfb2+AN682-AO682*AR682+AQ682*AN682</f>
        <v>6408.7283102727079</v>
      </c>
      <c r="AX682">
        <f t="shared" ref="AX682:AX687" si="627">AH682+AH682*AN682/_Rfb2+AG682*AO682/_Rfb2+AO682+AO682*AQ682+AN682*AR682</f>
        <v>-9408.4312552717929</v>
      </c>
      <c r="AY682">
        <f t="shared" ref="AY682:AY687" si="628">IF(AW682&lt;0,ATAN(AX682/AW682)+Pi,ATAN(AX682/AW682))</f>
        <v>-0.97282097905924347</v>
      </c>
      <c r="BA682">
        <f t="shared" ref="BA682:BA687" si="629">SQRT(AT682^2+AU682^2)/SQRT(AW682^2+AX682^2)</f>
        <v>3.1644202790080365</v>
      </c>
      <c r="BB682">
        <f t="shared" ref="BB682:BB687" si="630">20*LOG(BA682)</f>
        <v>10.005883180031073</v>
      </c>
      <c r="BC682">
        <f t="shared" ref="BC682:BC687" si="631">AV682-AY682</f>
        <v>4.8268455424654437</v>
      </c>
      <c r="BD682">
        <f t="shared" ref="BD682:BD687" si="632">BC682*180/Pi</f>
        <v>276.55787826081774</v>
      </c>
      <c r="BF682">
        <f t="shared" ref="BF682:BF686" si="633">20*LOG(BA682*J682*F682*C682)</f>
        <v>-60.419884754158097</v>
      </c>
      <c r="BG682">
        <f t="shared" ref="BG682:BG686" si="634">(180/Pi)*(D682+H682+BC682)</f>
        <v>141.6423070558088</v>
      </c>
      <c r="BH682">
        <f t="shared" ref="BH682:BH687" si="635">IF(BG682&gt;180,BG682-180,BG682+180)</f>
        <v>321.64230705580883</v>
      </c>
      <c r="BI682">
        <f t="shared" ref="BI682:BI687" si="636">IF(BH682&gt;180,BH682-360,BH682)</f>
        <v>-38.357692944191172</v>
      </c>
    </row>
    <row r="683" spans="1:69" x14ac:dyDescent="0.25">
      <c r="A683">
        <f>Fo+1</f>
        <v>4494.5179419644301</v>
      </c>
      <c r="B683">
        <f t="shared" si="591"/>
        <v>4.4945179419644301</v>
      </c>
      <c r="C683">
        <f t="shared" si="592"/>
        <v>1.0000072671133786</v>
      </c>
      <c r="D683">
        <f t="shared" si="593"/>
        <v>3.8123665536486675E-3</v>
      </c>
      <c r="F683">
        <f t="shared" si="594"/>
        <v>2.5266248752165463</v>
      </c>
      <c r="G683">
        <f t="shared" si="595"/>
        <v>1.5696451727991569</v>
      </c>
      <c r="H683">
        <f t="shared" si="596"/>
        <v>-1.5719474772008433</v>
      </c>
      <c r="J683">
        <f t="shared" si="597"/>
        <v>15</v>
      </c>
      <c r="M683">
        <f t="shared" si="598"/>
        <v>0.59398322562347172</v>
      </c>
      <c r="N683">
        <f t="shared" si="599"/>
        <v>-1.5707963250000001</v>
      </c>
      <c r="O683">
        <f t="shared" si="600"/>
        <v>1.5708949763104794</v>
      </c>
      <c r="P683">
        <f t="shared" si="601"/>
        <v>0.88074107531300583</v>
      </c>
      <c r="Q683">
        <f t="shared" si="602"/>
        <v>1.5220891734116468</v>
      </c>
      <c r="R683">
        <f t="shared" si="603"/>
        <v>0.85397482700908967</v>
      </c>
      <c r="S683">
        <f t="shared" si="604"/>
        <v>0.99957395110872116</v>
      </c>
      <c r="T683">
        <f t="shared" si="605"/>
        <v>-2.919175046684603E-2</v>
      </c>
      <c r="U683">
        <f t="shared" si="606"/>
        <v>0.99999036645519757</v>
      </c>
      <c r="V683">
        <f t="shared" si="607"/>
        <v>-4.3894328266901933E-3</v>
      </c>
      <c r="X683">
        <f t="shared" si="608"/>
        <v>34.61614713771656</v>
      </c>
      <c r="Y683">
        <f t="shared" si="609"/>
        <v>-82.379683754147564</v>
      </c>
      <c r="Z683">
        <f t="shared" si="610"/>
        <v>97.620316245852436</v>
      </c>
      <c r="AC683">
        <v>1</v>
      </c>
      <c r="AD683">
        <f t="shared" si="611"/>
        <v>1.2114912408257441</v>
      </c>
      <c r="AE683">
        <f t="shared" si="612"/>
        <v>-4.1054853890839198E-7</v>
      </c>
      <c r="AF683">
        <f t="shared" si="613"/>
        <v>9.3530512578435067E-5</v>
      </c>
      <c r="AG683">
        <f t="shared" si="614"/>
        <v>12905.719099634678</v>
      </c>
      <c r="AH683">
        <f t="shared" si="615"/>
        <v>-10748.347212112943</v>
      </c>
      <c r="AJ683">
        <f t="shared" si="616"/>
        <v>18000</v>
      </c>
      <c r="AK683">
        <f t="shared" si="617"/>
        <v>525.60081525055364</v>
      </c>
      <c r="AL683">
        <v>1</v>
      </c>
      <c r="AM683">
        <f t="shared" si="618"/>
        <v>1.1474996522077689</v>
      </c>
      <c r="AN683">
        <f t="shared" si="619"/>
        <v>8029.8189168435301</v>
      </c>
      <c r="AO683">
        <f t="shared" si="620"/>
        <v>-8688.6135991187621</v>
      </c>
      <c r="AQ683">
        <f t="shared" si="621"/>
        <v>122.24525494672802</v>
      </c>
      <c r="AR683">
        <f t="shared" si="622"/>
        <v>-1098.8669833561703</v>
      </c>
      <c r="AT683">
        <f t="shared" si="623"/>
        <v>-10233340.955433555</v>
      </c>
      <c r="AU683">
        <f t="shared" si="624"/>
        <v>-15495603.06025837</v>
      </c>
      <c r="AV683">
        <f t="shared" si="625"/>
        <v>4.1287353834880722</v>
      </c>
      <c r="AW683">
        <f t="shared" si="626"/>
        <v>-8542029.3365353495</v>
      </c>
      <c r="AX683">
        <f t="shared" si="627"/>
        <v>-9964538.0506568383</v>
      </c>
      <c r="AY683">
        <f t="shared" si="628"/>
        <v>4.0037050449607587</v>
      </c>
      <c r="BA683">
        <f t="shared" si="629"/>
        <v>1.414866943336814</v>
      </c>
      <c r="BB683">
        <f t="shared" si="630"/>
        <v>3.0143119987375351</v>
      </c>
      <c r="BC683">
        <f t="shared" si="631"/>
        <v>0.12503033852731349</v>
      </c>
      <c r="BD683">
        <f t="shared" si="632"/>
        <v>7.1637107168927283</v>
      </c>
      <c r="BF683">
        <f t="shared" si="633"/>
        <v>34.58701565209347</v>
      </c>
      <c r="BG683">
        <f t="shared" si="634"/>
        <v>-82.683812932137641</v>
      </c>
      <c r="BH683">
        <f t="shared" si="635"/>
        <v>97.316187067862359</v>
      </c>
      <c r="BI683">
        <f t="shared" si="636"/>
        <v>97.316187067862359</v>
      </c>
    </row>
    <row r="684" spans="1:69" x14ac:dyDescent="0.25">
      <c r="A684">
        <f>Fz1_u</f>
        <v>3709.9054376166987</v>
      </c>
      <c r="B684">
        <f t="shared" si="591"/>
        <v>3.7099054376166989</v>
      </c>
      <c r="C684">
        <f t="shared" si="592"/>
        <v>1.0000049513301061</v>
      </c>
      <c r="D684">
        <f t="shared" si="593"/>
        <v>3.1468427594833321E-3</v>
      </c>
      <c r="F684">
        <f t="shared" si="594"/>
        <v>2.1672191533654663</v>
      </c>
      <c r="G684">
        <f t="shared" si="595"/>
        <v>-0.78668118350116434</v>
      </c>
      <c r="H684">
        <f t="shared" si="596"/>
        <v>-0.78668118350116434</v>
      </c>
      <c r="J684">
        <f t="shared" si="597"/>
        <v>15</v>
      </c>
      <c r="M684">
        <f t="shared" si="598"/>
        <v>0.71960547504025774</v>
      </c>
      <c r="N684">
        <f t="shared" si="599"/>
        <v>-1.5707963250000001</v>
      </c>
      <c r="O684">
        <f t="shared" si="600"/>
        <v>1.4142135623730951</v>
      </c>
      <c r="P684">
        <f t="shared" si="601"/>
        <v>0.78539816339744828</v>
      </c>
      <c r="Q684">
        <f t="shared" si="602"/>
        <v>1.3773703136533748</v>
      </c>
      <c r="R684">
        <f t="shared" si="603"/>
        <v>0.75827813528710297</v>
      </c>
      <c r="S684">
        <f t="shared" si="604"/>
        <v>0.99970965969704584</v>
      </c>
      <c r="T684">
        <f t="shared" si="605"/>
        <v>-2.4097898398986337E-2</v>
      </c>
      <c r="U684">
        <f t="shared" si="606"/>
        <v>0.99999343631751159</v>
      </c>
      <c r="V684">
        <f t="shared" si="607"/>
        <v>-3.6231725514603544E-3</v>
      </c>
      <c r="X684">
        <f t="shared" si="608"/>
        <v>33.170549055531666</v>
      </c>
      <c r="Y684">
        <f t="shared" si="609"/>
        <v>-48.035374300154352</v>
      </c>
      <c r="Z684">
        <f t="shared" si="610"/>
        <v>131.96462569984564</v>
      </c>
      <c r="AC684">
        <v>1</v>
      </c>
      <c r="AD684">
        <f t="shared" si="611"/>
        <v>1</v>
      </c>
      <c r="AE684">
        <f t="shared" si="612"/>
        <v>-2.7972027972027968E-7</v>
      </c>
      <c r="AF684">
        <f t="shared" si="613"/>
        <v>7.7202797202797195E-5</v>
      </c>
      <c r="AG684">
        <f t="shared" si="614"/>
        <v>12905.798338081049</v>
      </c>
      <c r="AH684">
        <f t="shared" si="615"/>
        <v>-12999.658689630729</v>
      </c>
      <c r="AJ684">
        <f t="shared" si="616"/>
        <v>18000</v>
      </c>
      <c r="AK684">
        <f t="shared" si="617"/>
        <v>433.84615384615387</v>
      </c>
      <c r="AL684">
        <v>1</v>
      </c>
      <c r="AM684">
        <f t="shared" si="618"/>
        <v>0.94717948717948719</v>
      </c>
      <c r="AN684">
        <f t="shared" si="619"/>
        <v>9704.5252442191886</v>
      </c>
      <c r="AO684">
        <f t="shared" si="620"/>
        <v>-8758.0810902937646</v>
      </c>
      <c r="AQ684">
        <f t="shared" si="621"/>
        <v>178.40069456951235</v>
      </c>
      <c r="AR684">
        <f t="shared" si="622"/>
        <v>-1323.6994137160593</v>
      </c>
      <c r="AT684">
        <f t="shared" si="623"/>
        <v>-14905237.198485356</v>
      </c>
      <c r="AU684">
        <f t="shared" si="624"/>
        <v>-19402545.833052296</v>
      </c>
      <c r="AV684">
        <f t="shared" si="625"/>
        <v>4.0573347261713799</v>
      </c>
      <c r="AW684">
        <f t="shared" si="626"/>
        <v>-9835760.485664472</v>
      </c>
      <c r="AX684">
        <f t="shared" si="627"/>
        <v>-14501503.326695114</v>
      </c>
      <c r="AY684">
        <f t="shared" si="628"/>
        <v>4.1164044838067655</v>
      </c>
      <c r="BA684">
        <f t="shared" si="629"/>
        <v>1.3963133343846976</v>
      </c>
      <c r="BB684">
        <f t="shared" si="630"/>
        <v>2.8996577085069286</v>
      </c>
      <c r="BC684">
        <f t="shared" si="631"/>
        <v>-5.9069757635385578E-2</v>
      </c>
      <c r="BD684">
        <f t="shared" si="632"/>
        <v>-3.3844478132355587</v>
      </c>
      <c r="BF684">
        <f t="shared" si="633"/>
        <v>33.139582500881311</v>
      </c>
      <c r="BG684">
        <f t="shared" si="634"/>
        <v>-48.2776586925972</v>
      </c>
      <c r="BH684">
        <f t="shared" si="635"/>
        <v>131.72234130740281</v>
      </c>
      <c r="BI684">
        <f t="shared" si="636"/>
        <v>131.72234130740281</v>
      </c>
    </row>
    <row r="685" spans="1:69" x14ac:dyDescent="0.25">
      <c r="A685">
        <f>Fz2_u</f>
        <v>3916.7924219559086</v>
      </c>
      <c r="B685">
        <f t="shared" si="591"/>
        <v>3.9167924219559085</v>
      </c>
      <c r="C685">
        <f t="shared" si="592"/>
        <v>1.0000055189592878</v>
      </c>
      <c r="D685">
        <f t="shared" si="593"/>
        <v>3.3223286729237344E-3</v>
      </c>
      <c r="F685">
        <f t="shared" si="594"/>
        <v>2.3608539538756874</v>
      </c>
      <c r="G685">
        <f t="shared" si="595"/>
        <v>-0.95149335145919689</v>
      </c>
      <c r="H685">
        <f t="shared" si="596"/>
        <v>-0.95149335145919689</v>
      </c>
      <c r="J685">
        <f t="shared" si="597"/>
        <v>15</v>
      </c>
      <c r="M685">
        <f t="shared" si="598"/>
        <v>0.68159554482018259</v>
      </c>
      <c r="N685">
        <f t="shared" si="599"/>
        <v>-1.5707963250000001</v>
      </c>
      <c r="O685">
        <f t="shared" si="600"/>
        <v>1.4541808942198597</v>
      </c>
      <c r="P685">
        <f t="shared" si="601"/>
        <v>0.81251819150779359</v>
      </c>
      <c r="Q685">
        <f t="shared" si="602"/>
        <v>1.4142135623730951</v>
      </c>
      <c r="R685">
        <f t="shared" si="603"/>
        <v>0.78539816339744828</v>
      </c>
      <c r="S685">
        <f t="shared" si="604"/>
        <v>0.99967639063826375</v>
      </c>
      <c r="T685">
        <f t="shared" si="605"/>
        <v>-2.5441179889269725E-2</v>
      </c>
      <c r="U685">
        <f t="shared" si="606"/>
        <v>0.99999268385160167</v>
      </c>
      <c r="V685">
        <f t="shared" si="607"/>
        <v>-3.8252208614561155E-3</v>
      </c>
      <c r="X685">
        <f t="shared" si="608"/>
        <v>33.913584220674132</v>
      </c>
      <c r="Y685">
        <f t="shared" si="609"/>
        <v>-54.4491759151895</v>
      </c>
      <c r="Z685">
        <f t="shared" si="610"/>
        <v>125.5508240848105</v>
      </c>
      <c r="AC685">
        <v>1</v>
      </c>
      <c r="AD685">
        <f t="shared" si="611"/>
        <v>1.0557661072008662</v>
      </c>
      <c r="AE685">
        <f t="shared" si="612"/>
        <v>-3.1178799247946049E-7</v>
      </c>
      <c r="AF685">
        <f t="shared" si="613"/>
        <v>8.150809666781513E-5</v>
      </c>
      <c r="AG685">
        <f t="shared" si="614"/>
        <v>12905.778915614292</v>
      </c>
      <c r="AH685">
        <f t="shared" si="615"/>
        <v>-12318.087502292752</v>
      </c>
      <c r="AJ685">
        <f t="shared" si="616"/>
        <v>18000</v>
      </c>
      <c r="AK685">
        <f t="shared" si="617"/>
        <v>458.04006497022198</v>
      </c>
      <c r="AL685">
        <v>1</v>
      </c>
      <c r="AM685">
        <f t="shared" si="618"/>
        <v>1</v>
      </c>
      <c r="AN685">
        <f t="shared" si="619"/>
        <v>9229.0200324851103</v>
      </c>
      <c r="AO685">
        <f t="shared" si="620"/>
        <v>-8770.9799675148897</v>
      </c>
      <c r="AQ685">
        <f t="shared" si="621"/>
        <v>160.34621568323834</v>
      </c>
      <c r="AR685">
        <f t="shared" si="622"/>
        <v>-1256.0856849548311</v>
      </c>
      <c r="AT685">
        <f t="shared" si="623"/>
        <v>-13403180.568087656</v>
      </c>
      <c r="AU685">
        <f t="shared" si="624"/>
        <v>-18185922.864542633</v>
      </c>
      <c r="AV685">
        <f t="shared" si="625"/>
        <v>4.0772543772560601</v>
      </c>
      <c r="AW685">
        <f t="shared" si="626"/>
        <v>-9511824.716006577</v>
      </c>
      <c r="AX685">
        <f t="shared" si="627"/>
        <v>-13087671.412061254</v>
      </c>
      <c r="AY685">
        <f t="shared" si="628"/>
        <v>4.0839166917761176</v>
      </c>
      <c r="BA685">
        <f t="shared" si="629"/>
        <v>1.3963381437724409</v>
      </c>
      <c r="BB685">
        <f t="shared" si="630"/>
        <v>2.8998120361096511</v>
      </c>
      <c r="BC685">
        <f t="shared" si="631"/>
        <v>-6.6623145200574996E-3</v>
      </c>
      <c r="BD685">
        <f t="shared" si="632"/>
        <v>-0.3817225042242029</v>
      </c>
      <c r="BF685">
        <f t="shared" si="633"/>
        <v>33.883067589614846</v>
      </c>
      <c r="BG685">
        <f t="shared" si="634"/>
        <v>-54.707920428556996</v>
      </c>
      <c r="BH685">
        <f t="shared" si="635"/>
        <v>125.292079571443</v>
      </c>
      <c r="BI685">
        <f t="shared" si="636"/>
        <v>125.292079571443</v>
      </c>
    </row>
    <row r="686" spans="1:69" x14ac:dyDescent="0.25">
      <c r="A686">
        <f>Fp1_u</f>
        <v>153921.60858196943</v>
      </c>
      <c r="B686">
        <f t="shared" si="591"/>
        <v>153.92160858196942</v>
      </c>
      <c r="C686">
        <f t="shared" si="592"/>
        <v>1.0084870628983582</v>
      </c>
      <c r="D686">
        <f t="shared" si="593"/>
        <v>0.12982657072702949</v>
      </c>
      <c r="F686">
        <f t="shared" si="594"/>
        <v>8.3332734809368411E-4</v>
      </c>
      <c r="G686">
        <f t="shared" si="595"/>
        <v>1.1295365519172349E-2</v>
      </c>
      <c r="H686">
        <f t="shared" si="596"/>
        <v>-3.1302972844808279</v>
      </c>
      <c r="J686">
        <f t="shared" si="597"/>
        <v>15</v>
      </c>
      <c r="M686">
        <f t="shared" si="598"/>
        <v>1.7344337090713903E-2</v>
      </c>
      <c r="N686">
        <f t="shared" si="599"/>
        <v>-1.5707963250000001</v>
      </c>
      <c r="O686">
        <f t="shared" si="600"/>
        <v>41.501411234438493</v>
      </c>
      <c r="P686">
        <f t="shared" si="601"/>
        <v>1.5466984283959102</v>
      </c>
      <c r="Q686">
        <f t="shared" si="602"/>
        <v>39.310593616535257</v>
      </c>
      <c r="R686">
        <f t="shared" si="603"/>
        <v>1.5453551469056268</v>
      </c>
      <c r="S686">
        <f t="shared" si="604"/>
        <v>0.70710678118654746</v>
      </c>
      <c r="T686">
        <f t="shared" si="605"/>
        <v>-0.78539816339744828</v>
      </c>
      <c r="U686">
        <f t="shared" si="606"/>
        <v>0.98888933357264674</v>
      </c>
      <c r="V686">
        <f t="shared" si="607"/>
        <v>-0.14920658222517363</v>
      </c>
      <c r="X686">
        <f t="shared" si="608"/>
        <v>-12.061198154588375</v>
      </c>
      <c r="Y686">
        <f t="shared" si="609"/>
        <v>-138.30159604985036</v>
      </c>
      <c r="Z686">
        <f t="shared" si="610"/>
        <v>41.69840395014964</v>
      </c>
      <c r="AC686">
        <v>1</v>
      </c>
      <c r="AD686">
        <f t="shared" si="611"/>
        <v>41.48936170212766</v>
      </c>
      <c r="AE686">
        <f t="shared" si="612"/>
        <v>-4.81501296349644E-4</v>
      </c>
      <c r="AF686">
        <f t="shared" si="613"/>
        <v>3.2030947775628627E-3</v>
      </c>
      <c r="AG686">
        <f t="shared" si="614"/>
        <v>12620.773155312649</v>
      </c>
      <c r="AH686">
        <f t="shared" si="615"/>
        <v>-2209.4003227099133</v>
      </c>
      <c r="AJ686">
        <f t="shared" si="616"/>
        <v>18000</v>
      </c>
      <c r="AK686">
        <f t="shared" si="617"/>
        <v>18000.000000000004</v>
      </c>
      <c r="AL686">
        <v>1</v>
      </c>
      <c r="AM686">
        <f t="shared" si="618"/>
        <v>39.297872340425535</v>
      </c>
      <c r="AN686">
        <f t="shared" si="619"/>
        <v>469.39171283957381</v>
      </c>
      <c r="AO686">
        <f t="shared" si="620"/>
        <v>-446.09560882324843</v>
      </c>
      <c r="AQ686">
        <f t="shared" si="621"/>
        <v>0.10552035392310068</v>
      </c>
      <c r="AR686">
        <f t="shared" si="622"/>
        <v>-32.483725227964769</v>
      </c>
      <c r="AT686">
        <f t="shared" si="623"/>
        <v>-70437.804551353765</v>
      </c>
      <c r="AU686">
        <f t="shared" si="624"/>
        <v>-410202.86404566019</v>
      </c>
      <c r="AV686">
        <f t="shared" si="625"/>
        <v>4.542332891545021</v>
      </c>
      <c r="AW686">
        <f t="shared" si="626"/>
        <v>123.53382585807664</v>
      </c>
      <c r="AX686">
        <f t="shared" si="627"/>
        <v>-19941.04330356912</v>
      </c>
      <c r="AY686">
        <f t="shared" si="628"/>
        <v>-1.5646014530508408</v>
      </c>
      <c r="BA686">
        <f t="shared" si="629"/>
        <v>20.871452684830686</v>
      </c>
      <c r="BB686">
        <f t="shared" si="630"/>
        <v>26.391053553469931</v>
      </c>
      <c r="BC686">
        <f t="shared" si="631"/>
        <v>6.1069343445958619</v>
      </c>
      <c r="BD686">
        <f t="shared" si="632"/>
        <v>349.90156410865524</v>
      </c>
      <c r="BF686">
        <f t="shared" si="633"/>
        <v>-11.597401944029633</v>
      </c>
      <c r="BG686">
        <f t="shared" si="634"/>
        <v>177.98725546151613</v>
      </c>
      <c r="BH686">
        <f t="shared" si="635"/>
        <v>357.98725546151616</v>
      </c>
      <c r="BI686">
        <f t="shared" si="636"/>
        <v>-2.0127445384838438</v>
      </c>
    </row>
    <row r="687" spans="1:69" x14ac:dyDescent="0.25">
      <c r="A687">
        <f>Fp2_u</f>
        <v>1023933.9007822089</v>
      </c>
      <c r="B687">
        <f t="shared" si="591"/>
        <v>1023.9339007822089</v>
      </c>
      <c r="C687">
        <f>SQRT((A687/Fesr)^2+1)</f>
        <v>1.3245176147675159</v>
      </c>
      <c r="D687">
        <f>ATAN(A687/Fesr)</f>
        <v>0.7151546411833628</v>
      </c>
      <c r="F687">
        <f t="shared" si="594"/>
        <v>1.8816382410587924E-5</v>
      </c>
      <c r="G687">
        <f t="shared" si="595"/>
        <v>1.696618066846331E-3</v>
      </c>
      <c r="H687">
        <f t="shared" si="596"/>
        <v>-3.1398960319331537</v>
      </c>
      <c r="J687">
        <f t="shared" si="597"/>
        <v>15</v>
      </c>
      <c r="M687">
        <f t="shared" si="598"/>
        <v>2.6072662139139768E-3</v>
      </c>
      <c r="N687">
        <f t="shared" si="599"/>
        <v>-1.5707963250000001</v>
      </c>
      <c r="O687">
        <f t="shared" si="600"/>
        <v>276.00181158825751</v>
      </c>
      <c r="P687">
        <f t="shared" si="601"/>
        <v>1.5671731542434362</v>
      </c>
      <c r="Q687">
        <f t="shared" si="602"/>
        <v>261.42345107430128</v>
      </c>
      <c r="R687">
        <f t="shared" si="603"/>
        <v>1.5669711059334406</v>
      </c>
      <c r="S687">
        <f t="shared" si="604"/>
        <v>0.14865357697091128</v>
      </c>
      <c r="T687">
        <f t="shared" si="605"/>
        <v>-1.421589744569723</v>
      </c>
      <c r="U687">
        <f t="shared" si="606"/>
        <v>0.70710678118654746</v>
      </c>
      <c r="V687">
        <f t="shared" si="607"/>
        <v>-0.78539816339744828</v>
      </c>
      <c r="X687">
        <f>20*LOG(C687*J687*O687*Q687*F687*M687*S687*U687)</f>
        <v>-42.624253054379118</v>
      </c>
      <c r="Y687">
        <f>(180/Pi)*(D687+H687+N687+P687+R687+T687+V687)</f>
        <v>-175.80530226833045</v>
      </c>
      <c r="Z687">
        <f t="shared" si="610"/>
        <v>4.1946977316695495</v>
      </c>
      <c r="AC687">
        <v>1</v>
      </c>
      <c r="AD687">
        <f t="shared" si="611"/>
        <v>276</v>
      </c>
      <c r="AE687">
        <f t="shared" si="612"/>
        <v>-2.1307972027972029E-2</v>
      </c>
      <c r="AF687">
        <f t="shared" si="613"/>
        <v>2.1307972027972029E-2</v>
      </c>
      <c r="AG687">
        <f t="shared" si="614"/>
        <v>6452.9838794370935</v>
      </c>
      <c r="AH687">
        <f t="shared" si="615"/>
        <v>-6499.9146712875445</v>
      </c>
      <c r="AJ687">
        <f t="shared" si="616"/>
        <v>18000</v>
      </c>
      <c r="AK687">
        <f t="shared" si="617"/>
        <v>119741.53846153848</v>
      </c>
      <c r="AL687">
        <v>1</v>
      </c>
      <c r="AM687">
        <f t="shared" si="618"/>
        <v>261.42153846153843</v>
      </c>
      <c r="AN687">
        <f t="shared" si="619"/>
        <v>458.29674319543898</v>
      </c>
      <c r="AO687">
        <f t="shared" si="620"/>
        <v>-67.101216525758375</v>
      </c>
      <c r="AQ687">
        <f t="shared" si="621"/>
        <v>2.384493050708405E-3</v>
      </c>
      <c r="AR687">
        <f t="shared" si="622"/>
        <v>-4.8831265415998519</v>
      </c>
      <c r="AT687">
        <f t="shared" si="623"/>
        <v>-31724.518754281635</v>
      </c>
      <c r="AU687">
        <f t="shared" si="624"/>
        <v>-31526.235855559131</v>
      </c>
      <c r="AV687">
        <f t="shared" si="625"/>
        <v>3.9238559535777733</v>
      </c>
      <c r="AW687">
        <f t="shared" si="626"/>
        <v>7337.5767834851076</v>
      </c>
      <c r="AX687">
        <f t="shared" si="627"/>
        <v>-9823.9259788625459</v>
      </c>
      <c r="AY687">
        <f t="shared" si="628"/>
        <v>-0.92927652196336619</v>
      </c>
      <c r="BA687">
        <f t="shared" si="629"/>
        <v>3.6475543711475766</v>
      </c>
      <c r="BB687">
        <f t="shared" si="630"/>
        <v>11.240035485817669</v>
      </c>
      <c r="BC687">
        <f t="shared" si="631"/>
        <v>4.8531324755411394</v>
      </c>
      <c r="BD687">
        <f t="shared" si="632"/>
        <v>278.06400858411899</v>
      </c>
      <c r="BF687">
        <f>20*LOG(BA687*J687*F687*C687)</f>
        <v>-57.306261950465974</v>
      </c>
      <c r="BG687">
        <f>(180/Pi)*(D687+H687+BC687)</f>
        <v>139.13656032472659</v>
      </c>
      <c r="BH687">
        <f t="shared" si="635"/>
        <v>319.13656032472659</v>
      </c>
      <c r="BI687">
        <f t="shared" si="636"/>
        <v>-40.863439675273412</v>
      </c>
    </row>
    <row r="688" spans="1:69" x14ac:dyDescent="0.25">
      <c r="A688">
        <f>'Bode Plots Calculations'!BK5*1000</f>
        <v>56000</v>
      </c>
      <c r="B688">
        <f t="shared" si="591"/>
        <v>56</v>
      </c>
      <c r="C688">
        <f>SQRT((A688/Fesr)^2+1)</f>
        <v>1.001127531178339</v>
      </c>
      <c r="D688">
        <f>ATAN(A688/Fesr)</f>
        <v>4.7465203210151352E-2</v>
      </c>
      <c r="F688">
        <f t="shared" ref="F688" si="637">(Ro/(Ro+Rdcr))/SQRT((A688/(Q*Fo))^2+(1-(A688^2/Fo^2))^2)</f>
        <v>6.3283417882803797E-3</v>
      </c>
      <c r="G688">
        <f t="shared" ref="G688" si="638">-ATAN(A688*Fo/(Q*(Fo^2-A688^2)))</f>
        <v>3.1212193994915257E-2</v>
      </c>
      <c r="H688">
        <f t="shared" ref="H688" si="639">IF(G688&gt;0,G688-Pi,G688)</f>
        <v>-3.1103804560050849</v>
      </c>
      <c r="J688">
        <f t="shared" si="597"/>
        <v>15</v>
      </c>
      <c r="M688">
        <f t="shared" ref="M688" si="640">1/(2*Pi*_Rfb1*(Cc1ea_u+Cc2ea_u)*A688)</f>
        <v>4.7672647585546422E-2</v>
      </c>
      <c r="N688">
        <f t="shared" si="599"/>
        <v>-1.5707963250000001</v>
      </c>
      <c r="O688">
        <f t="shared" ref="O688" si="641">SQRT(1+(A688/Fz1_u)^2)</f>
        <v>15.127812255804592</v>
      </c>
      <c r="P688">
        <f t="shared" ref="P688" si="642">ATAN(A688/Fz1_u)</f>
        <v>1.5046446787114485</v>
      </c>
      <c r="Q688">
        <f t="shared" ref="Q688" si="643">SQRT(1+(A688/Fz2_u)^2)</f>
        <v>14.332341978259997</v>
      </c>
      <c r="R688">
        <f t="shared" ref="R688" si="644">ATAN(A688/Fz2_u)</f>
        <v>1.5009673242724375</v>
      </c>
      <c r="S688">
        <f t="shared" ref="S688" si="645">1/SQRT(1+(A688/Fp1_u)^2)</f>
        <v>0.93973751566734343</v>
      </c>
      <c r="T688">
        <f t="shared" ref="T688" si="646">-ATAN(A688/Fp1_u)</f>
        <v>-0.34893456286827235</v>
      </c>
      <c r="U688">
        <f t="shared" ref="U688" si="647">1/SQRT(1+(A688/Fp2_u)^2)</f>
        <v>0.99850779228554365</v>
      </c>
      <c r="V688">
        <f t="shared" ref="V688" si="648">-ATAN(A688/Fp2_u)</f>
        <v>-5.4636599018951869E-2</v>
      </c>
      <c r="X688">
        <f>20*LOG(C688*J688*O688*Q688*F688*M688*S688*U688)</f>
        <v>-0.70817651703931961</v>
      </c>
      <c r="Y688">
        <f>(180/Pi)*(D688+H688+N688+P688+R688+T688+V688)</f>
        <v>-116.4061587060591</v>
      </c>
      <c r="Z688">
        <f t="shared" ref="Z688" si="649">Y688+180</f>
        <v>63.593841293940898</v>
      </c>
      <c r="AC688">
        <v>1</v>
      </c>
      <c r="AD688">
        <f t="shared" ref="AD688" si="650">Rcea1_u*Cc1ea_u*A688*2*Pi</f>
        <v>15.094724364720001</v>
      </c>
      <c r="AE688">
        <f t="shared" ref="AE688" si="651">-Rcea1_u*Cc1ea_u*Cc2ea_u*(A688*2*Pi)^2</f>
        <v>-6.373446255856549E-5</v>
      </c>
      <c r="AF688">
        <f t="shared" ref="AF688" si="652">(Cc2ea_u+Cc1ea_u)*A688*2*Pi</f>
        <v>1.1653549439615998E-3</v>
      </c>
      <c r="AG688">
        <f t="shared" ref="AG688" si="653">AC688*AE688/(AE688^2+AF688^2)+AD688*AF688/(AE688^2+AF688^2)</f>
        <v>12867.479727079701</v>
      </c>
      <c r="AH688">
        <f t="shared" ref="AH688" si="654">AD688*AE688/(AE688^2+AF688^2)-AC688*AF688/(AE688^2+AF688^2)</f>
        <v>-1561.8433802677005</v>
      </c>
      <c r="AJ688">
        <f t="shared" si="616"/>
        <v>18000</v>
      </c>
      <c r="AK688">
        <f t="shared" ref="AK688" si="655">_Rfb1*Rcea2_u*Cc3ea_u*A688*2*Pi</f>
        <v>6548.7881090015999</v>
      </c>
      <c r="AL688">
        <v>1</v>
      </c>
      <c r="AM688">
        <f t="shared" ref="AM688" si="656">(_Rfb1+Rcea2_u)*Cc3ea_u*A688*2*Pi</f>
        <v>14.297413282891199</v>
      </c>
      <c r="AN688">
        <f t="shared" ref="AN688" si="657">AJ688*AL688/(AL688^2+AM688^2)+AK688*AM688/(AL688^2+AM688^2)</f>
        <v>543.43729627166977</v>
      </c>
      <c r="AO688">
        <f t="shared" ref="AO688" si="658">AK688*AL688/(AL688^2+AM688^2)-AJ688*AM688/(AL688^2+AM688^2)</f>
        <v>-1220.9595091314513</v>
      </c>
      <c r="AQ688">
        <f t="shared" ref="AQ688" si="659">Eadcg/(1+(Eadcg*A688/GBP)^2)</f>
        <v>0.79713033080908724</v>
      </c>
      <c r="AR688">
        <f t="shared" ref="AR688" si="660">-(A688*Eadcg*Eadcg/GBP)/(1+(Eadcg*A688/GBP)^2)</f>
        <v>-89.278597050617776</v>
      </c>
      <c r="AT688">
        <f t="shared" ref="AT688" si="661">-AR688*AH688+AG688*AQ688</f>
        <v>-129182.12743156856</v>
      </c>
      <c r="AU688">
        <f t="shared" ref="AU688" si="662">AQ688*AH688+AG688*AR688</f>
        <v>-1150035.5303413265</v>
      </c>
      <c r="AV688">
        <f t="shared" ref="AV688" si="663">IF(AT688&lt;0,ATAN(AU688/AT688)+Pi,ATAN(AU688/AT688))</f>
        <v>4.6005290638723331</v>
      </c>
      <c r="AW688">
        <f t="shared" ref="AW688" si="664">AG688-AH688*AO688/_Rfb2+AG688*AN688/_Rfb2+AN688-AO688*AR688+AQ688*AN688</f>
        <v>-93642.791897226169</v>
      </c>
      <c r="AX688">
        <f t="shared" ref="AX688" si="665">AH688+AH688*AN688/_Rfb2+AG688*AO688/_Rfb2+AO688+AO688*AQ688+AN688*AR688</f>
        <v>-57218.217629249761</v>
      </c>
      <c r="AY688">
        <f t="shared" ref="AY688" si="666">IF(AW688&lt;0,ATAN(AX688/AW688)+Pi,ATAN(AX688/AW688))</f>
        <v>3.6900803697925086</v>
      </c>
      <c r="BA688">
        <f t="shared" ref="BA688" si="667">SQRT(AT688^2+AU688^2)/SQRT(AW688^2+AX688^2)</f>
        <v>10.545533227713117</v>
      </c>
      <c r="BB688">
        <f t="shared" ref="BB688" si="668">20*LOG(BA688)</f>
        <v>20.461370888714502</v>
      </c>
      <c r="BC688">
        <f t="shared" ref="BC688" si="669">AV688-AY688</f>
        <v>0.91044869407982443</v>
      </c>
      <c r="BD688">
        <f t="shared" ref="BD688" si="670">BC688*180/Pi</f>
        <v>52.164867693578408</v>
      </c>
      <c r="BF688">
        <v>0</v>
      </c>
      <c r="BG688">
        <f>(180/Pi)*(D688+H688+BC688)</f>
        <v>-123.32724949834589</v>
      </c>
      <c r="BH688">
        <f t="shared" ref="BH688:BH690" si="671">IF(BG688&gt;180,BG688-180,BG688+180)</f>
        <v>56.672750501654107</v>
      </c>
      <c r="BI688">
        <f t="shared" ref="BI688:BI690" si="672">IF(BH688&gt;180,BH688-360,BH688)</f>
        <v>56.672750501654107</v>
      </c>
    </row>
    <row r="689" spans="1:61" x14ac:dyDescent="0.25">
      <c r="A689">
        <v>1000000</v>
      </c>
      <c r="B689">
        <f t="shared" si="591"/>
        <v>1000</v>
      </c>
      <c r="BG689">
        <f>BG688</f>
        <v>-123.32724949834589</v>
      </c>
      <c r="BH689">
        <f t="shared" si="671"/>
        <v>56.672750501654107</v>
      </c>
      <c r="BI689">
        <f t="shared" si="672"/>
        <v>56.672750501654107</v>
      </c>
    </row>
    <row r="690" spans="1:61" x14ac:dyDescent="0.25">
      <c r="A690">
        <f>'Bode Plots Calculations'!BK5*1000</f>
        <v>56000</v>
      </c>
      <c r="B690">
        <f t="shared" si="591"/>
        <v>56</v>
      </c>
      <c r="BG690">
        <f>BG688</f>
        <v>-123.32724949834589</v>
      </c>
      <c r="BH690">
        <f t="shared" si="671"/>
        <v>56.672750501654107</v>
      </c>
      <c r="BI690">
        <f t="shared" si="672"/>
        <v>56.672750501654107</v>
      </c>
    </row>
    <row r="691" spans="1:61" x14ac:dyDescent="0.25">
      <c r="A691">
        <f>'Bode Plots Calculations'!BK5*1000</f>
        <v>56000</v>
      </c>
      <c r="B691">
        <f t="shared" si="591"/>
        <v>56</v>
      </c>
      <c r="BG691">
        <v>-90</v>
      </c>
    </row>
    <row r="692" spans="1:61" x14ac:dyDescent="0.25">
      <c r="A692">
        <f>'Bode Plots Calculations'!BK5*1000</f>
        <v>56000</v>
      </c>
      <c r="B692">
        <f t="shared" si="591"/>
        <v>56</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85" zoomScaleNormal="85" workbookViewId="0">
      <selection activeCell="B2" sqref="B2"/>
    </sheetView>
  </sheetViews>
  <sheetFormatPr defaultColWidth="9.109375" defaultRowHeight="13.2" x14ac:dyDescent="0.25"/>
  <cols>
    <col min="1" max="1" width="10.5546875" style="384" customWidth="1"/>
    <col min="2" max="2" width="129.6640625" style="384" customWidth="1"/>
    <col min="3" max="16384" width="9.109375" style="384"/>
  </cols>
  <sheetData>
    <row r="2" spans="1:2" x14ac:dyDescent="0.25">
      <c r="A2" s="384" t="str">
        <f>IF(RDSON_sense=1, "SCH_RDSON", "SCH_SHUNT")</f>
        <v>SCH_RDSON</v>
      </c>
    </row>
    <row r="5" spans="1:2" ht="403.5" customHeight="1" x14ac:dyDescent="0.25">
      <c r="B5" s="346"/>
    </row>
    <row r="6" spans="1:2" ht="12" customHeight="1" x14ac:dyDescent="0.25">
      <c r="B6" s="346"/>
    </row>
    <row r="7" spans="1:2" ht="34.5" customHeight="1" x14ac:dyDescent="0.25"/>
    <row r="8" spans="1:2" ht="404.1" customHeight="1" x14ac:dyDescent="0.25">
      <c r="B8" s="346"/>
    </row>
    <row r="9" spans="1:2" x14ac:dyDescent="0.25">
      <c r="B9" s="346"/>
    </row>
  </sheetData>
  <phoneticPr fontId="10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V1" workbookViewId="0">
      <selection activeCell="AJ9" sqref="AJ9"/>
    </sheetView>
  </sheetViews>
  <sheetFormatPr defaultRowHeight="13.2" x14ac:dyDescent="0.25"/>
  <cols>
    <col min="1" max="1" width="19.88671875" customWidth="1"/>
    <col min="2" max="2" width="13.109375" bestFit="1" customWidth="1"/>
    <col min="4" max="4" width="61.5546875" customWidth="1"/>
    <col min="8" max="8" width="11" bestFit="1" customWidth="1"/>
    <col min="10" max="10" width="12.44140625" bestFit="1" customWidth="1"/>
    <col min="11" max="11" width="12.44140625" customWidth="1"/>
    <col min="12" max="12" width="10" customWidth="1"/>
    <col min="13" max="13" width="11" customWidth="1"/>
    <col min="14" max="14" width="11.44140625" customWidth="1"/>
    <col min="15" max="15" width="10.33203125" bestFit="1" customWidth="1"/>
    <col min="16" max="16" width="8" customWidth="1"/>
    <col min="17" max="17" width="11.88671875" style="40" customWidth="1"/>
    <col min="18" max="18" width="10.33203125" style="9" customWidth="1"/>
    <col min="19" max="19" width="9.44140625" bestFit="1" customWidth="1"/>
    <col min="20" max="20" width="11.5546875" customWidth="1"/>
    <col min="21" max="21" width="12.5546875" bestFit="1" customWidth="1"/>
    <col min="22" max="22" width="12.33203125" bestFit="1" customWidth="1"/>
    <col min="23" max="23" width="10.5546875" bestFit="1" customWidth="1"/>
    <col min="24" max="25" width="10.33203125" customWidth="1"/>
    <col min="26" max="27" width="12.44140625" customWidth="1"/>
    <col min="28" max="28" width="11.109375" bestFit="1" customWidth="1"/>
    <col min="29" max="29" width="11.88671875" customWidth="1"/>
    <col min="30" max="30" width="12.44140625" customWidth="1"/>
    <col min="31" max="31" width="9.5546875" bestFit="1" customWidth="1"/>
    <col min="32" max="32" width="11.5546875" customWidth="1"/>
    <col min="33" max="34" width="12.6640625" customWidth="1"/>
    <col min="35" max="35" width="14.33203125" customWidth="1"/>
    <col min="36" max="36" width="10.88671875" bestFit="1" customWidth="1"/>
    <col min="37" max="37" width="10" customWidth="1"/>
    <col min="38" max="38" width="11.33203125" customWidth="1"/>
    <col min="39" max="39" width="10.6640625" customWidth="1"/>
    <col min="41" max="41" width="10" style="4" bestFit="1" customWidth="1"/>
    <col min="42" max="42" width="15" customWidth="1"/>
    <col min="43" max="43" width="14.88671875" style="10" customWidth="1"/>
    <col min="55" max="55" width="28.44140625" customWidth="1"/>
    <col min="58" max="58" width="12.44140625" bestFit="1" customWidth="1"/>
  </cols>
  <sheetData>
    <row r="1" spans="1:69" ht="12.75" customHeight="1" x14ac:dyDescent="0.25">
      <c r="A1" s="566" t="s">
        <v>195</v>
      </c>
      <c r="B1" s="566"/>
      <c r="C1" s="566"/>
      <c r="D1" s="566"/>
    </row>
    <row r="2" spans="1:69" ht="12.75" customHeight="1" x14ac:dyDescent="0.25">
      <c r="A2" s="566"/>
      <c r="B2" s="566"/>
      <c r="C2" s="566"/>
      <c r="D2" s="566"/>
    </row>
    <row r="3" spans="1:69" ht="12.75" customHeight="1" x14ac:dyDescent="0.25">
      <c r="A3" s="566"/>
      <c r="B3" s="566"/>
      <c r="C3" s="566"/>
      <c r="D3" s="566"/>
      <c r="AG3">
        <f>VsdBot</f>
        <v>0.8</v>
      </c>
      <c r="AK3">
        <f>Iq</f>
        <v>2E-3</v>
      </c>
    </row>
    <row r="4" spans="1:69" ht="12.75" customHeight="1" x14ac:dyDescent="0.25">
      <c r="A4" s="566"/>
      <c r="B4" s="566"/>
      <c r="C4" s="566"/>
      <c r="D4" s="566"/>
    </row>
    <row r="5" spans="1:69" x14ac:dyDescent="0.25">
      <c r="A5" s="11"/>
      <c r="B5" s="12"/>
      <c r="C5" s="6"/>
      <c r="D5" s="6"/>
    </row>
    <row r="6" spans="1:69" ht="13.5" customHeight="1" thickBot="1" x14ac:dyDescent="0.3">
      <c r="A6" s="567" t="s">
        <v>198</v>
      </c>
      <c r="B6" s="567"/>
      <c r="C6" s="567"/>
      <c r="D6" s="567"/>
      <c r="BH6">
        <v>80</v>
      </c>
      <c r="BI6">
        <v>100</v>
      </c>
      <c r="BJ6">
        <v>120</v>
      </c>
      <c r="BK6">
        <v>140</v>
      </c>
      <c r="BL6">
        <v>160</v>
      </c>
      <c r="BM6">
        <v>180</v>
      </c>
      <c r="BN6">
        <v>20</v>
      </c>
      <c r="BO6">
        <v>30</v>
      </c>
      <c r="BP6">
        <v>40</v>
      </c>
      <c r="BQ6">
        <v>50</v>
      </c>
    </row>
    <row r="7" spans="1:69" ht="13.8" thickBot="1" x14ac:dyDescent="0.3">
      <c r="A7" s="567"/>
      <c r="B7" s="567"/>
      <c r="C7" s="567"/>
      <c r="D7" s="567"/>
      <c r="G7" s="13" t="s">
        <v>118</v>
      </c>
      <c r="H7" s="14"/>
      <c r="I7" s="15"/>
      <c r="J7" s="15"/>
      <c r="K7" s="496"/>
      <c r="L7" s="496"/>
      <c r="M7" s="496"/>
      <c r="N7" s="13" t="s">
        <v>143</v>
      </c>
      <c r="O7" s="14"/>
      <c r="P7" s="14"/>
      <c r="Q7" s="16"/>
      <c r="R7" s="67" t="s">
        <v>36</v>
      </c>
      <c r="S7" s="17"/>
      <c r="T7" s="15"/>
      <c r="U7" s="13" t="s">
        <v>127</v>
      </c>
      <c r="V7" s="18"/>
      <c r="W7" s="15"/>
      <c r="X7" s="13" t="s">
        <v>256</v>
      </c>
      <c r="Y7" s="14"/>
      <c r="Z7" s="14"/>
      <c r="AA7" s="478"/>
      <c r="AB7" s="14"/>
      <c r="AC7" s="15"/>
      <c r="AD7" s="13" t="s">
        <v>255</v>
      </c>
      <c r="AE7" s="18"/>
      <c r="AF7" s="68"/>
      <c r="AG7" s="15"/>
      <c r="AH7" s="414" t="s">
        <v>611</v>
      </c>
      <c r="AI7" s="69" t="s">
        <v>371</v>
      </c>
      <c r="AJ7" s="14" t="s">
        <v>370</v>
      </c>
      <c r="AK7" s="70" t="s">
        <v>237</v>
      </c>
      <c r="AL7" s="71"/>
      <c r="AM7" s="72"/>
      <c r="AN7" s="73"/>
      <c r="AO7" s="13" t="s">
        <v>254</v>
      </c>
      <c r="AP7" s="14"/>
      <c r="AQ7" s="14"/>
      <c r="AR7" s="14"/>
      <c r="AS7" s="14"/>
    </row>
    <row r="8" spans="1:69" ht="66.599999999999994" thickBot="1" x14ac:dyDescent="0.55000000000000004">
      <c r="A8" s="19" t="s">
        <v>189</v>
      </c>
      <c r="B8" s="19"/>
      <c r="C8" s="19"/>
      <c r="D8" s="6"/>
      <c r="G8" s="20" t="s">
        <v>120</v>
      </c>
      <c r="H8" s="21" t="s">
        <v>6</v>
      </c>
      <c r="I8" s="21" t="s">
        <v>247</v>
      </c>
      <c r="J8" s="22" t="s">
        <v>248</v>
      </c>
      <c r="K8" s="497" t="s">
        <v>732</v>
      </c>
      <c r="L8" s="497" t="s">
        <v>733</v>
      </c>
      <c r="M8" s="497" t="s">
        <v>731</v>
      </c>
      <c r="N8" s="20" t="s">
        <v>252</v>
      </c>
      <c r="O8" s="21" t="s">
        <v>165</v>
      </c>
      <c r="P8" s="21" t="s">
        <v>121</v>
      </c>
      <c r="Q8" s="74" t="s">
        <v>372</v>
      </c>
      <c r="R8" s="75" t="s">
        <v>157</v>
      </c>
      <c r="S8" s="23" t="s">
        <v>164</v>
      </c>
      <c r="T8" s="74" t="s">
        <v>373</v>
      </c>
      <c r="U8" s="20" t="s">
        <v>157</v>
      </c>
      <c r="V8" s="21" t="s">
        <v>163</v>
      </c>
      <c r="W8" s="74" t="s">
        <v>374</v>
      </c>
      <c r="X8" s="20" t="s">
        <v>157</v>
      </c>
      <c r="Y8" s="21" t="s">
        <v>162</v>
      </c>
      <c r="Z8" s="21" t="s">
        <v>734</v>
      </c>
      <c r="AA8" s="498" t="s">
        <v>723</v>
      </c>
      <c r="AB8" s="76" t="s">
        <v>376</v>
      </c>
      <c r="AC8" s="74" t="s">
        <v>375</v>
      </c>
      <c r="AD8" s="20" t="s">
        <v>157</v>
      </c>
      <c r="AE8" s="21" t="s">
        <v>162</v>
      </c>
      <c r="AF8" s="21" t="s">
        <v>172</v>
      </c>
      <c r="AG8" s="77" t="s">
        <v>735</v>
      </c>
      <c r="AH8" s="77" t="s">
        <v>612</v>
      </c>
      <c r="AI8" s="74" t="s">
        <v>172</v>
      </c>
      <c r="AJ8" s="78" t="s">
        <v>171</v>
      </c>
      <c r="AK8" s="79" t="s">
        <v>197</v>
      </c>
      <c r="AL8" s="80" t="s">
        <v>270</v>
      </c>
      <c r="AM8" s="81" t="s">
        <v>378</v>
      </c>
      <c r="AN8" s="82" t="s">
        <v>253</v>
      </c>
      <c r="AO8" s="83" t="s">
        <v>122</v>
      </c>
      <c r="AP8" s="21" t="s">
        <v>123</v>
      </c>
      <c r="AQ8" s="84" t="s">
        <v>124</v>
      </c>
      <c r="AR8" s="21" t="s">
        <v>257</v>
      </c>
      <c r="AS8" s="21" t="s">
        <v>258</v>
      </c>
      <c r="BF8" t="s">
        <v>220</v>
      </c>
      <c r="BH8" t="s">
        <v>212</v>
      </c>
      <c r="BI8" t="s">
        <v>213</v>
      </c>
      <c r="BJ8" t="s">
        <v>214</v>
      </c>
      <c r="BK8" t="s">
        <v>215</v>
      </c>
      <c r="BL8" t="s">
        <v>216</v>
      </c>
      <c r="BM8" t="s">
        <v>217</v>
      </c>
      <c r="BN8" t="s">
        <v>221</v>
      </c>
      <c r="BO8" t="s">
        <v>222</v>
      </c>
      <c r="BP8" t="s">
        <v>223</v>
      </c>
      <c r="BQ8" t="s">
        <v>224</v>
      </c>
    </row>
    <row r="9" spans="1:69" x14ac:dyDescent="0.25">
      <c r="A9" s="24" t="s">
        <v>125</v>
      </c>
      <c r="B9" s="25" t="s">
        <v>201</v>
      </c>
      <c r="C9" s="26" t="s">
        <v>148</v>
      </c>
      <c r="D9" s="27" t="s">
        <v>188</v>
      </c>
      <c r="G9">
        <v>0</v>
      </c>
      <c r="H9">
        <f t="shared" ref="H9:H72" si="0">Iout*(G9/200)</f>
        <v>0</v>
      </c>
      <c r="I9" s="406">
        <f t="shared" ref="I9:I73" si="1">(Vout+Rdcr*H9+RdsonBot*H9)/(Vin-RdsonTop*H9+RdsonBot*H9)</f>
        <v>0.21249999999999999</v>
      </c>
      <c r="J9" s="407">
        <f t="shared" ref="J9:J72" si="2">(Vin-Vout)*I9/(Fsw*Lout2)</f>
        <v>1.4092105263157892</v>
      </c>
      <c r="K9" s="407">
        <f>H9+J9/2</f>
        <v>0.70460526315789462</v>
      </c>
      <c r="L9" s="407">
        <f>H9-J9/2</f>
        <v>-0.70460526315789462</v>
      </c>
      <c r="M9" s="63">
        <f t="shared" ref="M9:M72" si="3">IF(MIN(Vin, -L9/(CossTop+CossBot)*0.00000002)&lt;0, 0, MIN(Vin, -L9/(CossTop+CossBot)*0.00000002))</f>
        <v>20.846309560884453</v>
      </c>
      <c r="N9" s="406">
        <f t="shared" ref="N9:N40" si="4">SQRT(H9^2+(J9^2)/12)</f>
        <v>0.40680403835663759</v>
      </c>
      <c r="O9" s="406">
        <f t="shared" ref="O9:O73" si="5">(N9^2*Rdcr*(1+Ltc*Ta-Ltc*25))/(1-N9^2*Rdcr*Ltc*ThetaCa)</f>
        <v>3.3106671216357026E-3</v>
      </c>
      <c r="P9">
        <f t="shared" ref="P9:P72" si="6">Core_Loss</f>
        <v>0.2</v>
      </c>
      <c r="Q9" s="406">
        <f>O9+P9</f>
        <v>0.2033106671216357</v>
      </c>
      <c r="R9" s="9">
        <f>J9/(2*SQRT(3))</f>
        <v>0.40680403835663759</v>
      </c>
      <c r="S9" s="9">
        <f t="shared" ref="S9:S73" si="7">RCoutEsr*R9^2</f>
        <v>1.6548952562326865E-4</v>
      </c>
      <c r="T9" s="9">
        <f>S9</f>
        <v>1.6548952562326865E-4</v>
      </c>
      <c r="U9" s="406">
        <f t="shared" ref="U9:U40" si="8">SQRT(I9)*SQRT(H9^2+(J9^2)/12)</f>
        <v>0.18752739585176506</v>
      </c>
      <c r="V9" s="408">
        <f t="shared" ref="V9:V73" si="9">RCinEsr*U9^2</f>
        <v>3.5166524194944594E-5</v>
      </c>
      <c r="W9" s="406">
        <f>V9</f>
        <v>3.5166524194944594E-5</v>
      </c>
      <c r="X9" s="406">
        <f t="shared" ref="X9:X40" si="10">SQRT(I9)*SQRT(H9^2+(J9^2)/12)</f>
        <v>0.18752739585176506</v>
      </c>
      <c r="Y9" s="406">
        <f t="shared" ref="Y9:Y73" si="11">RdsonTop*X9^2</f>
        <v>2.1099914516966756E-4</v>
      </c>
      <c r="Z9" s="406">
        <f t="shared" ref="Z9:Z72" si="12">IF(L9&lt;0, (Vin*K9*Tf/2)*Fsw, (Vin*L9*Tr/2+Vin*K9*Tf/2)*Fsw)</f>
        <v>2.5628647395691304E-2</v>
      </c>
      <c r="AA9" s="406">
        <f t="shared" ref="AA9:AA72" si="13">(0.5*CossTop*(Vin-M9)^2-0.5*CossBot*(Vin-M9)^2+(QossBot*(Vin-M9)/Vin)*Vin)*Fsw</f>
        <v>1.8922142634693283E-2</v>
      </c>
      <c r="AB9" s="406">
        <f t="shared" ref="AB9:AB72" si="14">IF(L9&gt;0,0,-L9*VsdTop*Deadtime*Fsw)</f>
        <v>5.0731578947368411E-3</v>
      </c>
      <c r="AC9" s="406">
        <f t="shared" ref="AC9:AC40" si="15">(AB9+AA9+Z9+Y9*(1+RdsonTopTc*Ta-RdsonTopTc*25))/(1-Y9*RdsonTopTc*ThetaJaTop)</f>
        <v>4.9837050185288466E-2</v>
      </c>
      <c r="AD9" s="406">
        <f t="shared" ref="AD9:AD40" si="16">SQRT(1-I9)*SQRT(H9^2+(J9^2)/12)</f>
        <v>0.36100277205074766</v>
      </c>
      <c r="AE9" s="406">
        <f t="shared" ref="AE9:AE73" si="17">RdsonBot*AD9^2</f>
        <v>7.8193800856994438E-4</v>
      </c>
      <c r="AF9" s="406">
        <f t="shared" ref="AF9:AF72" si="18">IF(L9&lt;0, Deadtime*Fsw*IF(VfdSky&gt;0,0,VsdBot)*K9, Deadtime*Fsw*IF(VfdSky&gt;0,0,VsdBot)*(K9+L9))</f>
        <v>5.0731578947368411E-3</v>
      </c>
      <c r="AG9" s="406">
        <f t="shared" ref="AG9:AG40" si="19">(AF9+AE9*(1+RdsonBotTc*Ta-RdsonBotTc*25))/(1-AE9*RdsonBotTc*ThetaJaBot)</f>
        <v>5.8558285264902303E-3</v>
      </c>
      <c r="AH9" s="406">
        <f t="shared" ref="AH9:AH40" si="20">IF(RDSON_sense=1, 0, AD9^2*Rshunt)</f>
        <v>0</v>
      </c>
      <c r="AI9">
        <f t="shared" ref="AI9:AI72" si="21">2*Deadtime*Fsw*IF(VfdSky&gt;0,VfdSky,0)*H9</f>
        <v>0</v>
      </c>
      <c r="AJ9" s="407">
        <f t="shared" ref="AJ9:AJ72" si="22">IF(QrrSky&gt;0,QrrSky,QrrBot)*Fsw*(Vin-H9*RdsonTop)</f>
        <v>0.36</v>
      </c>
      <c r="AK9">
        <f t="shared" ref="AK9:AK73" si="23">Iq*Vin</f>
        <v>4.8000000000000001E-2</v>
      </c>
      <c r="AL9" s="407">
        <f t="shared" ref="AL9:AL72" si="24">IF(Ext_VCC=1, Vdd*(QgTop+QgBot)*Fsw, Vin*(QgTop+QgBot)*Fsw)</f>
        <v>0.1215</v>
      </c>
      <c r="AM9" s="407">
        <f t="shared" ref="AM9:AM73" si="25">(Vin-Vdd)*Fsw*(QgTop+QgBot)+(RdsonDRT+RdsonDRT2)*Fsw*QgTop*Vdd/(RdsonDRT+2*RGateTop+RdsonDRT2)+(RdsonDRB+RdsonDRB2)*Fsw*QgBot*Vdd/(RdsonDRB+2*RGateBot+RdsonDRB2)</f>
        <v>0.31645971316818772</v>
      </c>
      <c r="AN9" s="407">
        <f>SUM(AK9:AL9)</f>
        <v>0.16949999999999998</v>
      </c>
      <c r="AO9" s="407">
        <f t="shared" ref="AO9:AO40" si="26">SUM(Q9,T9,W9,AC9,AJ9,AI9,AG9,AN9, AH9)</f>
        <v>0.78870420188323265</v>
      </c>
      <c r="AP9">
        <f t="shared" ref="AP9:AP72" si="27">Vout*H9</f>
        <v>0</v>
      </c>
      <c r="AQ9" s="10">
        <f>AP9/(AP9+AO9)</f>
        <v>0</v>
      </c>
      <c r="AR9" s="63">
        <f t="shared" ref="AR9:AR40" si="28">ThetaJaTop*AC9</f>
        <v>2.4918525092644233</v>
      </c>
      <c r="AS9" s="63">
        <f>AG9*ThetaJaBot</f>
        <v>0.23423314105960921</v>
      </c>
      <c r="AU9">
        <f>AQ9*100</f>
        <v>0</v>
      </c>
      <c r="BC9" t="s">
        <v>225</v>
      </c>
      <c r="BD9" s="28">
        <v>70</v>
      </c>
      <c r="BE9" s="28">
        <v>70</v>
      </c>
      <c r="BF9" s="28">
        <v>70</v>
      </c>
      <c r="BG9" s="29">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5">
      <c r="A10" s="356"/>
      <c r="B10" s="34"/>
      <c r="C10" s="26"/>
      <c r="D10" s="27"/>
      <c r="G10">
        <v>1</v>
      </c>
      <c r="H10">
        <f t="shared" si="0"/>
        <v>0.03</v>
      </c>
      <c r="I10" s="406">
        <f t="shared" ref="I10" si="30">(Vout+Rdcr*H10+RdsonBot*H10)/(Vin-RdsonTop*H10+RdsonBot*H10)</f>
        <v>0.21253250000000001</v>
      </c>
      <c r="J10" s="407">
        <f t="shared" si="2"/>
        <v>1.4094260526315789</v>
      </c>
      <c r="K10" s="407">
        <f t="shared" ref="K10:K73" si="31">H10+J10/2</f>
        <v>0.7347130263157895</v>
      </c>
      <c r="L10" s="407">
        <f t="shared" ref="L10:L73" si="32">H10-J10/2</f>
        <v>-0.67471302631578944</v>
      </c>
      <c r="M10" s="63">
        <f t="shared" si="3"/>
        <v>19.961923855496728</v>
      </c>
      <c r="N10" s="406">
        <f t="shared" si="4"/>
        <v>0.40797077079089811</v>
      </c>
      <c r="O10" s="406">
        <f t="shared" ref="O10" si="33">(N10^2*Rdcr*(1+Ltc*Ta-Ltc*25))/(1-N10^2*Rdcr*Ltc*ThetaCa)</f>
        <v>3.3296897068802568E-3</v>
      </c>
      <c r="P10">
        <f t="shared" si="6"/>
        <v>0.2</v>
      </c>
      <c r="Q10" s="406">
        <f t="shared" ref="Q10:Q73" si="34">O10+P10</f>
        <v>0.20332968970688026</v>
      </c>
      <c r="R10" s="9">
        <f>J10/(2*SQRT(3))</f>
        <v>0.40686625544485688</v>
      </c>
      <c r="S10" s="9">
        <f t="shared" ref="S10" si="35">RCoutEsr*R10^2</f>
        <v>1.6554014981971955E-4</v>
      </c>
      <c r="T10" s="9">
        <f>S10</f>
        <v>1.6554014981971955E-4</v>
      </c>
      <c r="U10" s="406">
        <f t="shared" si="8"/>
        <v>0.188079613838288</v>
      </c>
      <c r="V10" s="408">
        <f t="shared" ref="V10" si="36">RCinEsr*U10^2</f>
        <v>3.5373941141559537E-5</v>
      </c>
      <c r="W10" s="406">
        <f>V10</f>
        <v>3.5373941141559537E-5</v>
      </c>
      <c r="X10" s="406">
        <f t="shared" si="10"/>
        <v>0.188079613838288</v>
      </c>
      <c r="Y10" s="406">
        <f t="shared" ref="Y10" si="37">RdsonTop*X10^2</f>
        <v>2.1224364684935721E-4</v>
      </c>
      <c r="Z10" s="406">
        <f t="shared" si="12"/>
        <v>2.6723758781019912E-2</v>
      </c>
      <c r="AA10" s="406">
        <f t="shared" si="13"/>
        <v>2.4228456867019632E-2</v>
      </c>
      <c r="AB10" s="406">
        <f t="shared" si="14"/>
        <v>4.8579337894736844E-3</v>
      </c>
      <c r="AC10" s="406">
        <f t="shared" si="15"/>
        <v>5.6024771264716007E-2</v>
      </c>
      <c r="AD10" s="406">
        <f t="shared" si="16"/>
        <v>0.36203067367028446</v>
      </c>
      <c r="AE10" s="406">
        <f t="shared" ref="AE10" si="38">RdsonBot*AD10^2</f>
        <v>7.8639725206895998E-4</v>
      </c>
      <c r="AF10" s="406">
        <f t="shared" si="18"/>
        <v>5.2899337894736845E-3</v>
      </c>
      <c r="AG10" s="406">
        <f t="shared" si="19"/>
        <v>6.0770956833579972E-3</v>
      </c>
      <c r="AH10" s="406">
        <f t="shared" si="20"/>
        <v>0</v>
      </c>
      <c r="AI10">
        <f t="shared" si="21"/>
        <v>0</v>
      </c>
      <c r="AJ10" s="407">
        <f t="shared" si="22"/>
        <v>0.35999729999999996</v>
      </c>
      <c r="AK10">
        <f t="shared" si="23"/>
        <v>4.8000000000000001E-2</v>
      </c>
      <c r="AL10" s="407">
        <f t="shared" si="24"/>
        <v>0.1215</v>
      </c>
      <c r="AM10" s="407">
        <f t="shared" si="25"/>
        <v>0.31645971316818772</v>
      </c>
      <c r="AN10" s="407">
        <f>SUM(AK10:AL10)</f>
        <v>0.16949999999999998</v>
      </c>
      <c r="AO10" s="407">
        <f t="shared" si="26"/>
        <v>0.79512977074591551</v>
      </c>
      <c r="AP10">
        <f t="shared" si="27"/>
        <v>0.153</v>
      </c>
      <c r="AQ10" s="10">
        <f>AP10/(AP10+AO10)</f>
        <v>0.16137031524664749</v>
      </c>
      <c r="AR10" s="63">
        <f t="shared" si="28"/>
        <v>2.8012385632358003</v>
      </c>
      <c r="AS10" s="63">
        <f>AG10*ThetaJaBot</f>
        <v>0.24308382733431988</v>
      </c>
      <c r="AU10">
        <f>AQ10*100</f>
        <v>16.137031524664749</v>
      </c>
      <c r="BD10" s="28"/>
      <c r="BE10" s="28"/>
      <c r="BF10" s="28"/>
      <c r="BG10" s="29"/>
    </row>
    <row r="11" spans="1:69" x14ac:dyDescent="0.25">
      <c r="A11" s="30" t="s">
        <v>4</v>
      </c>
      <c r="B11" s="5">
        <f>Vin</f>
        <v>24</v>
      </c>
      <c r="C11" s="416" t="s">
        <v>0</v>
      </c>
      <c r="D11" s="31" t="s">
        <v>4</v>
      </c>
      <c r="G11">
        <v>2</v>
      </c>
      <c r="H11">
        <f t="shared" si="0"/>
        <v>0.06</v>
      </c>
      <c r="I11" s="406">
        <f t="shared" si="1"/>
        <v>0.21256499999999998</v>
      </c>
      <c r="J11" s="407">
        <f t="shared" si="2"/>
        <v>1.4096415789473682</v>
      </c>
      <c r="K11" s="407">
        <f t="shared" si="31"/>
        <v>0.76482078947368404</v>
      </c>
      <c r="L11" s="407">
        <f t="shared" si="32"/>
        <v>-0.64482078947368415</v>
      </c>
      <c r="M11" s="63">
        <f t="shared" si="3"/>
        <v>19.077538150109</v>
      </c>
      <c r="N11" s="406">
        <f t="shared" si="4"/>
        <v>0.41132807071497374</v>
      </c>
      <c r="O11" s="406">
        <f t="shared" si="5"/>
        <v>3.3847318998599346E-3</v>
      </c>
      <c r="P11">
        <f t="shared" si="6"/>
        <v>0.2</v>
      </c>
      <c r="Q11" s="406">
        <f t="shared" si="34"/>
        <v>0.20338473189985995</v>
      </c>
      <c r="R11" s="9">
        <f t="shared" ref="R11:R74" si="39">J11/(2*SQRT(3))</f>
        <v>0.40692847253307607</v>
      </c>
      <c r="S11" s="9">
        <f t="shared" si="7"/>
        <v>1.6559078175810244E-4</v>
      </c>
      <c r="T11" s="9">
        <f t="shared" ref="T11:T74" si="40">S11</f>
        <v>1.6559078175810244E-4</v>
      </c>
      <c r="U11" s="406">
        <f t="shared" si="8"/>
        <v>0.18964186912285758</v>
      </c>
      <c r="V11" s="408">
        <f t="shared" si="9"/>
        <v>3.5964038524411041E-5</v>
      </c>
      <c r="W11" s="406">
        <f t="shared" ref="W11:W74" si="41">V11</f>
        <v>3.5964038524411041E-5</v>
      </c>
      <c r="X11" s="406">
        <f t="shared" si="10"/>
        <v>0.18964186912285758</v>
      </c>
      <c r="Y11" s="406">
        <f t="shared" si="11"/>
        <v>2.1578423114646623E-4</v>
      </c>
      <c r="Z11" s="406">
        <f t="shared" si="12"/>
        <v>2.7818870166348517E-2</v>
      </c>
      <c r="AA11" s="406">
        <f t="shared" si="13"/>
        <v>2.9534771099346005E-2</v>
      </c>
      <c r="AB11" s="406">
        <f t="shared" si="14"/>
        <v>4.642709684210526E-3</v>
      </c>
      <c r="AC11" s="406">
        <f t="shared" si="15"/>
        <v>6.2214820176479051E-2</v>
      </c>
      <c r="AD11" s="406">
        <f t="shared" si="16"/>
        <v>0.36500238798354645</v>
      </c>
      <c r="AE11" s="406">
        <f t="shared" si="17"/>
        <v>7.9936045940214831E-4</v>
      </c>
      <c r="AF11" s="406">
        <f t="shared" si="18"/>
        <v>5.5067096842105253E-3</v>
      </c>
      <c r="AG11" s="406">
        <f t="shared" si="19"/>
        <v>6.3068767784797194E-3</v>
      </c>
      <c r="AH11" s="406">
        <f t="shared" si="20"/>
        <v>0</v>
      </c>
      <c r="AI11">
        <f t="shared" si="21"/>
        <v>0</v>
      </c>
      <c r="AJ11" s="407">
        <f t="shared" si="22"/>
        <v>0.3599946</v>
      </c>
      <c r="AK11">
        <f t="shared" si="23"/>
        <v>4.8000000000000001E-2</v>
      </c>
      <c r="AL11" s="407">
        <f t="shared" si="24"/>
        <v>0.1215</v>
      </c>
      <c r="AM11" s="407">
        <f t="shared" si="25"/>
        <v>0.31645971316818772</v>
      </c>
      <c r="AN11" s="407">
        <f t="shared" ref="AN11:AN74" si="42">SUM(AK11:AL11)</f>
        <v>0.16949999999999998</v>
      </c>
      <c r="AO11" s="407">
        <f t="shared" si="26"/>
        <v>0.80160258367510129</v>
      </c>
      <c r="AP11">
        <f t="shared" si="27"/>
        <v>0.30599999999999999</v>
      </c>
      <c r="AQ11" s="10">
        <f t="shared" ref="AQ11:AQ74" si="43">AP11/(AP11+AO11)</f>
        <v>0.2762723782971605</v>
      </c>
      <c r="AR11" s="63">
        <f t="shared" si="28"/>
        <v>3.1107410088239527</v>
      </c>
      <c r="AS11" s="63">
        <f t="shared" ref="AS11:AS74" si="44">AG11*ThetaJaBot</f>
        <v>0.25227507113918879</v>
      </c>
      <c r="AT11" s="10"/>
      <c r="AU11">
        <f t="shared" ref="AU11:AU74" si="45">AQ11*100</f>
        <v>27.627237829716051</v>
      </c>
      <c r="BC11" t="s">
        <v>226</v>
      </c>
      <c r="BD11" s="28">
        <v>90</v>
      </c>
      <c r="BE11" s="28">
        <v>90</v>
      </c>
      <c r="BF11" s="28">
        <v>90</v>
      </c>
      <c r="BG11" s="29">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5">
      <c r="A12" s="32" t="s">
        <v>5</v>
      </c>
      <c r="B12" s="5">
        <f>Vout</f>
        <v>5.0999999999999996</v>
      </c>
      <c r="C12" s="416" t="s">
        <v>0</v>
      </c>
      <c r="D12" s="31" t="s">
        <v>5</v>
      </c>
      <c r="G12">
        <v>3</v>
      </c>
      <c r="H12">
        <f t="shared" si="0"/>
        <v>0.09</v>
      </c>
      <c r="I12" s="406">
        <f t="shared" si="1"/>
        <v>0.21259749999999999</v>
      </c>
      <c r="J12" s="407">
        <f t="shared" si="2"/>
        <v>1.4098571052631577</v>
      </c>
      <c r="K12" s="407">
        <f t="shared" si="31"/>
        <v>0.7949285526315788</v>
      </c>
      <c r="L12" s="407">
        <f t="shared" si="32"/>
        <v>-0.61492855263157886</v>
      </c>
      <c r="M12" s="63">
        <f t="shared" si="3"/>
        <v>18.193152444721267</v>
      </c>
      <c r="N12" s="406">
        <f t="shared" si="4"/>
        <v>0.41682300972765113</v>
      </c>
      <c r="O12" s="406">
        <f t="shared" si="5"/>
        <v>3.4757946519738902E-3</v>
      </c>
      <c r="P12">
        <f t="shared" si="6"/>
        <v>0.2</v>
      </c>
      <c r="Q12" s="406">
        <f t="shared" si="34"/>
        <v>0.20347579465197391</v>
      </c>
      <c r="R12" s="9">
        <f t="shared" si="39"/>
        <v>0.40699068962129531</v>
      </c>
      <c r="S12" s="9">
        <f t="shared" si="7"/>
        <v>1.6564142143841754E-4</v>
      </c>
      <c r="T12" s="9">
        <f t="shared" si="40"/>
        <v>1.6564142143841754E-4</v>
      </c>
      <c r="U12" s="406">
        <f t="shared" si="8"/>
        <v>0.19218998892828412</v>
      </c>
      <c r="V12" s="408">
        <f t="shared" si="9"/>
        <v>3.6936991844253972E-5</v>
      </c>
      <c r="W12" s="406">
        <f t="shared" si="41"/>
        <v>3.6936991844253972E-5</v>
      </c>
      <c r="X12" s="406">
        <f t="shared" si="10"/>
        <v>0.19218998892828412</v>
      </c>
      <c r="Y12" s="406">
        <f t="shared" si="11"/>
        <v>2.2162195106552386E-4</v>
      </c>
      <c r="Z12" s="406">
        <f t="shared" si="12"/>
        <v>2.8913981551677119E-2</v>
      </c>
      <c r="AA12" s="406">
        <f t="shared" si="13"/>
        <v>3.4841085331672399E-2</v>
      </c>
      <c r="AB12" s="406">
        <f t="shared" si="14"/>
        <v>4.4274855789473676E-3</v>
      </c>
      <c r="AC12" s="406">
        <f t="shared" si="15"/>
        <v>6.8407206521077624E-2</v>
      </c>
      <c r="AD12" s="406">
        <f t="shared" si="16"/>
        <v>0.36987082825516748</v>
      </c>
      <c r="AE12" s="406">
        <f t="shared" si="17"/>
        <v>8.2082657756498171E-4</v>
      </c>
      <c r="AF12" s="406">
        <f t="shared" si="18"/>
        <v>5.723485578947367E-3</v>
      </c>
      <c r="AG12" s="406">
        <f t="shared" si="19"/>
        <v>6.5451717486605127E-3</v>
      </c>
      <c r="AH12" s="406">
        <f t="shared" si="20"/>
        <v>0</v>
      </c>
      <c r="AI12">
        <f t="shared" si="21"/>
        <v>0</v>
      </c>
      <c r="AJ12" s="407">
        <f t="shared" si="22"/>
        <v>0.35999189999999998</v>
      </c>
      <c r="AK12">
        <f t="shared" si="23"/>
        <v>4.8000000000000001E-2</v>
      </c>
      <c r="AL12" s="407">
        <f t="shared" si="24"/>
        <v>0.1215</v>
      </c>
      <c r="AM12" s="407">
        <f t="shared" si="25"/>
        <v>0.31645971316818772</v>
      </c>
      <c r="AN12" s="407">
        <f t="shared" si="42"/>
        <v>0.16949999999999998</v>
      </c>
      <c r="AO12" s="407">
        <f t="shared" si="26"/>
        <v>0.80812265133499472</v>
      </c>
      <c r="AP12">
        <f t="shared" si="27"/>
        <v>0.45899999999999996</v>
      </c>
      <c r="AQ12" s="10">
        <f t="shared" si="43"/>
        <v>0.362238019750033</v>
      </c>
      <c r="AR12" s="63">
        <f t="shared" si="28"/>
        <v>3.4203603260538813</v>
      </c>
      <c r="AS12" s="63">
        <f t="shared" si="44"/>
        <v>0.2618068699464205</v>
      </c>
      <c r="AT12" s="10"/>
      <c r="AU12">
        <f t="shared" si="45"/>
        <v>36.223801975003298</v>
      </c>
      <c r="BC12" t="s">
        <v>231</v>
      </c>
      <c r="BD12" s="28">
        <v>60</v>
      </c>
      <c r="BE12" s="28">
        <v>60</v>
      </c>
      <c r="BF12" s="28">
        <v>60</v>
      </c>
      <c r="BG12" s="29">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5">
      <c r="A13" s="32" t="s">
        <v>7</v>
      </c>
      <c r="B13" s="5">
        <f>Fsw/1000</f>
        <v>300</v>
      </c>
      <c r="C13" s="416" t="s">
        <v>3</v>
      </c>
      <c r="D13" s="31" t="s">
        <v>173</v>
      </c>
      <c r="G13">
        <v>4</v>
      </c>
      <c r="H13">
        <f t="shared" si="0"/>
        <v>0.12</v>
      </c>
      <c r="I13" s="406">
        <f t="shared" si="1"/>
        <v>0.21262999999999999</v>
      </c>
      <c r="J13" s="407">
        <f t="shared" si="2"/>
        <v>1.4100726315789471</v>
      </c>
      <c r="K13" s="407">
        <f t="shared" si="31"/>
        <v>0.82503631578947356</v>
      </c>
      <c r="L13" s="407">
        <f t="shared" si="32"/>
        <v>-0.58503631578947357</v>
      </c>
      <c r="M13" s="63">
        <f t="shared" si="3"/>
        <v>17.308766739333539</v>
      </c>
      <c r="N13" s="406">
        <f t="shared" si="4"/>
        <v>0.42437255903352744</v>
      </c>
      <c r="O13" s="406">
        <f t="shared" si="5"/>
        <v>3.602879537260848E-3</v>
      </c>
      <c r="P13">
        <f t="shared" si="6"/>
        <v>0.2</v>
      </c>
      <c r="Q13" s="406">
        <f t="shared" si="34"/>
        <v>0.20360287953726086</v>
      </c>
      <c r="R13" s="9">
        <f t="shared" si="39"/>
        <v>0.40705290670951461</v>
      </c>
      <c r="S13" s="9">
        <f t="shared" si="7"/>
        <v>1.6569206886066478E-4</v>
      </c>
      <c r="T13" s="9">
        <f t="shared" si="40"/>
        <v>1.6569206886066478E-4</v>
      </c>
      <c r="U13" s="406">
        <f t="shared" si="8"/>
        <v>0.19568591314104125</v>
      </c>
      <c r="V13" s="408">
        <f t="shared" si="9"/>
        <v>3.8292976601843142E-5</v>
      </c>
      <c r="W13" s="406">
        <f t="shared" si="41"/>
        <v>3.8292976601843142E-5</v>
      </c>
      <c r="X13" s="406">
        <f t="shared" si="10"/>
        <v>0.19568591314104125</v>
      </c>
      <c r="Y13" s="406">
        <f t="shared" si="11"/>
        <v>2.2975785961105888E-4</v>
      </c>
      <c r="Z13" s="406">
        <f t="shared" si="12"/>
        <v>3.0009092937005728E-2</v>
      </c>
      <c r="AA13" s="406">
        <f t="shared" si="13"/>
        <v>4.0147399563998765E-2</v>
      </c>
      <c r="AB13" s="406">
        <f t="shared" si="14"/>
        <v>4.2122614736842092E-3</v>
      </c>
      <c r="AC13" s="406">
        <f t="shared" si="15"/>
        <v>7.4601939910707099E-2</v>
      </c>
      <c r="AD13" s="406">
        <f t="shared" si="16"/>
        <v>0.37656220237674093</v>
      </c>
      <c r="AE13" s="406">
        <f t="shared" si="17"/>
        <v>8.5079455355292961E-4</v>
      </c>
      <c r="AF13" s="406">
        <f t="shared" si="18"/>
        <v>5.9402614736842095E-3</v>
      </c>
      <c r="AG13" s="406">
        <f t="shared" si="19"/>
        <v>6.7919806000535168E-3</v>
      </c>
      <c r="AH13" s="406">
        <f t="shared" si="20"/>
        <v>0</v>
      </c>
      <c r="AI13">
        <f t="shared" si="21"/>
        <v>0</v>
      </c>
      <c r="AJ13" s="407">
        <f t="shared" si="22"/>
        <v>0.35998919999999995</v>
      </c>
      <c r="AK13">
        <f t="shared" si="23"/>
        <v>4.8000000000000001E-2</v>
      </c>
      <c r="AL13" s="407">
        <f t="shared" si="24"/>
        <v>0.1215</v>
      </c>
      <c r="AM13" s="407">
        <f t="shared" si="25"/>
        <v>0.31645971316818772</v>
      </c>
      <c r="AN13" s="407">
        <f t="shared" si="42"/>
        <v>0.16949999999999998</v>
      </c>
      <c r="AO13" s="407">
        <f t="shared" si="26"/>
        <v>0.81468998509348389</v>
      </c>
      <c r="AP13">
        <f t="shared" si="27"/>
        <v>0.61199999999999999</v>
      </c>
      <c r="AQ13" s="10">
        <f t="shared" si="43"/>
        <v>0.42896495131694551</v>
      </c>
      <c r="AR13" s="63">
        <f t="shared" si="28"/>
        <v>3.7300969955353551</v>
      </c>
      <c r="AS13" s="63">
        <f t="shared" si="44"/>
        <v>0.27167922400214067</v>
      </c>
      <c r="AT13" s="10"/>
      <c r="AU13">
        <f t="shared" si="45"/>
        <v>42.89649513169455</v>
      </c>
      <c r="BC13" t="s">
        <v>227</v>
      </c>
      <c r="BD13" s="28">
        <v>30</v>
      </c>
      <c r="BE13" s="28">
        <v>30</v>
      </c>
      <c r="BF13" s="28">
        <v>30</v>
      </c>
      <c r="BG13" s="29">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5">
      <c r="A14" s="32" t="s">
        <v>6</v>
      </c>
      <c r="B14" s="5">
        <f>Iout</f>
        <v>6</v>
      </c>
      <c r="C14" s="416" t="s">
        <v>2</v>
      </c>
      <c r="D14" s="31" t="s">
        <v>174</v>
      </c>
      <c r="G14">
        <v>5</v>
      </c>
      <c r="H14">
        <f t="shared" si="0"/>
        <v>0.15000000000000002</v>
      </c>
      <c r="I14" s="406">
        <f t="shared" si="1"/>
        <v>0.21266249999999998</v>
      </c>
      <c r="J14" s="407">
        <f t="shared" si="2"/>
        <v>1.4102881578947364</v>
      </c>
      <c r="K14" s="407">
        <f t="shared" si="31"/>
        <v>0.85514407894736821</v>
      </c>
      <c r="L14" s="407">
        <f t="shared" si="32"/>
        <v>-0.55514407894736817</v>
      </c>
      <c r="M14" s="63">
        <f t="shared" si="3"/>
        <v>16.424381033945803</v>
      </c>
      <c r="N14" s="406">
        <f t="shared" si="4"/>
        <v>0.4338694780977847</v>
      </c>
      <c r="O14" s="406">
        <f t="shared" si="5"/>
        <v>3.7659887524671399E-3</v>
      </c>
      <c r="P14">
        <f t="shared" si="6"/>
        <v>0.2</v>
      </c>
      <c r="Q14" s="406">
        <f t="shared" si="34"/>
        <v>0.20376598875246715</v>
      </c>
      <c r="R14" s="9">
        <f t="shared" si="39"/>
        <v>0.40711512379773379</v>
      </c>
      <c r="S14" s="9">
        <f t="shared" si="7"/>
        <v>1.6574272402484412E-4</v>
      </c>
      <c r="T14" s="9">
        <f t="shared" si="40"/>
        <v>1.6574272402484412E-4</v>
      </c>
      <c r="U14" s="406">
        <f t="shared" si="8"/>
        <v>0.20008040458259124</v>
      </c>
      <c r="V14" s="408">
        <f t="shared" si="9"/>
        <v>4.0032168297933402E-5</v>
      </c>
      <c r="W14" s="406">
        <f t="shared" si="41"/>
        <v>4.0032168297933402E-5</v>
      </c>
      <c r="X14" s="406">
        <f t="shared" si="10"/>
        <v>0.20008040458259124</v>
      </c>
      <c r="Y14" s="406">
        <f t="shared" si="11"/>
        <v>2.401930097876004E-4</v>
      </c>
      <c r="Z14" s="406">
        <f t="shared" si="12"/>
        <v>3.1104204322334333E-2</v>
      </c>
      <c r="AA14" s="406">
        <f t="shared" si="13"/>
        <v>4.5453713796325186E-2</v>
      </c>
      <c r="AB14" s="406">
        <f t="shared" si="14"/>
        <v>3.9970373684210508E-3</v>
      </c>
      <c r="AC14" s="406">
        <f t="shared" si="15"/>
        <v>8.079902996930742E-2</v>
      </c>
      <c r="AD14" s="406">
        <f t="shared" si="16"/>
        <v>0.38498124074675466</v>
      </c>
      <c r="AE14" s="406">
        <f t="shared" si="17"/>
        <v>8.8926333436146403E-4</v>
      </c>
      <c r="AF14" s="406">
        <f t="shared" si="18"/>
        <v>6.1570373684210512E-3</v>
      </c>
      <c r="AG14" s="406">
        <f t="shared" si="19"/>
        <v>7.0473034081468336E-3</v>
      </c>
      <c r="AH14" s="406">
        <f t="shared" si="20"/>
        <v>0</v>
      </c>
      <c r="AI14">
        <f t="shared" si="21"/>
        <v>0</v>
      </c>
      <c r="AJ14" s="407">
        <f t="shared" si="22"/>
        <v>0.35998649999999999</v>
      </c>
      <c r="AK14">
        <f t="shared" si="23"/>
        <v>4.8000000000000001E-2</v>
      </c>
      <c r="AL14" s="407">
        <f t="shared" si="24"/>
        <v>0.1215</v>
      </c>
      <c r="AM14" s="407">
        <f t="shared" si="25"/>
        <v>0.31645971316818772</v>
      </c>
      <c r="AN14" s="407">
        <f t="shared" si="42"/>
        <v>0.16949999999999998</v>
      </c>
      <c r="AO14" s="407">
        <f t="shared" si="26"/>
        <v>0.82130459702224412</v>
      </c>
      <c r="AP14">
        <f t="shared" si="27"/>
        <v>0.76500000000000001</v>
      </c>
      <c r="AQ14" s="10">
        <f t="shared" si="43"/>
        <v>0.48225290491878509</v>
      </c>
      <c r="AR14" s="63">
        <f t="shared" si="28"/>
        <v>4.0399514984653706</v>
      </c>
      <c r="AS14" s="63">
        <f t="shared" si="44"/>
        <v>0.28189213632587334</v>
      </c>
      <c r="AT14" s="10"/>
      <c r="AU14">
        <f t="shared" si="45"/>
        <v>48.225290491878511</v>
      </c>
      <c r="BC14" t="s">
        <v>230</v>
      </c>
      <c r="BD14" s="28">
        <v>45</v>
      </c>
      <c r="BE14" s="28">
        <v>45</v>
      </c>
      <c r="BF14" s="28">
        <v>45</v>
      </c>
      <c r="BG14" s="29">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5">
      <c r="A15" s="33" t="s">
        <v>156</v>
      </c>
      <c r="B15" s="5">
        <f>Ta</f>
        <v>25</v>
      </c>
      <c r="C15" s="416" t="s">
        <v>711</v>
      </c>
      <c r="D15" s="31" t="s">
        <v>175</v>
      </c>
      <c r="G15">
        <v>6</v>
      </c>
      <c r="H15">
        <f t="shared" si="0"/>
        <v>0.18</v>
      </c>
      <c r="I15" s="406">
        <f t="shared" si="1"/>
        <v>0.21269499999999997</v>
      </c>
      <c r="J15" s="407">
        <f t="shared" si="2"/>
        <v>1.4105036842105259</v>
      </c>
      <c r="K15" s="407">
        <f t="shared" si="31"/>
        <v>0.88525184210526286</v>
      </c>
      <c r="L15" s="407">
        <f t="shared" si="32"/>
        <v>-0.52525184210526299</v>
      </c>
      <c r="M15" s="63">
        <f t="shared" si="3"/>
        <v>15.539995328558076</v>
      </c>
      <c r="N15" s="406">
        <f t="shared" si="4"/>
        <v>0.44518915859548464</v>
      </c>
      <c r="O15" s="406">
        <f t="shared" si="5"/>
        <v>3.9651251171416253E-3</v>
      </c>
      <c r="P15">
        <f t="shared" si="6"/>
        <v>0.2</v>
      </c>
      <c r="Q15" s="406">
        <f t="shared" si="34"/>
        <v>0.20396512511714163</v>
      </c>
      <c r="R15" s="9">
        <f t="shared" si="39"/>
        <v>0.40717734088595303</v>
      </c>
      <c r="S15" s="9">
        <f t="shared" si="7"/>
        <v>1.6579338693095561E-4</v>
      </c>
      <c r="T15" s="9">
        <f t="shared" si="40"/>
        <v>1.6579338693095561E-4</v>
      </c>
      <c r="U15" s="406">
        <f t="shared" si="8"/>
        <v>0.20531620109791526</v>
      </c>
      <c r="V15" s="408">
        <f t="shared" si="9"/>
        <v>4.2154742433279585E-5</v>
      </c>
      <c r="W15" s="406">
        <f t="shared" si="41"/>
        <v>4.2154742433279585E-5</v>
      </c>
      <c r="X15" s="406">
        <f t="shared" si="10"/>
        <v>0.20531620109791526</v>
      </c>
      <c r="Y15" s="406">
        <f t="shared" si="11"/>
        <v>2.5292845459967748E-4</v>
      </c>
      <c r="Z15" s="406">
        <f t="shared" si="12"/>
        <v>3.2199315707662934E-2</v>
      </c>
      <c r="AA15" s="406">
        <f t="shared" si="13"/>
        <v>5.0760028028651545E-2</v>
      </c>
      <c r="AB15" s="406">
        <f t="shared" si="14"/>
        <v>3.7818132631578932E-3</v>
      </c>
      <c r="AC15" s="406">
        <f t="shared" si="15"/>
        <v>8.6998486332612188E-2</v>
      </c>
      <c r="AD15" s="406">
        <f t="shared" si="16"/>
        <v>0.39501727113846047</v>
      </c>
      <c r="AE15" s="406">
        <f t="shared" si="17"/>
        <v>9.3623186698605591E-4</v>
      </c>
      <c r="AF15" s="406">
        <f t="shared" si="18"/>
        <v>6.3738132631578921E-3</v>
      </c>
      <c r="AG15" s="406">
        <f t="shared" si="19"/>
        <v>7.3111403177518654E-3</v>
      </c>
      <c r="AH15" s="406">
        <f t="shared" si="20"/>
        <v>0</v>
      </c>
      <c r="AI15">
        <f t="shared" si="21"/>
        <v>0</v>
      </c>
      <c r="AJ15" s="407">
        <f t="shared" si="22"/>
        <v>0.35998379999999996</v>
      </c>
      <c r="AK15">
        <f t="shared" si="23"/>
        <v>4.8000000000000001E-2</v>
      </c>
      <c r="AL15" s="407">
        <f t="shared" si="24"/>
        <v>0.1215</v>
      </c>
      <c r="AM15" s="407">
        <f t="shared" si="25"/>
        <v>0.31645971316818772</v>
      </c>
      <c r="AN15" s="407">
        <f t="shared" si="42"/>
        <v>0.16949999999999998</v>
      </c>
      <c r="AO15" s="407">
        <f t="shared" si="26"/>
        <v>0.82796649989686977</v>
      </c>
      <c r="AP15">
        <f t="shared" si="27"/>
        <v>0.91799999999999993</v>
      </c>
      <c r="AQ15" s="10">
        <f t="shared" si="43"/>
        <v>0.52578328396004392</v>
      </c>
      <c r="AR15" s="63">
        <f t="shared" si="28"/>
        <v>4.3499243166306094</v>
      </c>
      <c r="AS15" s="63">
        <f t="shared" si="44"/>
        <v>0.29244561271007463</v>
      </c>
      <c r="AT15" s="10"/>
      <c r="AU15">
        <f t="shared" si="45"/>
        <v>52.578328396004395</v>
      </c>
      <c r="BC15" t="s">
        <v>228</v>
      </c>
      <c r="BD15" s="28">
        <v>20</v>
      </c>
      <c r="BE15" s="28">
        <v>20</v>
      </c>
      <c r="BF15" s="28">
        <v>20</v>
      </c>
      <c r="BG15" s="29">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5">
      <c r="A16" s="405" t="s">
        <v>610</v>
      </c>
      <c r="B16" s="5">
        <v>7.5</v>
      </c>
      <c r="C16" s="416" t="s">
        <v>0</v>
      </c>
      <c r="D16" s="416" t="s">
        <v>615</v>
      </c>
      <c r="G16">
        <v>7</v>
      </c>
      <c r="H16">
        <f t="shared" si="0"/>
        <v>0.21000000000000002</v>
      </c>
      <c r="I16" s="406">
        <f t="shared" si="1"/>
        <v>0.21272749999999999</v>
      </c>
      <c r="J16" s="407">
        <f t="shared" si="2"/>
        <v>1.4107192105263158</v>
      </c>
      <c r="K16" s="407">
        <f t="shared" si="31"/>
        <v>0.91535960526315785</v>
      </c>
      <c r="L16" s="407">
        <f t="shared" si="32"/>
        <v>-0.49535960526315787</v>
      </c>
      <c r="M16" s="63">
        <f t="shared" si="3"/>
        <v>14.655609623170349</v>
      </c>
      <c r="N16" s="406">
        <f t="shared" si="4"/>
        <v>0.4581965272445867</v>
      </c>
      <c r="O16" s="406">
        <f t="shared" si="5"/>
        <v>4.2002920737575561E-3</v>
      </c>
      <c r="P16">
        <f t="shared" si="6"/>
        <v>0.2</v>
      </c>
      <c r="Q16" s="406">
        <f t="shared" si="34"/>
        <v>0.20420029207375756</v>
      </c>
      <c r="R16" s="9">
        <f t="shared" si="39"/>
        <v>0.40723955797417238</v>
      </c>
      <c r="S16" s="9">
        <f t="shared" si="7"/>
        <v>1.658440575789993E-4</v>
      </c>
      <c r="T16" s="9">
        <f t="shared" si="40"/>
        <v>1.658440575789993E-4</v>
      </c>
      <c r="U16" s="406">
        <f t="shared" si="8"/>
        <v>0.21133119625042718</v>
      </c>
      <c r="V16" s="408">
        <f t="shared" si="9"/>
        <v>4.466087450863657E-5</v>
      </c>
      <c r="W16" s="406">
        <f t="shared" si="41"/>
        <v>4.466087450863657E-5</v>
      </c>
      <c r="X16" s="406">
        <f t="shared" si="10"/>
        <v>0.21133119625042718</v>
      </c>
      <c r="Y16" s="406">
        <f t="shared" si="11"/>
        <v>2.6796524705181943E-4</v>
      </c>
      <c r="Z16" s="406">
        <f t="shared" si="12"/>
        <v>3.3294427092991553E-2</v>
      </c>
      <c r="AA16" s="406">
        <f t="shared" si="13"/>
        <v>5.6066342260977911E-2</v>
      </c>
      <c r="AB16" s="406">
        <f t="shared" si="14"/>
        <v>3.5665891578947361E-3</v>
      </c>
      <c r="AC16" s="406">
        <f t="shared" si="15"/>
        <v>9.3200318648198388E-2</v>
      </c>
      <c r="AD16" s="406">
        <f t="shared" si="16"/>
        <v>0.40655034506240767</v>
      </c>
      <c r="AE16" s="406">
        <f t="shared" si="17"/>
        <v>9.9169909842217641E-4</v>
      </c>
      <c r="AF16" s="406">
        <f t="shared" si="18"/>
        <v>6.5905891578947363E-3</v>
      </c>
      <c r="AG16" s="406">
        <f t="shared" si="19"/>
        <v>7.5834915429930858E-3</v>
      </c>
      <c r="AH16" s="406">
        <f t="shared" si="20"/>
        <v>0</v>
      </c>
      <c r="AI16">
        <f t="shared" si="21"/>
        <v>0</v>
      </c>
      <c r="AJ16" s="407">
        <f t="shared" si="22"/>
        <v>0.3599811</v>
      </c>
      <c r="AK16">
        <f t="shared" si="23"/>
        <v>4.8000000000000001E-2</v>
      </c>
      <c r="AL16" s="407">
        <f t="shared" si="24"/>
        <v>0.1215</v>
      </c>
      <c r="AM16" s="407">
        <f t="shared" si="25"/>
        <v>0.31645971316818772</v>
      </c>
      <c r="AN16" s="407">
        <f t="shared" si="42"/>
        <v>0.16949999999999998</v>
      </c>
      <c r="AO16" s="407">
        <f t="shared" si="26"/>
        <v>0.83467570719703665</v>
      </c>
      <c r="AP16">
        <f t="shared" si="27"/>
        <v>1.071</v>
      </c>
      <c r="AQ16" s="10">
        <f t="shared" si="43"/>
        <v>0.5620053800104744</v>
      </c>
      <c r="AR16" s="63">
        <f t="shared" si="28"/>
        <v>4.6600159324099195</v>
      </c>
      <c r="AS16" s="63">
        <f t="shared" si="44"/>
        <v>0.30333966171972343</v>
      </c>
      <c r="AT16" s="10"/>
      <c r="AU16">
        <f t="shared" si="45"/>
        <v>56.200538001047441</v>
      </c>
      <c r="BC16" t="s">
        <v>229</v>
      </c>
      <c r="BD16" s="28">
        <v>25</v>
      </c>
      <c r="BE16" s="28">
        <v>25</v>
      </c>
      <c r="BF16" s="28">
        <v>25</v>
      </c>
      <c r="BG16" s="29">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5">
      <c r="A17" s="34" t="s">
        <v>128</v>
      </c>
      <c r="B17" s="26" t="s">
        <v>201</v>
      </c>
      <c r="C17" s="34" t="s">
        <v>148</v>
      </c>
      <c r="D17" s="27" t="s">
        <v>188</v>
      </c>
      <c r="G17">
        <v>8</v>
      </c>
      <c r="H17">
        <f t="shared" si="0"/>
        <v>0.24</v>
      </c>
      <c r="I17" s="406">
        <f t="shared" si="1"/>
        <v>0.21275999999999998</v>
      </c>
      <c r="J17" s="407">
        <f t="shared" si="2"/>
        <v>1.4109347368421048</v>
      </c>
      <c r="K17" s="407">
        <f t="shared" si="31"/>
        <v>0.94546736842105239</v>
      </c>
      <c r="L17" s="407">
        <f t="shared" si="32"/>
        <v>-0.46546736842105241</v>
      </c>
      <c r="M17" s="63">
        <f t="shared" si="3"/>
        <v>13.771223917782615</v>
      </c>
      <c r="N17" s="406">
        <f t="shared" si="4"/>
        <v>0.47275229874531011</v>
      </c>
      <c r="O17" s="406">
        <f t="shared" si="5"/>
        <v>4.4714936878613477E-3</v>
      </c>
      <c r="P17">
        <f t="shared" si="6"/>
        <v>0.2</v>
      </c>
      <c r="Q17" s="406">
        <f t="shared" si="34"/>
        <v>0.20447149368786136</v>
      </c>
      <c r="R17" s="9">
        <f t="shared" si="39"/>
        <v>0.40730177506239151</v>
      </c>
      <c r="S17" s="9">
        <f t="shared" si="7"/>
        <v>1.6589473596897498E-4</v>
      </c>
      <c r="T17" s="9">
        <f t="shared" si="40"/>
        <v>1.6589473596897498E-4</v>
      </c>
      <c r="U17" s="406">
        <f t="shared" si="8"/>
        <v>0.2180613217073562</v>
      </c>
      <c r="V17" s="408">
        <f t="shared" si="9"/>
        <v>4.75507400247591E-5</v>
      </c>
      <c r="W17" s="406">
        <f t="shared" si="41"/>
        <v>4.75507400247591E-5</v>
      </c>
      <c r="X17" s="406">
        <f t="shared" si="10"/>
        <v>0.2180613217073562</v>
      </c>
      <c r="Y17" s="406">
        <f t="shared" si="11"/>
        <v>2.853044401485546E-4</v>
      </c>
      <c r="Z17" s="406">
        <f t="shared" si="12"/>
        <v>3.4389538478320152E-2</v>
      </c>
      <c r="AA17" s="406">
        <f t="shared" si="13"/>
        <v>6.1372656493304312E-2</v>
      </c>
      <c r="AB17" s="406">
        <f t="shared" si="14"/>
        <v>3.3513650526315773E-3</v>
      </c>
      <c r="AC17" s="406">
        <f t="shared" si="15"/>
        <v>9.9404536575535773E-2</v>
      </c>
      <c r="AD17" s="406">
        <f t="shared" si="16"/>
        <v>0.41945678674234826</v>
      </c>
      <c r="AE17" s="406">
        <f t="shared" si="17"/>
        <v>1.055663975665295E-3</v>
      </c>
      <c r="AF17" s="406">
        <f t="shared" si="18"/>
        <v>6.8073650526315772E-3</v>
      </c>
      <c r="AG17" s="406">
        <f t="shared" si="19"/>
        <v>7.8643573672991796E-3</v>
      </c>
      <c r="AH17" s="406">
        <f t="shared" si="20"/>
        <v>0</v>
      </c>
      <c r="AI17">
        <f t="shared" si="21"/>
        <v>0</v>
      </c>
      <c r="AJ17" s="407">
        <f t="shared" si="22"/>
        <v>0.35997840000000003</v>
      </c>
      <c r="AK17">
        <f t="shared" si="23"/>
        <v>4.8000000000000001E-2</v>
      </c>
      <c r="AL17" s="407">
        <f t="shared" si="24"/>
        <v>0.1215</v>
      </c>
      <c r="AM17" s="407">
        <f t="shared" si="25"/>
        <v>0.31645971316818772</v>
      </c>
      <c r="AN17" s="407">
        <f t="shared" si="42"/>
        <v>0.16949999999999998</v>
      </c>
      <c r="AO17" s="407">
        <f t="shared" si="26"/>
        <v>0.84143223310669013</v>
      </c>
      <c r="AP17">
        <f t="shared" si="27"/>
        <v>1.224</v>
      </c>
      <c r="AQ17" s="10">
        <f t="shared" si="43"/>
        <v>0.59261203557326991</v>
      </c>
      <c r="AR17" s="63">
        <f t="shared" si="28"/>
        <v>4.9702268287767888</v>
      </c>
      <c r="AS17" s="63">
        <f t="shared" si="44"/>
        <v>0.31457429469196718</v>
      </c>
      <c r="AT17" s="10"/>
      <c r="AU17">
        <f t="shared" si="45"/>
        <v>59.261203557326994</v>
      </c>
      <c r="BC17" t="s">
        <v>232</v>
      </c>
      <c r="BD17" s="28">
        <v>50</v>
      </c>
      <c r="BE17" s="28">
        <v>50</v>
      </c>
      <c r="BF17" s="28">
        <v>50</v>
      </c>
      <c r="BG17" s="29">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5">
      <c r="A18" s="45" t="s">
        <v>126</v>
      </c>
      <c r="B18" s="48">
        <f>Lout2*1000000</f>
        <v>9.5</v>
      </c>
      <c r="C18" s="418" t="s">
        <v>11</v>
      </c>
      <c r="D18" s="31" t="s">
        <v>190</v>
      </c>
      <c r="G18">
        <v>9</v>
      </c>
      <c r="H18">
        <f t="shared" si="0"/>
        <v>0.27</v>
      </c>
      <c r="I18" s="406">
        <f t="shared" si="1"/>
        <v>0.21279249999999997</v>
      </c>
      <c r="J18" s="407">
        <f t="shared" si="2"/>
        <v>1.4111502631578943</v>
      </c>
      <c r="K18" s="407">
        <f t="shared" si="31"/>
        <v>0.97557513157894715</v>
      </c>
      <c r="L18" s="407">
        <f t="shared" si="32"/>
        <v>-0.43557513157894712</v>
      </c>
      <c r="M18" s="63">
        <f t="shared" si="3"/>
        <v>12.886838212394883</v>
      </c>
      <c r="N18" s="406">
        <f t="shared" si="4"/>
        <v>0.48871814177589401</v>
      </c>
      <c r="O18" s="406">
        <f t="shared" si="5"/>
        <v>4.7787346482483272E-3</v>
      </c>
      <c r="P18">
        <f t="shared" si="6"/>
        <v>0.2</v>
      </c>
      <c r="Q18" s="406">
        <f t="shared" si="34"/>
        <v>0.20477873464824833</v>
      </c>
      <c r="R18" s="9">
        <f t="shared" si="39"/>
        <v>0.40736399215061075</v>
      </c>
      <c r="S18" s="9">
        <f t="shared" si="7"/>
        <v>1.6594542210088286E-4</v>
      </c>
      <c r="T18" s="9">
        <f t="shared" si="40"/>
        <v>1.6594542210088286E-4</v>
      </c>
      <c r="U18" s="406">
        <f t="shared" si="8"/>
        <v>0.2254429295462648</v>
      </c>
      <c r="V18" s="408">
        <f t="shared" si="9"/>
        <v>5.0824514482402115E-5</v>
      </c>
      <c r="W18" s="406">
        <f t="shared" si="41"/>
        <v>5.0824514482402115E-5</v>
      </c>
      <c r="X18" s="406">
        <f t="shared" si="10"/>
        <v>0.2254429295462648</v>
      </c>
      <c r="Y18" s="406">
        <f t="shared" si="11"/>
        <v>3.0494708689441269E-4</v>
      </c>
      <c r="Z18" s="406">
        <f t="shared" si="12"/>
        <v>3.5484649863648764E-2</v>
      </c>
      <c r="AA18" s="406">
        <f t="shared" si="13"/>
        <v>6.6678970725630712E-2</v>
      </c>
      <c r="AB18" s="406">
        <f t="shared" si="14"/>
        <v>3.1361409473684193E-3</v>
      </c>
      <c r="AC18" s="406">
        <f t="shared" si="15"/>
        <v>0.10561114978603646</v>
      </c>
      <c r="AD18" s="406">
        <f t="shared" si="16"/>
        <v>0.43361377701646048</v>
      </c>
      <c r="AE18" s="406">
        <f t="shared" si="17"/>
        <v>1.1281254457108842E-3</v>
      </c>
      <c r="AF18" s="406">
        <f t="shared" si="18"/>
        <v>7.0241409473684197E-3</v>
      </c>
      <c r="AG18" s="406">
        <f t="shared" si="19"/>
        <v>8.1537381433956606E-3</v>
      </c>
      <c r="AH18" s="406">
        <f t="shared" si="20"/>
        <v>0</v>
      </c>
      <c r="AI18">
        <f t="shared" si="21"/>
        <v>0</v>
      </c>
      <c r="AJ18" s="407">
        <f t="shared" si="22"/>
        <v>0.35997570000000001</v>
      </c>
      <c r="AK18">
        <f t="shared" si="23"/>
        <v>4.8000000000000001E-2</v>
      </c>
      <c r="AL18" s="407">
        <f t="shared" si="24"/>
        <v>0.1215</v>
      </c>
      <c r="AM18" s="407">
        <f t="shared" si="25"/>
        <v>0.31645971316818772</v>
      </c>
      <c r="AN18" s="407">
        <f t="shared" si="42"/>
        <v>0.16949999999999998</v>
      </c>
      <c r="AO18" s="407">
        <f t="shared" si="26"/>
        <v>0.8482360925142638</v>
      </c>
      <c r="AP18">
        <f t="shared" si="27"/>
        <v>1.377</v>
      </c>
      <c r="AQ18" s="10">
        <f t="shared" si="43"/>
        <v>0.61881074310822759</v>
      </c>
      <c r="AR18" s="63">
        <f t="shared" si="28"/>
        <v>5.280557489301823</v>
      </c>
      <c r="AS18" s="63">
        <f t="shared" si="44"/>
        <v>0.32614952573582645</v>
      </c>
      <c r="AT18" s="10"/>
      <c r="AU18">
        <f t="shared" si="45"/>
        <v>61.881074310822761</v>
      </c>
      <c r="BC18" t="s">
        <v>233</v>
      </c>
      <c r="BE18" s="28"/>
      <c r="BF18" s="29"/>
    </row>
    <row r="19" spans="1:69" x14ac:dyDescent="0.25">
      <c r="A19" s="45" t="s">
        <v>12</v>
      </c>
      <c r="B19" s="49">
        <f>Rdcr*1000</f>
        <v>20</v>
      </c>
      <c r="C19" s="416" t="s">
        <v>613</v>
      </c>
      <c r="D19" s="31" t="s">
        <v>191</v>
      </c>
      <c r="G19">
        <v>10</v>
      </c>
      <c r="H19">
        <f t="shared" si="0"/>
        <v>0.30000000000000004</v>
      </c>
      <c r="I19" s="406">
        <f t="shared" si="1"/>
        <v>0.21282500000000001</v>
      </c>
      <c r="J19" s="407">
        <f t="shared" si="2"/>
        <v>1.411365789473684</v>
      </c>
      <c r="K19" s="407">
        <f t="shared" si="31"/>
        <v>1.0056828947368421</v>
      </c>
      <c r="L19" s="407">
        <f t="shared" si="32"/>
        <v>-0.40568289473684194</v>
      </c>
      <c r="M19" s="63">
        <f t="shared" si="3"/>
        <v>12.002452507007158</v>
      </c>
      <c r="N19" s="406">
        <f t="shared" si="4"/>
        <v>0.50596058737289307</v>
      </c>
      <c r="O19" s="406">
        <f t="shared" si="5"/>
        <v>5.1220202671653997E-3</v>
      </c>
      <c r="P19">
        <f t="shared" si="6"/>
        <v>0.2</v>
      </c>
      <c r="Q19" s="406">
        <f t="shared" si="34"/>
        <v>0.20512202026716542</v>
      </c>
      <c r="R19" s="9">
        <f t="shared" si="39"/>
        <v>0.40742620923883011</v>
      </c>
      <c r="S19" s="9">
        <f t="shared" si="7"/>
        <v>1.6599611597472298E-4</v>
      </c>
      <c r="T19" s="9">
        <f t="shared" si="40"/>
        <v>1.6599611597472298E-4</v>
      </c>
      <c r="U19" s="406">
        <f t="shared" si="8"/>
        <v>0.23341459547834709</v>
      </c>
      <c r="V19" s="408">
        <f t="shared" si="9"/>
        <v>5.4482373382320408E-5</v>
      </c>
      <c r="W19" s="406">
        <f t="shared" si="41"/>
        <v>5.4482373382320408E-5</v>
      </c>
      <c r="X19" s="406">
        <f t="shared" si="10"/>
        <v>0.23341459547834709</v>
      </c>
      <c r="Y19" s="406">
        <f t="shared" si="11"/>
        <v>3.2689424029392245E-4</v>
      </c>
      <c r="Z19" s="406">
        <f t="shared" si="12"/>
        <v>3.6579761248977376E-2</v>
      </c>
      <c r="AA19" s="406">
        <f t="shared" si="13"/>
        <v>7.1985284957957058E-2</v>
      </c>
      <c r="AB19" s="406">
        <f t="shared" si="14"/>
        <v>2.9209168421052622E-3</v>
      </c>
      <c r="AC19" s="406">
        <f t="shared" si="15"/>
        <v>0.11182016796310477</v>
      </c>
      <c r="AD19" s="406">
        <f t="shared" si="16"/>
        <v>0.44890282087819688</v>
      </c>
      <c r="AE19" s="406">
        <f t="shared" si="17"/>
        <v>1.2090824555544151E-3</v>
      </c>
      <c r="AF19" s="406">
        <f t="shared" si="18"/>
        <v>7.2409168421052631E-3</v>
      </c>
      <c r="AG19" s="406">
        <f t="shared" si="19"/>
        <v>8.4516342932988431E-3</v>
      </c>
      <c r="AH19" s="406">
        <f t="shared" si="20"/>
        <v>0</v>
      </c>
      <c r="AI19">
        <f t="shared" si="21"/>
        <v>0</v>
      </c>
      <c r="AJ19" s="407">
        <f t="shared" si="22"/>
        <v>0.35997299999999999</v>
      </c>
      <c r="AK19">
        <f t="shared" si="23"/>
        <v>4.8000000000000001E-2</v>
      </c>
      <c r="AL19" s="407">
        <f t="shared" si="24"/>
        <v>0.1215</v>
      </c>
      <c r="AM19" s="407">
        <f t="shared" si="25"/>
        <v>0.31645971316818772</v>
      </c>
      <c r="AN19" s="407">
        <f t="shared" si="42"/>
        <v>0.16949999999999998</v>
      </c>
      <c r="AO19" s="407">
        <f t="shared" si="26"/>
        <v>0.85508730101292607</v>
      </c>
      <c r="AP19">
        <f t="shared" si="27"/>
        <v>1.53</v>
      </c>
      <c r="AQ19" s="10">
        <f t="shared" si="43"/>
        <v>0.64148595288324339</v>
      </c>
      <c r="AR19" s="63">
        <f t="shared" si="28"/>
        <v>5.591008398155239</v>
      </c>
      <c r="AS19" s="63">
        <f t="shared" si="44"/>
        <v>0.33806537173195372</v>
      </c>
      <c r="AT19" s="10"/>
      <c r="AU19">
        <f t="shared" si="45"/>
        <v>64.148595288324344</v>
      </c>
      <c r="BC19" t="s">
        <v>234</v>
      </c>
      <c r="BE19" s="28"/>
      <c r="BF19" s="29"/>
    </row>
    <row r="20" spans="1:69" x14ac:dyDescent="0.25">
      <c r="A20" s="45" t="s">
        <v>155</v>
      </c>
      <c r="B20" s="49">
        <f>Ltc*1000000</f>
        <v>4000</v>
      </c>
      <c r="C20" s="418" t="s">
        <v>154</v>
      </c>
      <c r="D20" s="31" t="s">
        <v>176</v>
      </c>
      <c r="G20">
        <v>11</v>
      </c>
      <c r="H20">
        <f t="shared" si="0"/>
        <v>0.33</v>
      </c>
      <c r="I20" s="406">
        <f t="shared" si="1"/>
        <v>0.21285749999999995</v>
      </c>
      <c r="J20" s="407">
        <f t="shared" si="2"/>
        <v>1.4115813157894732</v>
      </c>
      <c r="K20" s="407">
        <f t="shared" si="31"/>
        <v>1.0357906578947367</v>
      </c>
      <c r="L20" s="407">
        <f t="shared" si="32"/>
        <v>-0.37579065789473659</v>
      </c>
      <c r="M20" s="63">
        <f t="shared" si="3"/>
        <v>11.118066801619426</v>
      </c>
      <c r="N20" s="406">
        <f t="shared" si="4"/>
        <v>0.52435371419538457</v>
      </c>
      <c r="O20" s="406">
        <f t="shared" si="5"/>
        <v>5.5013564805407094E-3</v>
      </c>
      <c r="P20">
        <f t="shared" si="6"/>
        <v>0.2</v>
      </c>
      <c r="Q20" s="406">
        <f t="shared" si="34"/>
        <v>0.20550135648054071</v>
      </c>
      <c r="R20" s="9">
        <f t="shared" si="39"/>
        <v>0.40748842632704929</v>
      </c>
      <c r="S20" s="9">
        <f t="shared" si="7"/>
        <v>1.6604681759049508E-4</v>
      </c>
      <c r="T20" s="9">
        <f t="shared" si="40"/>
        <v>1.6604681759049508E-4</v>
      </c>
      <c r="U20" s="406">
        <f t="shared" si="8"/>
        <v>0.24191835859493752</v>
      </c>
      <c r="V20" s="408">
        <f t="shared" si="9"/>
        <v>5.8524492225268782E-5</v>
      </c>
      <c r="W20" s="406">
        <f t="shared" si="41"/>
        <v>5.8524492225268782E-5</v>
      </c>
      <c r="X20" s="406">
        <f t="shared" si="10"/>
        <v>0.24191835859493752</v>
      </c>
      <c r="Y20" s="406">
        <f t="shared" si="11"/>
        <v>3.511469533516127E-4</v>
      </c>
      <c r="Z20" s="406">
        <f t="shared" si="12"/>
        <v>3.7674872634305974E-2</v>
      </c>
      <c r="AA20" s="406">
        <f t="shared" si="13"/>
        <v>7.7291599190283444E-2</v>
      </c>
      <c r="AB20" s="406">
        <f t="shared" si="14"/>
        <v>2.7056927368421034E-3</v>
      </c>
      <c r="AC20" s="406">
        <f t="shared" si="15"/>
        <v>0.1180316008021873</v>
      </c>
      <c r="AD20" s="406">
        <f t="shared" si="16"/>
        <v>0.4652121294261643</v>
      </c>
      <c r="AE20" s="406">
        <f t="shared" si="17"/>
        <v>1.2985339521913574E-3</v>
      </c>
      <c r="AF20" s="406">
        <f t="shared" si="18"/>
        <v>7.457692736842104E-3</v>
      </c>
      <c r="AG20" s="406">
        <f t="shared" si="19"/>
        <v>8.7580463083112535E-3</v>
      </c>
      <c r="AH20" s="406">
        <f t="shared" si="20"/>
        <v>0</v>
      </c>
      <c r="AI20">
        <f t="shared" si="21"/>
        <v>0</v>
      </c>
      <c r="AJ20" s="407">
        <f t="shared" si="22"/>
        <v>0.35997029999999997</v>
      </c>
      <c r="AK20">
        <f t="shared" si="23"/>
        <v>4.8000000000000001E-2</v>
      </c>
      <c r="AL20" s="407">
        <f t="shared" si="24"/>
        <v>0.1215</v>
      </c>
      <c r="AM20" s="407">
        <f t="shared" si="25"/>
        <v>0.31645971316818772</v>
      </c>
      <c r="AN20" s="407">
        <f t="shared" si="42"/>
        <v>0.16949999999999998</v>
      </c>
      <c r="AO20" s="407">
        <f t="shared" si="26"/>
        <v>0.86198587490085499</v>
      </c>
      <c r="AP20">
        <f t="shared" si="27"/>
        <v>1.6830000000000001</v>
      </c>
      <c r="AQ20" s="10">
        <f t="shared" si="43"/>
        <v>0.66130033042543501</v>
      </c>
      <c r="AR20" s="63">
        <f t="shared" si="28"/>
        <v>5.9015800401093648</v>
      </c>
      <c r="AS20" s="63">
        <f t="shared" si="44"/>
        <v>0.35032185233245017</v>
      </c>
      <c r="AT20" s="10"/>
      <c r="AU20">
        <f t="shared" si="45"/>
        <v>66.130033042543502</v>
      </c>
      <c r="BE20" s="28"/>
      <c r="BF20" s="29"/>
    </row>
    <row r="21" spans="1:69" x14ac:dyDescent="0.25">
      <c r="A21" s="35" t="s">
        <v>250</v>
      </c>
      <c r="B21" s="49">
        <f>ThetaCa</f>
        <v>20</v>
      </c>
      <c r="C21" s="418" t="s">
        <v>712</v>
      </c>
      <c r="D21" s="36" t="s">
        <v>251</v>
      </c>
      <c r="G21">
        <v>12</v>
      </c>
      <c r="H21">
        <f t="shared" si="0"/>
        <v>0.36</v>
      </c>
      <c r="I21" s="406">
        <f t="shared" si="1"/>
        <v>0.21289</v>
      </c>
      <c r="J21" s="407">
        <f t="shared" si="2"/>
        <v>1.4117968421052629</v>
      </c>
      <c r="K21" s="407">
        <f t="shared" si="31"/>
        <v>1.0658984210526314</v>
      </c>
      <c r="L21" s="407">
        <f t="shared" si="32"/>
        <v>-0.34589842105263147</v>
      </c>
      <c r="M21" s="63">
        <f t="shared" si="3"/>
        <v>10.233681096231699</v>
      </c>
      <c r="N21" s="406">
        <f t="shared" si="4"/>
        <v>0.54378077103571743</v>
      </c>
      <c r="O21" s="406">
        <f t="shared" si="5"/>
        <v>5.9167498482402998E-3</v>
      </c>
      <c r="P21">
        <f t="shared" si="6"/>
        <v>0.2</v>
      </c>
      <c r="Q21" s="406">
        <f t="shared" si="34"/>
        <v>0.20591674984824032</v>
      </c>
      <c r="R21" s="9">
        <f t="shared" si="39"/>
        <v>0.40755064341526859</v>
      </c>
      <c r="S21" s="9">
        <f t="shared" si="7"/>
        <v>1.6609752694819941E-4</v>
      </c>
      <c r="T21" s="9">
        <f t="shared" si="40"/>
        <v>1.6609752694819941E-4</v>
      </c>
      <c r="U21" s="406">
        <f t="shared" si="8"/>
        <v>0.25090047132678361</v>
      </c>
      <c r="V21" s="408">
        <f t="shared" si="9"/>
        <v>6.2951046512002164E-5</v>
      </c>
      <c r="W21" s="406">
        <f t="shared" si="41"/>
        <v>6.2951046512002164E-5</v>
      </c>
      <c r="X21" s="406">
        <f t="shared" si="10"/>
        <v>0.25090047132678361</v>
      </c>
      <c r="Y21" s="406">
        <f t="shared" si="11"/>
        <v>3.7770627907201295E-4</v>
      </c>
      <c r="Z21" s="406">
        <f t="shared" si="12"/>
        <v>3.8769984019634579E-2</v>
      </c>
      <c r="AA21" s="406">
        <f t="shared" si="13"/>
        <v>8.2597913422609817E-2</v>
      </c>
      <c r="AB21" s="406">
        <f t="shared" si="14"/>
        <v>2.4904686315789463E-3</v>
      </c>
      <c r="AC21" s="406">
        <f t="shared" si="15"/>
        <v>0.12424545801082273</v>
      </c>
      <c r="AD21" s="406">
        <f t="shared" si="16"/>
        <v>0.482438058652297</v>
      </c>
      <c r="AE21" s="406">
        <f t="shared" si="17"/>
        <v>1.3964788826171829E-3</v>
      </c>
      <c r="AF21" s="406">
        <f t="shared" si="18"/>
        <v>7.6744686315789465E-3</v>
      </c>
      <c r="AG21" s="406">
        <f t="shared" si="19"/>
        <v>9.0729747490184524E-3</v>
      </c>
      <c r="AH21" s="406">
        <f t="shared" si="20"/>
        <v>0</v>
      </c>
      <c r="AI21">
        <f t="shared" si="21"/>
        <v>0</v>
      </c>
      <c r="AJ21" s="407">
        <f t="shared" si="22"/>
        <v>0.3599676</v>
      </c>
      <c r="AK21">
        <f t="shared" si="23"/>
        <v>4.8000000000000001E-2</v>
      </c>
      <c r="AL21" s="407">
        <f t="shared" si="24"/>
        <v>0.1215</v>
      </c>
      <c r="AM21" s="407">
        <f t="shared" si="25"/>
        <v>0.31645971316818772</v>
      </c>
      <c r="AN21" s="407">
        <f t="shared" si="42"/>
        <v>0.16949999999999998</v>
      </c>
      <c r="AO21" s="407">
        <f t="shared" si="26"/>
        <v>0.86893183118154171</v>
      </c>
      <c r="AP21">
        <f t="shared" si="27"/>
        <v>1.8359999999999999</v>
      </c>
      <c r="AQ21" s="10">
        <f t="shared" si="43"/>
        <v>0.67876017385547804</v>
      </c>
      <c r="AR21" s="63">
        <f t="shared" si="28"/>
        <v>6.2122729005411363</v>
      </c>
      <c r="AS21" s="63">
        <f t="shared" si="44"/>
        <v>0.36291898996073813</v>
      </c>
      <c r="AT21" s="10"/>
      <c r="AU21">
        <f t="shared" si="45"/>
        <v>67.876017385547812</v>
      </c>
      <c r="BE21" s="28"/>
      <c r="BF21" s="29"/>
    </row>
    <row r="22" spans="1:69" x14ac:dyDescent="0.25">
      <c r="A22" s="46" t="s">
        <v>127</v>
      </c>
      <c r="B22" s="49">
        <f>Cin*1000000</f>
        <v>135</v>
      </c>
      <c r="C22" s="419" t="s">
        <v>30</v>
      </c>
      <c r="D22" s="31" t="s">
        <v>177</v>
      </c>
      <c r="G22">
        <v>13</v>
      </c>
      <c r="H22">
        <f t="shared" si="0"/>
        <v>0.39</v>
      </c>
      <c r="I22" s="406">
        <f t="shared" si="1"/>
        <v>0.21292249999999999</v>
      </c>
      <c r="J22" s="407">
        <f t="shared" si="2"/>
        <v>1.4120123684210524</v>
      </c>
      <c r="K22" s="407">
        <f t="shared" si="31"/>
        <v>1.0960061842105262</v>
      </c>
      <c r="L22" s="407">
        <f t="shared" si="32"/>
        <v>-0.31600618421052618</v>
      </c>
      <c r="M22" s="63">
        <f t="shared" si="3"/>
        <v>9.3492953908439702</v>
      </c>
      <c r="N22" s="406">
        <f t="shared" si="4"/>
        <v>0.56413495198209074</v>
      </c>
      <c r="O22" s="406">
        <f t="shared" si="5"/>
        <v>6.3682075543517631E-3</v>
      </c>
      <c r="P22">
        <f t="shared" si="6"/>
        <v>0.2</v>
      </c>
      <c r="Q22" s="406">
        <f t="shared" si="34"/>
        <v>0.20636820755435178</v>
      </c>
      <c r="R22" s="9">
        <f t="shared" si="39"/>
        <v>0.40761286050348783</v>
      </c>
      <c r="S22" s="9">
        <f t="shared" si="7"/>
        <v>1.6614824404783581E-4</v>
      </c>
      <c r="T22" s="9">
        <f t="shared" si="40"/>
        <v>1.6614824404783581E-4</v>
      </c>
      <c r="U22" s="406">
        <f t="shared" si="8"/>
        <v>0.26031175874953344</v>
      </c>
      <c r="V22" s="408">
        <f t="shared" si="9"/>
        <v>6.7762211743275304E-5</v>
      </c>
      <c r="W22" s="406">
        <f t="shared" si="41"/>
        <v>6.7762211743275304E-5</v>
      </c>
      <c r="X22" s="406">
        <f t="shared" si="10"/>
        <v>0.26031175874953344</v>
      </c>
      <c r="Y22" s="406">
        <f t="shared" si="11"/>
        <v>4.0657327045965182E-4</v>
      </c>
      <c r="Z22" s="406">
        <f t="shared" si="12"/>
        <v>3.9865095404963191E-2</v>
      </c>
      <c r="AA22" s="406">
        <f t="shared" si="13"/>
        <v>8.7904227654936176E-2</v>
      </c>
      <c r="AB22" s="406">
        <f t="shared" si="14"/>
        <v>2.2752445263157883E-3</v>
      </c>
      <c r="AC22" s="406">
        <f t="shared" si="15"/>
        <v>0.13046174930869206</v>
      </c>
      <c r="AD22" s="406">
        <f t="shared" si="16"/>
        <v>0.50048579630650913</v>
      </c>
      <c r="AE22" s="406">
        <f t="shared" si="17"/>
        <v>1.5029161938273634E-3</v>
      </c>
      <c r="AF22" s="406">
        <f t="shared" si="18"/>
        <v>7.8912445263157882E-3</v>
      </c>
      <c r="AG22" s="406">
        <f t="shared" si="19"/>
        <v>9.3964202452872566E-3</v>
      </c>
      <c r="AH22" s="406">
        <f t="shared" si="20"/>
        <v>0</v>
      </c>
      <c r="AI22">
        <f t="shared" si="21"/>
        <v>0</v>
      </c>
      <c r="AJ22" s="407">
        <f t="shared" si="22"/>
        <v>0.35996489999999998</v>
      </c>
      <c r="AK22">
        <f t="shared" si="23"/>
        <v>4.8000000000000001E-2</v>
      </c>
      <c r="AL22" s="407">
        <f t="shared" si="24"/>
        <v>0.1215</v>
      </c>
      <c r="AM22" s="407">
        <f t="shared" si="25"/>
        <v>0.31645971316818772</v>
      </c>
      <c r="AN22" s="407">
        <f t="shared" si="42"/>
        <v>0.16949999999999998</v>
      </c>
      <c r="AO22" s="407">
        <f t="shared" si="26"/>
        <v>0.87592518756412219</v>
      </c>
      <c r="AP22">
        <f t="shared" si="27"/>
        <v>1.9889999999999999</v>
      </c>
      <c r="AQ22" s="10">
        <f t="shared" si="43"/>
        <v>0.69425896656349695</v>
      </c>
      <c r="AR22" s="63">
        <f t="shared" si="28"/>
        <v>6.5230874654346032</v>
      </c>
      <c r="AS22" s="63">
        <f t="shared" si="44"/>
        <v>0.37585680981149028</v>
      </c>
      <c r="AT22" s="10"/>
      <c r="AU22">
        <f t="shared" si="45"/>
        <v>69.425896656349693</v>
      </c>
      <c r="BE22" s="28"/>
      <c r="BF22" s="29"/>
    </row>
    <row r="23" spans="1:69" x14ac:dyDescent="0.25">
      <c r="A23" s="46" t="s">
        <v>159</v>
      </c>
      <c r="B23" s="49">
        <f>RCinEsr*1000</f>
        <v>1</v>
      </c>
      <c r="C23" s="416" t="s">
        <v>613</v>
      </c>
      <c r="D23" s="31" t="s">
        <v>178</v>
      </c>
      <c r="G23">
        <v>14</v>
      </c>
      <c r="H23">
        <f t="shared" si="0"/>
        <v>0.42000000000000004</v>
      </c>
      <c r="I23" s="406">
        <f t="shared" si="1"/>
        <v>0.21295499999999998</v>
      </c>
      <c r="J23" s="407">
        <f t="shared" si="2"/>
        <v>1.4122278947368418</v>
      </c>
      <c r="K23" s="407">
        <f t="shared" si="31"/>
        <v>1.126113947368421</v>
      </c>
      <c r="L23" s="407">
        <f t="shared" si="32"/>
        <v>-0.28611394736842088</v>
      </c>
      <c r="M23" s="63">
        <f t="shared" si="3"/>
        <v>8.4649096854562398</v>
      </c>
      <c r="N23" s="406">
        <f t="shared" si="4"/>
        <v>0.5853195442571556</v>
      </c>
      <c r="O23" s="406">
        <f t="shared" si="5"/>
        <v>6.8557374074949412E-3</v>
      </c>
      <c r="P23">
        <f t="shared" si="6"/>
        <v>0.2</v>
      </c>
      <c r="Q23" s="406">
        <f t="shared" si="34"/>
        <v>0.20685573740749497</v>
      </c>
      <c r="R23" s="9">
        <f t="shared" si="39"/>
        <v>0.40767507759170707</v>
      </c>
      <c r="S23" s="9">
        <f t="shared" si="7"/>
        <v>1.6619896888940439E-4</v>
      </c>
      <c r="T23" s="9">
        <f t="shared" si="40"/>
        <v>1.6619896888940439E-4</v>
      </c>
      <c r="U23" s="406">
        <f t="shared" si="8"/>
        <v>0.27010768856114237</v>
      </c>
      <c r="V23" s="408">
        <f t="shared" si="9"/>
        <v>7.2958163419843089E-5</v>
      </c>
      <c r="W23" s="406">
        <f t="shared" si="41"/>
        <v>7.2958163419843089E-5</v>
      </c>
      <c r="X23" s="406">
        <f t="shared" si="10"/>
        <v>0.27010768856114237</v>
      </c>
      <c r="Y23" s="406">
        <f t="shared" si="11"/>
        <v>4.3774898051905854E-4</v>
      </c>
      <c r="Z23" s="406">
        <f t="shared" si="12"/>
        <v>4.0960206790291796E-2</v>
      </c>
      <c r="AA23" s="406">
        <f t="shared" si="13"/>
        <v>9.3210541887262563E-2</v>
      </c>
      <c r="AB23" s="406">
        <f t="shared" si="14"/>
        <v>2.0600204210526303E-3</v>
      </c>
      <c r="AC23" s="406">
        <f t="shared" si="15"/>
        <v>0.13668048442766906</v>
      </c>
      <c r="AD23" s="406">
        <f t="shared" si="16"/>
        <v>0.51926949214214502</v>
      </c>
      <c r="AE23" s="406">
        <f t="shared" si="17"/>
        <v>1.6178448328173674E-3</v>
      </c>
      <c r="AF23" s="406">
        <f t="shared" si="18"/>
        <v>8.1080204210526308E-3</v>
      </c>
      <c r="AG23" s="406">
        <f t="shared" si="19"/>
        <v>9.7283834962653744E-3</v>
      </c>
      <c r="AH23" s="406">
        <f t="shared" si="20"/>
        <v>0</v>
      </c>
      <c r="AI23">
        <f t="shared" si="21"/>
        <v>0</v>
      </c>
      <c r="AJ23" s="407">
        <f t="shared" si="22"/>
        <v>0.35996219999999995</v>
      </c>
      <c r="AK23">
        <f t="shared" si="23"/>
        <v>4.8000000000000001E-2</v>
      </c>
      <c r="AL23" s="407">
        <f t="shared" si="24"/>
        <v>0.1215</v>
      </c>
      <c r="AM23" s="407">
        <f t="shared" si="25"/>
        <v>0.31645971316818772</v>
      </c>
      <c r="AN23" s="407">
        <f t="shared" si="42"/>
        <v>0.16949999999999998</v>
      </c>
      <c r="AO23" s="407">
        <f t="shared" si="26"/>
        <v>0.88296596246373849</v>
      </c>
      <c r="AP23">
        <f t="shared" si="27"/>
        <v>2.1419999999999999</v>
      </c>
      <c r="AQ23" s="10">
        <f t="shared" si="43"/>
        <v>0.70810714123057739</v>
      </c>
      <c r="AR23" s="63">
        <f t="shared" si="28"/>
        <v>6.8340242213834532</v>
      </c>
      <c r="AS23" s="63">
        <f t="shared" si="44"/>
        <v>0.38913533985061499</v>
      </c>
      <c r="AT23" s="10"/>
      <c r="AU23">
        <f t="shared" si="45"/>
        <v>70.810714123057735</v>
      </c>
      <c r="BE23" s="28"/>
      <c r="BF23" s="29"/>
    </row>
    <row r="24" spans="1:69" x14ac:dyDescent="0.25">
      <c r="A24" s="45" t="s">
        <v>36</v>
      </c>
      <c r="B24" s="49">
        <f>Cout*1000000</f>
        <v>135</v>
      </c>
      <c r="C24" s="418" t="s">
        <v>30</v>
      </c>
      <c r="D24" s="31" t="s">
        <v>199</v>
      </c>
      <c r="G24">
        <v>15</v>
      </c>
      <c r="H24">
        <f t="shared" si="0"/>
        <v>0.44999999999999996</v>
      </c>
      <c r="I24" s="406">
        <f t="shared" si="1"/>
        <v>0.2129875</v>
      </c>
      <c r="J24" s="407">
        <f t="shared" si="2"/>
        <v>1.4124434210526313</v>
      </c>
      <c r="K24" s="407">
        <f t="shared" si="31"/>
        <v>1.1562217105263155</v>
      </c>
      <c r="L24" s="407">
        <f t="shared" si="32"/>
        <v>-0.2562217105263157</v>
      </c>
      <c r="M24" s="63">
        <f t="shared" si="3"/>
        <v>7.580523980068512</v>
      </c>
      <c r="N24" s="406">
        <f t="shared" si="4"/>
        <v>0.60724764427118605</v>
      </c>
      <c r="O24" s="406">
        <f t="shared" si="5"/>
        <v>7.3793478411596858E-3</v>
      </c>
      <c r="P24">
        <f t="shared" si="6"/>
        <v>0.2</v>
      </c>
      <c r="Q24" s="406">
        <f t="shared" si="34"/>
        <v>0.20737934784115969</v>
      </c>
      <c r="R24" s="9">
        <f t="shared" si="39"/>
        <v>0.40773729467992631</v>
      </c>
      <c r="S24" s="9">
        <f t="shared" si="7"/>
        <v>1.6624970147290509E-4</v>
      </c>
      <c r="T24" s="9">
        <f t="shared" si="40"/>
        <v>1.6624970147290509E-4</v>
      </c>
      <c r="U24" s="406">
        <f t="shared" si="8"/>
        <v>0.28024824181867819</v>
      </c>
      <c r="V24" s="408">
        <f t="shared" si="9"/>
        <v>7.853907704246033E-5</v>
      </c>
      <c r="W24" s="406">
        <f t="shared" si="41"/>
        <v>7.853907704246033E-5</v>
      </c>
      <c r="X24" s="406">
        <f t="shared" si="10"/>
        <v>0.28024824181867819</v>
      </c>
      <c r="Y24" s="406">
        <f t="shared" si="11"/>
        <v>4.7123446225476198E-4</v>
      </c>
      <c r="Z24" s="406">
        <f t="shared" si="12"/>
        <v>4.2055318175620394E-2</v>
      </c>
      <c r="AA24" s="406">
        <f t="shared" si="13"/>
        <v>9.8516856119588922E-2</v>
      </c>
      <c r="AB24" s="406">
        <f t="shared" si="14"/>
        <v>1.844796315789473E-3</v>
      </c>
      <c r="AC24" s="406">
        <f t="shared" si="15"/>
        <v>0.14290167311187038</v>
      </c>
      <c r="AD24" s="406">
        <f t="shared" si="16"/>
        <v>0.53871200509218709</v>
      </c>
      <c r="AE24" s="406">
        <f t="shared" si="17"/>
        <v>1.7412637465826677E-3</v>
      </c>
      <c r="AF24" s="406">
        <f t="shared" si="18"/>
        <v>8.3247963157894716E-3</v>
      </c>
      <c r="AG24" s="406">
        <f t="shared" si="19"/>
        <v>1.0068865270382464E-2</v>
      </c>
      <c r="AH24" s="406">
        <f t="shared" si="20"/>
        <v>0</v>
      </c>
      <c r="AI24">
        <f t="shared" si="21"/>
        <v>0</v>
      </c>
      <c r="AJ24" s="407">
        <f t="shared" si="22"/>
        <v>0.35995949999999999</v>
      </c>
      <c r="AK24">
        <f t="shared" si="23"/>
        <v>4.8000000000000001E-2</v>
      </c>
      <c r="AL24" s="407">
        <f t="shared" si="24"/>
        <v>0.1215</v>
      </c>
      <c r="AM24" s="407">
        <f t="shared" si="25"/>
        <v>0.31645971316818772</v>
      </c>
      <c r="AN24" s="407">
        <f t="shared" si="42"/>
        <v>0.16949999999999998</v>
      </c>
      <c r="AO24" s="407">
        <f t="shared" si="26"/>
        <v>0.89005417500192785</v>
      </c>
      <c r="AP24">
        <f t="shared" si="27"/>
        <v>2.2949999999999995</v>
      </c>
      <c r="AQ24" s="10">
        <f t="shared" si="43"/>
        <v>0.72055289294996394</v>
      </c>
      <c r="AR24" s="63">
        <f t="shared" si="28"/>
        <v>7.1450836555935187</v>
      </c>
      <c r="AS24" s="63">
        <f t="shared" si="44"/>
        <v>0.40275461081529856</v>
      </c>
      <c r="AT24" s="10"/>
      <c r="AU24">
        <f t="shared" si="45"/>
        <v>72.055289294996399</v>
      </c>
      <c r="BE24" s="28"/>
      <c r="BF24" s="29"/>
    </row>
    <row r="25" spans="1:69" x14ac:dyDescent="0.25">
      <c r="A25" s="45" t="s">
        <v>158</v>
      </c>
      <c r="B25" s="50">
        <f>CoutEsr*1000</f>
        <v>1</v>
      </c>
      <c r="C25" s="416" t="s">
        <v>613</v>
      </c>
      <c r="D25" s="31" t="s">
        <v>200</v>
      </c>
      <c r="G25">
        <v>16</v>
      </c>
      <c r="H25">
        <f t="shared" si="0"/>
        <v>0.48</v>
      </c>
      <c r="I25" s="406">
        <f t="shared" si="1"/>
        <v>0.21301999999999999</v>
      </c>
      <c r="J25" s="407">
        <f t="shared" si="2"/>
        <v>1.4126589473684208</v>
      </c>
      <c r="K25" s="407">
        <f t="shared" si="31"/>
        <v>1.1863294736842103</v>
      </c>
      <c r="L25" s="407">
        <f t="shared" si="32"/>
        <v>-0.22632947368421041</v>
      </c>
      <c r="M25" s="63">
        <f t="shared" si="3"/>
        <v>6.6961382746807816</v>
      </c>
      <c r="N25" s="406">
        <f t="shared" si="4"/>
        <v>0.62984160056186977</v>
      </c>
      <c r="O25" s="406">
        <f t="shared" si="5"/>
        <v>7.9390479140707109E-3</v>
      </c>
      <c r="P25">
        <f t="shared" si="6"/>
        <v>0.2</v>
      </c>
      <c r="Q25" s="406">
        <f t="shared" si="34"/>
        <v>0.20793904791407072</v>
      </c>
      <c r="R25" s="9">
        <f t="shared" si="39"/>
        <v>0.40779951176814561</v>
      </c>
      <c r="S25" s="9">
        <f t="shared" si="7"/>
        <v>1.6630044179833791E-4</v>
      </c>
      <c r="T25" s="9">
        <f t="shared" si="40"/>
        <v>1.6630044179833791E-4</v>
      </c>
      <c r="U25" s="406">
        <f t="shared" si="8"/>
        <v>0.29069765756173876</v>
      </c>
      <c r="V25" s="408">
        <f t="shared" si="9"/>
        <v>8.4505128111881934E-5</v>
      </c>
      <c r="W25" s="406">
        <f t="shared" si="41"/>
        <v>8.4505128111881934E-5</v>
      </c>
      <c r="X25" s="406">
        <f t="shared" si="10"/>
        <v>0.29069765756173876</v>
      </c>
      <c r="Y25" s="406">
        <f t="shared" si="11"/>
        <v>5.0703076867129166E-4</v>
      </c>
      <c r="Z25" s="406">
        <f t="shared" si="12"/>
        <v>4.3150429560949007E-2</v>
      </c>
      <c r="AA25" s="406">
        <f t="shared" si="13"/>
        <v>0.10382317035191532</v>
      </c>
      <c r="AB25" s="406">
        <f t="shared" si="14"/>
        <v>1.6295722105263148E-3</v>
      </c>
      <c r="AC25" s="406">
        <f t="shared" si="15"/>
        <v>0.14912532511770649</v>
      </c>
      <c r="AD25" s="406">
        <f t="shared" si="16"/>
        <v>0.55874440819256166</v>
      </c>
      <c r="AE25" s="406">
        <f t="shared" si="17"/>
        <v>1.873171882118736E-3</v>
      </c>
      <c r="AF25" s="406">
        <f t="shared" si="18"/>
        <v>8.5415722105263141E-3</v>
      </c>
      <c r="AG25" s="406">
        <f t="shared" si="19"/>
        <v>1.0417866405352597E-2</v>
      </c>
      <c r="AH25" s="406">
        <f t="shared" si="20"/>
        <v>0</v>
      </c>
      <c r="AI25">
        <f t="shared" si="21"/>
        <v>0</v>
      </c>
      <c r="AJ25" s="407">
        <f t="shared" si="22"/>
        <v>0.35995679999999997</v>
      </c>
      <c r="AK25">
        <f t="shared" si="23"/>
        <v>4.8000000000000001E-2</v>
      </c>
      <c r="AL25" s="407">
        <f t="shared" si="24"/>
        <v>0.1215</v>
      </c>
      <c r="AM25" s="407">
        <f t="shared" si="25"/>
        <v>0.31645971316818772</v>
      </c>
      <c r="AN25" s="407">
        <f t="shared" si="42"/>
        <v>0.16949999999999998</v>
      </c>
      <c r="AO25" s="407">
        <f t="shared" si="26"/>
        <v>0.89718984500704002</v>
      </c>
      <c r="AP25">
        <f t="shared" si="27"/>
        <v>2.448</v>
      </c>
      <c r="AQ25" s="10">
        <f t="shared" si="43"/>
        <v>0.7317970319842485</v>
      </c>
      <c r="AR25" s="63">
        <f t="shared" si="28"/>
        <v>7.4562662558853248</v>
      </c>
      <c r="AS25" s="63">
        <f t="shared" si="44"/>
        <v>0.41671465621410386</v>
      </c>
      <c r="AT25" s="10"/>
      <c r="AU25">
        <f t="shared" si="45"/>
        <v>73.179703198424846</v>
      </c>
      <c r="BC25" t="s">
        <v>240</v>
      </c>
      <c r="BD25" t="s">
        <v>4</v>
      </c>
      <c r="BE25" t="s">
        <v>6</v>
      </c>
      <c r="BF25" t="s">
        <v>5</v>
      </c>
      <c r="BG25" t="s">
        <v>241</v>
      </c>
      <c r="BH25" t="s">
        <v>242</v>
      </c>
    </row>
    <row r="26" spans="1:69" x14ac:dyDescent="0.25">
      <c r="A26" s="34" t="s">
        <v>202</v>
      </c>
      <c r="B26" s="47" t="s">
        <v>201</v>
      </c>
      <c r="C26" s="34" t="s">
        <v>148</v>
      </c>
      <c r="D26" s="27" t="s">
        <v>188</v>
      </c>
      <c r="G26">
        <v>17</v>
      </c>
      <c r="H26">
        <f t="shared" si="0"/>
        <v>0.51</v>
      </c>
      <c r="I26" s="406">
        <f t="shared" si="1"/>
        <v>0.21305249999999998</v>
      </c>
      <c r="J26" s="407">
        <f t="shared" si="2"/>
        <v>1.4128744736842103</v>
      </c>
      <c r="K26" s="407">
        <f t="shared" si="31"/>
        <v>1.216437236842105</v>
      </c>
      <c r="L26" s="407">
        <f t="shared" si="32"/>
        <v>-0.19643723684210512</v>
      </c>
      <c r="M26" s="63">
        <f t="shared" si="3"/>
        <v>5.8117525692930512</v>
      </c>
      <c r="N26" s="406">
        <f t="shared" si="4"/>
        <v>0.65303230384545519</v>
      </c>
      <c r="O26" s="406">
        <f t="shared" si="5"/>
        <v>8.534847310579529E-3</v>
      </c>
      <c r="P26">
        <f t="shared" si="6"/>
        <v>0.2</v>
      </c>
      <c r="Q26" s="406">
        <f t="shared" si="34"/>
        <v>0.20853484731057953</v>
      </c>
      <c r="R26" s="9">
        <f t="shared" si="39"/>
        <v>0.40786172885636485</v>
      </c>
      <c r="S26" s="9">
        <f t="shared" si="7"/>
        <v>1.6635118986570288E-4</v>
      </c>
      <c r="T26" s="9">
        <f t="shared" si="40"/>
        <v>1.6635118986570288E-4</v>
      </c>
      <c r="U26" s="406">
        <f t="shared" si="8"/>
        <v>0.3014241067480547</v>
      </c>
      <c r="V26" s="408">
        <f t="shared" si="9"/>
        <v>9.0856492128862671E-5</v>
      </c>
      <c r="W26" s="406">
        <f t="shared" si="41"/>
        <v>9.0856492128862671E-5</v>
      </c>
      <c r="X26" s="406">
        <f t="shared" si="10"/>
        <v>0.3014241067480547</v>
      </c>
      <c r="Y26" s="406">
        <f t="shared" si="11"/>
        <v>5.4513895277317603E-4</v>
      </c>
      <c r="Z26" s="406">
        <f t="shared" si="12"/>
        <v>4.4245540946277612E-2</v>
      </c>
      <c r="AA26" s="406">
        <f t="shared" si="13"/>
        <v>0.1091294845842417</v>
      </c>
      <c r="AB26" s="406">
        <f t="shared" si="14"/>
        <v>1.4143481052631569E-3</v>
      </c>
      <c r="AC26" s="406">
        <f t="shared" si="15"/>
        <v>0.15535145021393193</v>
      </c>
      <c r="AD26" s="406">
        <f t="shared" si="16"/>
        <v>0.57930535793900628</v>
      </c>
      <c r="AE26" s="406">
        <f t="shared" si="17"/>
        <v>2.0135681864210412E-3</v>
      </c>
      <c r="AF26" s="406">
        <f t="shared" si="18"/>
        <v>8.7583481052631567E-3</v>
      </c>
      <c r="AG26" s="406">
        <f t="shared" si="19"/>
        <v>1.07753878081781E-2</v>
      </c>
      <c r="AH26" s="406">
        <f t="shared" si="20"/>
        <v>0</v>
      </c>
      <c r="AI26">
        <f t="shared" si="21"/>
        <v>0</v>
      </c>
      <c r="AJ26" s="407">
        <f t="shared" si="22"/>
        <v>0.35995409999999994</v>
      </c>
      <c r="AK26">
        <f t="shared" si="23"/>
        <v>4.8000000000000001E-2</v>
      </c>
      <c r="AL26" s="407">
        <f t="shared" si="24"/>
        <v>0.1215</v>
      </c>
      <c r="AM26" s="407">
        <f t="shared" si="25"/>
        <v>0.31645971316818772</v>
      </c>
      <c r="AN26" s="407">
        <f t="shared" si="42"/>
        <v>0.16949999999999998</v>
      </c>
      <c r="AO26" s="407">
        <f t="shared" si="26"/>
        <v>0.9043729930146841</v>
      </c>
      <c r="AP26">
        <f t="shared" si="27"/>
        <v>2.601</v>
      </c>
      <c r="AQ26" s="10">
        <f t="shared" si="43"/>
        <v>0.74200377682578456</v>
      </c>
      <c r="AR26" s="63">
        <f t="shared" si="28"/>
        <v>7.7675725106965965</v>
      </c>
      <c r="AS26" s="63">
        <f t="shared" si="44"/>
        <v>0.43101551232712398</v>
      </c>
      <c r="AT26" s="10"/>
      <c r="AU26">
        <f t="shared" si="45"/>
        <v>74.200377682578448</v>
      </c>
      <c r="BC26" t="s">
        <v>243</v>
      </c>
      <c r="BD26">
        <v>9.9989640000000009</v>
      </c>
      <c r="BE26">
        <v>0.1027</v>
      </c>
      <c r="BF26">
        <v>5.1211359999999999</v>
      </c>
      <c r="BG26">
        <v>61.870683235325004</v>
      </c>
      <c r="BH26">
        <v>324.12365701136014</v>
      </c>
    </row>
    <row r="27" spans="1:69" x14ac:dyDescent="0.25">
      <c r="A27" s="32" t="s">
        <v>132</v>
      </c>
      <c r="B27" s="5">
        <v>1.5</v>
      </c>
      <c r="C27" s="415" t="s">
        <v>208</v>
      </c>
      <c r="D27" s="31" t="s">
        <v>204</v>
      </c>
      <c r="G27">
        <v>18</v>
      </c>
      <c r="H27">
        <f t="shared" si="0"/>
        <v>0.54</v>
      </c>
      <c r="I27" s="406">
        <f t="shared" si="1"/>
        <v>0.21308499999999997</v>
      </c>
      <c r="J27" s="407">
        <f t="shared" si="2"/>
        <v>1.4130899999999995</v>
      </c>
      <c r="K27" s="407">
        <f t="shared" si="31"/>
        <v>1.2465449999999998</v>
      </c>
      <c r="L27" s="407">
        <f t="shared" si="32"/>
        <v>-0.16654499999999972</v>
      </c>
      <c r="M27" s="63">
        <f t="shared" si="3"/>
        <v>4.9273668639053163</v>
      </c>
      <c r="N27" s="406">
        <f t="shared" si="4"/>
        <v>0.67675841012506077</v>
      </c>
      <c r="O27" s="406">
        <f t="shared" si="5"/>
        <v>9.1667563410835918E-3</v>
      </c>
      <c r="P27">
        <f t="shared" si="6"/>
        <v>0.2</v>
      </c>
      <c r="Q27" s="406">
        <f t="shared" si="34"/>
        <v>0.20916675634108362</v>
      </c>
      <c r="R27" s="9">
        <f t="shared" si="39"/>
        <v>0.40792394594458403</v>
      </c>
      <c r="S27" s="9">
        <f t="shared" si="7"/>
        <v>1.6640194567499992E-4</v>
      </c>
      <c r="T27" s="9">
        <f t="shared" si="40"/>
        <v>1.6640194567499992E-4</v>
      </c>
      <c r="U27" s="406">
        <f t="shared" si="8"/>
        <v>0.31239933513718837</v>
      </c>
      <c r="V27" s="408">
        <f t="shared" si="9"/>
        <v>9.7593344594157339E-5</v>
      </c>
      <c r="W27" s="406">
        <f t="shared" si="41"/>
        <v>9.7593344594157339E-5</v>
      </c>
      <c r="X27" s="406">
        <f t="shared" si="10"/>
        <v>0.31239933513718837</v>
      </c>
      <c r="Y27" s="406">
        <f t="shared" si="11"/>
        <v>5.8556006756494403E-4</v>
      </c>
      <c r="Z27" s="406">
        <f t="shared" si="12"/>
        <v>4.5340652331606224E-2</v>
      </c>
      <c r="AA27" s="406">
        <f t="shared" si="13"/>
        <v>0.1144357988165681</v>
      </c>
      <c r="AB27" s="406">
        <f t="shared" si="14"/>
        <v>1.1991239999999978E-3</v>
      </c>
      <c r="AC27" s="406">
        <f t="shared" si="15"/>
        <v>0.16158005818169646</v>
      </c>
      <c r="AD27" s="406">
        <f t="shared" si="16"/>
        <v>0.60034040433810765</v>
      </c>
      <c r="AE27" s="406">
        <f t="shared" si="17"/>
        <v>2.1624516064850559E-3</v>
      </c>
      <c r="AF27" s="406">
        <f t="shared" si="18"/>
        <v>8.9751239999999975E-3</v>
      </c>
      <c r="AG27" s="406">
        <f t="shared" si="19"/>
        <v>1.1141430455154859E-2</v>
      </c>
      <c r="AH27" s="406">
        <f t="shared" si="20"/>
        <v>0</v>
      </c>
      <c r="AI27">
        <f t="shared" si="21"/>
        <v>0</v>
      </c>
      <c r="AJ27" s="407">
        <f t="shared" si="22"/>
        <v>0.35995139999999998</v>
      </c>
      <c r="AK27">
        <f t="shared" si="23"/>
        <v>4.8000000000000001E-2</v>
      </c>
      <c r="AL27" s="407">
        <f t="shared" si="24"/>
        <v>0.1215</v>
      </c>
      <c r="AM27" s="407">
        <f t="shared" si="25"/>
        <v>0.31645971316818772</v>
      </c>
      <c r="AN27" s="407">
        <f t="shared" si="42"/>
        <v>0.16949999999999998</v>
      </c>
      <c r="AO27" s="407">
        <f t="shared" si="26"/>
        <v>0.91160364026820406</v>
      </c>
      <c r="AP27">
        <f t="shared" si="27"/>
        <v>2.754</v>
      </c>
      <c r="AQ27" s="10">
        <f t="shared" si="43"/>
        <v>0.75130872572968521</v>
      </c>
      <c r="AR27" s="63">
        <f t="shared" si="28"/>
        <v>8.0790029090848225</v>
      </c>
      <c r="AS27" s="63">
        <f t="shared" si="44"/>
        <v>0.44565721820619436</v>
      </c>
      <c r="AT27" s="10"/>
      <c r="AU27">
        <f t="shared" si="45"/>
        <v>75.130872572968528</v>
      </c>
      <c r="BC27" t="s">
        <v>244</v>
      </c>
      <c r="BD27">
        <v>9.9986669999999993</v>
      </c>
      <c r="BE27">
        <v>0.1166</v>
      </c>
      <c r="BF27">
        <v>5.1212980000000003</v>
      </c>
      <c r="BG27">
        <v>64.729420570558148</v>
      </c>
      <c r="BH27">
        <v>325.37886459483997</v>
      </c>
    </row>
    <row r="28" spans="1:69" x14ac:dyDescent="0.25">
      <c r="A28" s="32" t="s">
        <v>239</v>
      </c>
      <c r="B28" s="5">
        <v>0.9</v>
      </c>
      <c r="C28" s="415" t="s">
        <v>208</v>
      </c>
      <c r="D28" s="31" t="s">
        <v>205</v>
      </c>
      <c r="G28">
        <v>19</v>
      </c>
      <c r="H28">
        <f t="shared" si="0"/>
        <v>0.57000000000000006</v>
      </c>
      <c r="I28" s="406">
        <f t="shared" si="1"/>
        <v>0.21311749999999999</v>
      </c>
      <c r="J28" s="407">
        <f t="shared" si="2"/>
        <v>1.4133055263157894</v>
      </c>
      <c r="K28" s="407">
        <f t="shared" si="31"/>
        <v>1.2766527631578948</v>
      </c>
      <c r="L28" s="407">
        <f t="shared" si="32"/>
        <v>-0.13665276315789465</v>
      </c>
      <c r="M28" s="63">
        <f t="shared" si="3"/>
        <v>4.042981158517593</v>
      </c>
      <c r="N28" s="406">
        <f t="shared" si="4"/>
        <v>0.70096555494990576</v>
      </c>
      <c r="O28" s="406">
        <f t="shared" si="5"/>
        <v>9.8347859424725795E-3</v>
      </c>
      <c r="P28">
        <f t="shared" si="6"/>
        <v>0.2</v>
      </c>
      <c r="Q28" s="406">
        <f t="shared" si="34"/>
        <v>0.2098347859424726</v>
      </c>
      <c r="R28" s="9">
        <f t="shared" si="39"/>
        <v>0.40798616303280338</v>
      </c>
      <c r="S28" s="9">
        <f t="shared" si="7"/>
        <v>1.6645270922622924E-4</v>
      </c>
      <c r="T28" s="9">
        <f t="shared" si="40"/>
        <v>1.6645270922622924E-4</v>
      </c>
      <c r="U28" s="406">
        <f t="shared" si="8"/>
        <v>0.32359830192465616</v>
      </c>
      <c r="V28" s="408">
        <f t="shared" si="9"/>
        <v>1.0471586100852093E-4</v>
      </c>
      <c r="W28" s="406">
        <f t="shared" si="41"/>
        <v>1.0471586100852093E-4</v>
      </c>
      <c r="X28" s="406">
        <f t="shared" si="10"/>
        <v>0.32359830192465616</v>
      </c>
      <c r="Y28" s="406">
        <f t="shared" si="11"/>
        <v>6.2829516605112561E-4</v>
      </c>
      <c r="Z28" s="406">
        <f t="shared" si="12"/>
        <v>4.6435763716934836E-2</v>
      </c>
      <c r="AA28" s="406">
        <f t="shared" si="13"/>
        <v>0.11974211304889446</v>
      </c>
      <c r="AB28" s="406">
        <f t="shared" si="14"/>
        <v>9.8389989473684136E-4</v>
      </c>
      <c r="AC28" s="406">
        <f t="shared" si="15"/>
        <v>0.1678111588145958</v>
      </c>
      <c r="AD28" s="406">
        <f t="shared" si="16"/>
        <v>0.62180129319398203</v>
      </c>
      <c r="AE28" s="406">
        <f t="shared" si="17"/>
        <v>2.3198210893062505E-3</v>
      </c>
      <c r="AF28" s="406">
        <f t="shared" si="18"/>
        <v>9.1918998947368418E-3</v>
      </c>
      <c r="AG28" s="406">
        <f t="shared" si="19"/>
        <v>1.1515995391879003E-2</v>
      </c>
      <c r="AH28" s="406">
        <f t="shared" si="20"/>
        <v>0</v>
      </c>
      <c r="AI28">
        <f t="shared" si="21"/>
        <v>0</v>
      </c>
      <c r="AJ28" s="407">
        <f t="shared" si="22"/>
        <v>0.35994870000000001</v>
      </c>
      <c r="AK28">
        <f t="shared" si="23"/>
        <v>4.8000000000000001E-2</v>
      </c>
      <c r="AL28" s="407">
        <f t="shared" si="24"/>
        <v>0.1215</v>
      </c>
      <c r="AM28" s="407">
        <f t="shared" si="25"/>
        <v>0.31645971316818772</v>
      </c>
      <c r="AN28" s="407">
        <f t="shared" si="42"/>
        <v>0.16949999999999998</v>
      </c>
      <c r="AO28" s="407">
        <f t="shared" si="26"/>
        <v>0.91888180871918212</v>
      </c>
      <c r="AP28">
        <f t="shared" si="27"/>
        <v>2.907</v>
      </c>
      <c r="AQ28" s="10">
        <f t="shared" si="43"/>
        <v>0.75982483133037437</v>
      </c>
      <c r="AR28" s="63">
        <f t="shared" si="28"/>
        <v>8.3905579407297903</v>
      </c>
      <c r="AS28" s="63">
        <f t="shared" si="44"/>
        <v>0.4606398156751601</v>
      </c>
      <c r="AT28" s="10"/>
      <c r="AU28">
        <f t="shared" si="45"/>
        <v>75.982483133037434</v>
      </c>
      <c r="BC28" t="s">
        <v>245</v>
      </c>
      <c r="BD28">
        <v>9.9987659999999998</v>
      </c>
      <c r="BE28">
        <v>0.14660000000000001</v>
      </c>
      <c r="BF28">
        <v>5.1213230000000003</v>
      </c>
      <c r="BG28">
        <v>69.885376918691776</v>
      </c>
      <c r="BH28">
        <v>323.52446193379996</v>
      </c>
    </row>
    <row r="29" spans="1:69" x14ac:dyDescent="0.25">
      <c r="A29" s="34" t="s">
        <v>203</v>
      </c>
      <c r="B29" s="25" t="s">
        <v>201</v>
      </c>
      <c r="C29" s="34" t="s">
        <v>148</v>
      </c>
      <c r="D29" s="27" t="s">
        <v>188</v>
      </c>
      <c r="G29">
        <v>20</v>
      </c>
      <c r="H29">
        <f t="shared" si="0"/>
        <v>0.60000000000000009</v>
      </c>
      <c r="I29" s="406">
        <f t="shared" si="1"/>
        <v>0.21314999999999995</v>
      </c>
      <c r="J29" s="407">
        <f t="shared" si="2"/>
        <v>1.4135210526315785</v>
      </c>
      <c r="K29" s="407">
        <f t="shared" si="31"/>
        <v>1.3067605263157893</v>
      </c>
      <c r="L29" s="407">
        <f t="shared" si="32"/>
        <v>-0.10676052631578914</v>
      </c>
      <c r="M29" s="63">
        <f t="shared" si="3"/>
        <v>3.1585954531298559</v>
      </c>
      <c r="N29" s="406">
        <f t="shared" si="4"/>
        <v>0.72560559570567706</v>
      </c>
      <c r="O29" s="406">
        <f t="shared" si="5"/>
        <v>1.0538947678601881E-2</v>
      </c>
      <c r="P29">
        <f t="shared" si="6"/>
        <v>0.2</v>
      </c>
      <c r="Q29" s="406">
        <f t="shared" si="34"/>
        <v>0.2105389476786019</v>
      </c>
      <c r="R29" s="9">
        <f t="shared" si="39"/>
        <v>0.40804838012102251</v>
      </c>
      <c r="S29" s="9">
        <f t="shared" si="7"/>
        <v>1.665034805193905E-4</v>
      </c>
      <c r="T29" s="9">
        <f t="shared" si="40"/>
        <v>1.665034805193905E-4</v>
      </c>
      <c r="U29" s="406">
        <f t="shared" si="8"/>
        <v>0.33499883115125645</v>
      </c>
      <c r="V29" s="408">
        <f t="shared" si="9"/>
        <v>1.1222421687270804E-4</v>
      </c>
      <c r="W29" s="406">
        <f t="shared" si="41"/>
        <v>1.1222421687270804E-4</v>
      </c>
      <c r="X29" s="406">
        <f t="shared" si="10"/>
        <v>0.33499883115125645</v>
      </c>
      <c r="Y29" s="406">
        <f t="shared" si="11"/>
        <v>6.7334530123624818E-4</v>
      </c>
      <c r="Z29" s="406">
        <f t="shared" si="12"/>
        <v>4.7530875102263434E-2</v>
      </c>
      <c r="AA29" s="406">
        <f t="shared" si="13"/>
        <v>0.12504842728122087</v>
      </c>
      <c r="AB29" s="406">
        <f t="shared" si="14"/>
        <v>7.6867578947368176E-4</v>
      </c>
      <c r="AC29" s="406">
        <f t="shared" si="15"/>
        <v>0.17404476191872281</v>
      </c>
      <c r="AD29" s="406">
        <f t="shared" si="16"/>
        <v>0.64364529334617404</v>
      </c>
      <c r="AE29" s="406">
        <f t="shared" si="17"/>
        <v>2.4856755818800946E-3</v>
      </c>
      <c r="AF29" s="406">
        <f t="shared" si="18"/>
        <v>9.4086757894736826E-3</v>
      </c>
      <c r="AG29" s="406">
        <f t="shared" si="19"/>
        <v>1.1899083733254977E-2</v>
      </c>
      <c r="AH29" s="406">
        <f t="shared" si="20"/>
        <v>0</v>
      </c>
      <c r="AI29">
        <f t="shared" si="21"/>
        <v>0</v>
      </c>
      <c r="AJ29" s="407">
        <f t="shared" si="22"/>
        <v>0.35994599999999999</v>
      </c>
      <c r="AK29">
        <f t="shared" si="23"/>
        <v>4.8000000000000001E-2</v>
      </c>
      <c r="AL29" s="407">
        <f t="shared" si="24"/>
        <v>0.1215</v>
      </c>
      <c r="AM29" s="407">
        <f t="shared" si="25"/>
        <v>0.31645971316818772</v>
      </c>
      <c r="AN29" s="407">
        <f t="shared" si="42"/>
        <v>0.16949999999999998</v>
      </c>
      <c r="AO29" s="407">
        <f t="shared" si="26"/>
        <v>0.92620752102797177</v>
      </c>
      <c r="AP29">
        <f t="shared" si="27"/>
        <v>3.06</v>
      </c>
      <c r="AQ29" s="10">
        <f t="shared" si="43"/>
        <v>0.76764693856452326</v>
      </c>
      <c r="AR29" s="63">
        <f t="shared" si="28"/>
        <v>8.7022380959361403</v>
      </c>
      <c r="AS29" s="63">
        <f t="shared" si="44"/>
        <v>0.47596334933019907</v>
      </c>
      <c r="AT29" s="10"/>
      <c r="AU29">
        <f t="shared" si="45"/>
        <v>76.764693856452325</v>
      </c>
      <c r="BC29" t="s">
        <v>246</v>
      </c>
      <c r="BD29">
        <v>9.9987899999999996</v>
      </c>
      <c r="BE29">
        <v>0.1958</v>
      </c>
      <c r="BF29">
        <v>5.1217600000000001</v>
      </c>
      <c r="BG29">
        <v>75.662516566515876</v>
      </c>
      <c r="BH29">
        <v>322.57199766699983</v>
      </c>
    </row>
    <row r="30" spans="1:69" x14ac:dyDescent="0.25">
      <c r="A30" s="32" t="s">
        <v>131</v>
      </c>
      <c r="B30" s="37">
        <v>1.5</v>
      </c>
      <c r="C30" s="415" t="s">
        <v>208</v>
      </c>
      <c r="D30" s="31" t="s">
        <v>204</v>
      </c>
      <c r="G30">
        <v>21</v>
      </c>
      <c r="H30">
        <f t="shared" si="0"/>
        <v>0.63</v>
      </c>
      <c r="I30" s="406">
        <f t="shared" si="1"/>
        <v>0.21318249999999997</v>
      </c>
      <c r="J30" s="407">
        <f t="shared" si="2"/>
        <v>1.4137365789473679</v>
      </c>
      <c r="K30" s="407">
        <f t="shared" si="31"/>
        <v>1.3368682894736841</v>
      </c>
      <c r="L30" s="407">
        <f t="shared" si="32"/>
        <v>-7.6868289473683959E-2</v>
      </c>
      <c r="M30" s="63">
        <f t="shared" si="3"/>
        <v>2.274209747742129</v>
      </c>
      <c r="N30" s="406">
        <f t="shared" si="4"/>
        <v>0.75063590345418729</v>
      </c>
      <c r="O30" s="406">
        <f t="shared" si="5"/>
        <v>1.1279253740793435E-2</v>
      </c>
      <c r="P30">
        <f t="shared" si="6"/>
        <v>0.2</v>
      </c>
      <c r="Q30" s="406">
        <f t="shared" si="34"/>
        <v>0.21127925374079345</v>
      </c>
      <c r="R30" s="9">
        <f t="shared" si="39"/>
        <v>0.40811059720924175</v>
      </c>
      <c r="S30" s="9">
        <f t="shared" si="7"/>
        <v>1.6655425955448396E-4</v>
      </c>
      <c r="T30" s="9">
        <f t="shared" si="40"/>
        <v>1.6655425955448396E-4</v>
      </c>
      <c r="U30" s="406">
        <f t="shared" si="8"/>
        <v>0.34658128582985231</v>
      </c>
      <c r="V30" s="408">
        <f t="shared" si="9"/>
        <v>1.2011858768747379E-4</v>
      </c>
      <c r="W30" s="406">
        <f t="shared" si="41"/>
        <v>1.2011858768747379E-4</v>
      </c>
      <c r="X30" s="406">
        <f t="shared" si="10"/>
        <v>0.34658128582985231</v>
      </c>
      <c r="Y30" s="406">
        <f t="shared" si="11"/>
        <v>7.2071152612484277E-4</v>
      </c>
      <c r="Z30" s="406">
        <f t="shared" si="12"/>
        <v>4.8625986487592046E-2</v>
      </c>
      <c r="AA30" s="406">
        <f t="shared" si="13"/>
        <v>0.13035474151354723</v>
      </c>
      <c r="AB30" s="406">
        <f t="shared" si="14"/>
        <v>5.5345168421052444E-4</v>
      </c>
      <c r="AC30" s="406">
        <f t="shared" si="15"/>
        <v>0.18028087731271847</v>
      </c>
      <c r="AD30" s="406">
        <f t="shared" si="16"/>
        <v>0.66583456794237572</v>
      </c>
      <c r="AE30" s="406">
        <f t="shared" si="17"/>
        <v>2.6600140312020609E-3</v>
      </c>
      <c r="AF30" s="406">
        <f t="shared" si="18"/>
        <v>9.6254516842105252E-3</v>
      </c>
      <c r="AG30" s="406">
        <f t="shared" si="19"/>
        <v>1.2290696663505093E-2</v>
      </c>
      <c r="AH30" s="406">
        <f t="shared" si="20"/>
        <v>0</v>
      </c>
      <c r="AI30">
        <f t="shared" si="21"/>
        <v>0</v>
      </c>
      <c r="AJ30" s="407">
        <f t="shared" si="22"/>
        <v>0.35994330000000002</v>
      </c>
      <c r="AK30">
        <f t="shared" si="23"/>
        <v>4.8000000000000001E-2</v>
      </c>
      <c r="AL30" s="407">
        <f t="shared" si="24"/>
        <v>0.1215</v>
      </c>
      <c r="AM30" s="407">
        <f t="shared" si="25"/>
        <v>0.31645971316818772</v>
      </c>
      <c r="AN30" s="407">
        <f t="shared" si="42"/>
        <v>0.16949999999999998</v>
      </c>
      <c r="AO30" s="407">
        <f t="shared" si="26"/>
        <v>0.93358080056425907</v>
      </c>
      <c r="AP30">
        <f t="shared" si="27"/>
        <v>3.2129999999999996</v>
      </c>
      <c r="AQ30" s="10">
        <f t="shared" si="43"/>
        <v>0.77485527342498206</v>
      </c>
      <c r="AR30" s="63">
        <f t="shared" si="28"/>
        <v>9.014043865635923</v>
      </c>
      <c r="AS30" s="63">
        <f t="shared" si="44"/>
        <v>0.49162786654020374</v>
      </c>
      <c r="AT30" s="10"/>
      <c r="AU30">
        <f t="shared" si="45"/>
        <v>77.485527342498202</v>
      </c>
      <c r="BD30">
        <v>9.9987659999999998</v>
      </c>
      <c r="BE30">
        <v>0.2681</v>
      </c>
      <c r="BF30">
        <v>5.1224080000000001</v>
      </c>
      <c r="BG30">
        <v>80.957553445887683</v>
      </c>
      <c r="BH30">
        <v>323.02506068319997</v>
      </c>
    </row>
    <row r="31" spans="1:69" x14ac:dyDescent="0.25">
      <c r="A31" s="32" t="s">
        <v>238</v>
      </c>
      <c r="B31" s="37">
        <v>0.9</v>
      </c>
      <c r="C31" s="415" t="s">
        <v>208</v>
      </c>
      <c r="D31" s="31" t="s">
        <v>205</v>
      </c>
      <c r="G31">
        <v>22</v>
      </c>
      <c r="H31">
        <f t="shared" si="0"/>
        <v>0.66</v>
      </c>
      <c r="I31" s="406">
        <f t="shared" si="1"/>
        <v>0.21321500000000002</v>
      </c>
      <c r="J31" s="407">
        <f t="shared" si="2"/>
        <v>1.4139521052631576</v>
      </c>
      <c r="K31" s="407">
        <f t="shared" si="31"/>
        <v>1.3669760526315788</v>
      </c>
      <c r="L31" s="407">
        <f t="shared" si="32"/>
        <v>-4.697605263157878E-2</v>
      </c>
      <c r="M31" s="63">
        <f t="shared" si="3"/>
        <v>1.3898240423544017</v>
      </c>
      <c r="N31" s="406">
        <f t="shared" si="4"/>
        <v>0.77601871519410515</v>
      </c>
      <c r="O31" s="406">
        <f t="shared" si="5"/>
        <v>1.2055716948363713E-2</v>
      </c>
      <c r="P31">
        <f t="shared" si="6"/>
        <v>0.2</v>
      </c>
      <c r="Q31" s="406">
        <f t="shared" si="34"/>
        <v>0.21205571694836373</v>
      </c>
      <c r="R31" s="9">
        <f t="shared" si="39"/>
        <v>0.40817281429746111</v>
      </c>
      <c r="S31" s="9">
        <f t="shared" si="7"/>
        <v>1.6660504633150965E-4</v>
      </c>
      <c r="T31" s="9">
        <f t="shared" si="40"/>
        <v>1.6660504633150965E-4</v>
      </c>
      <c r="U31" s="406">
        <f t="shared" si="8"/>
        <v>0.35832826982192295</v>
      </c>
      <c r="V31" s="408">
        <f t="shared" si="9"/>
        <v>1.2839914895357283E-4</v>
      </c>
      <c r="W31" s="406">
        <f t="shared" si="41"/>
        <v>1.2839914895357283E-4</v>
      </c>
      <c r="X31" s="406">
        <f t="shared" si="10"/>
        <v>0.35832826982192295</v>
      </c>
      <c r="Y31" s="406">
        <f t="shared" si="11"/>
        <v>7.703948937214369E-4</v>
      </c>
      <c r="Z31" s="406">
        <f t="shared" si="12"/>
        <v>4.9721097872920658E-2</v>
      </c>
      <c r="AA31" s="406">
        <f t="shared" si="13"/>
        <v>0.13566105574587359</v>
      </c>
      <c r="AB31" s="406">
        <f t="shared" si="14"/>
        <v>3.3822757894736723E-4</v>
      </c>
      <c r="AC31" s="406">
        <f t="shared" si="15"/>
        <v>0.18651951482782358</v>
      </c>
      <c r="AD31" s="406">
        <f t="shared" si="16"/>
        <v>0.68833559938298761</v>
      </c>
      <c r="AE31" s="406">
        <f t="shared" si="17"/>
        <v>2.8428353842676209E-3</v>
      </c>
      <c r="AF31" s="406">
        <f t="shared" si="18"/>
        <v>9.8422275789473677E-3</v>
      </c>
      <c r="AG31" s="406">
        <f t="shared" si="19"/>
        <v>1.2690835436180411E-2</v>
      </c>
      <c r="AH31" s="406">
        <f t="shared" si="20"/>
        <v>0</v>
      </c>
      <c r="AI31">
        <f t="shared" si="21"/>
        <v>0</v>
      </c>
      <c r="AJ31" s="407">
        <f t="shared" si="22"/>
        <v>0.3599406</v>
      </c>
      <c r="AK31">
        <f t="shared" si="23"/>
        <v>4.8000000000000001E-2</v>
      </c>
      <c r="AL31" s="407">
        <f t="shared" si="24"/>
        <v>0.1215</v>
      </c>
      <c r="AM31" s="407">
        <f t="shared" si="25"/>
        <v>0.31645971316818772</v>
      </c>
      <c r="AN31" s="407">
        <f t="shared" si="42"/>
        <v>0.16949999999999998</v>
      </c>
      <c r="AO31" s="407">
        <f t="shared" si="26"/>
        <v>0.9410016714076529</v>
      </c>
      <c r="AP31">
        <f t="shared" si="27"/>
        <v>3.3660000000000001</v>
      </c>
      <c r="AQ31" s="10">
        <f t="shared" si="43"/>
        <v>0.78151815504169375</v>
      </c>
      <c r="AR31" s="63">
        <f t="shared" si="28"/>
        <v>9.3259757413911792</v>
      </c>
      <c r="AS31" s="63">
        <f t="shared" si="44"/>
        <v>0.50763341744721646</v>
      </c>
      <c r="AT31" s="10"/>
      <c r="AU31">
        <f t="shared" si="45"/>
        <v>78.151815504169377</v>
      </c>
      <c r="BD31">
        <v>9.998704</v>
      </c>
      <c r="BE31">
        <v>0.36549999999999999</v>
      </c>
      <c r="BF31">
        <v>5.123094</v>
      </c>
      <c r="BG31">
        <v>85.419022273213088</v>
      </c>
      <c r="BH31">
        <v>319.63300692320018</v>
      </c>
    </row>
    <row r="32" spans="1:69" x14ac:dyDescent="0.25">
      <c r="A32" s="34" t="s">
        <v>133</v>
      </c>
      <c r="B32" s="25" t="s">
        <v>201</v>
      </c>
      <c r="C32" s="34" t="s">
        <v>148</v>
      </c>
      <c r="D32" s="27" t="s">
        <v>188</v>
      </c>
      <c r="G32">
        <v>23</v>
      </c>
      <c r="H32">
        <f t="shared" si="0"/>
        <v>0.69000000000000006</v>
      </c>
      <c r="I32" s="406">
        <f t="shared" si="1"/>
        <v>0.21324749999999995</v>
      </c>
      <c r="J32" s="407">
        <f t="shared" si="2"/>
        <v>1.4141676315789469</v>
      </c>
      <c r="K32" s="407">
        <f t="shared" si="31"/>
        <v>1.3970838157894736</v>
      </c>
      <c r="L32" s="407">
        <f t="shared" si="32"/>
        <v>-1.7083815789473378E-2</v>
      </c>
      <c r="M32" s="63">
        <f t="shared" si="3"/>
        <v>0.50543833696666796</v>
      </c>
      <c r="N32" s="406">
        <f t="shared" si="4"/>
        <v>0.80172055034810441</v>
      </c>
      <c r="O32" s="406">
        <f t="shared" si="5"/>
        <v>1.2868350749179185E-2</v>
      </c>
      <c r="P32">
        <f t="shared" si="6"/>
        <v>0.2</v>
      </c>
      <c r="Q32" s="406">
        <f t="shared" si="34"/>
        <v>0.2128683507491792</v>
      </c>
      <c r="R32" s="9">
        <f t="shared" si="39"/>
        <v>0.40823503138568029</v>
      </c>
      <c r="S32" s="9">
        <f t="shared" si="7"/>
        <v>1.6665584085046736E-4</v>
      </c>
      <c r="T32" s="9">
        <f t="shared" si="40"/>
        <v>1.6665584085046736E-4</v>
      </c>
      <c r="U32" s="406">
        <f t="shared" si="8"/>
        <v>0.37022435923607189</v>
      </c>
      <c r="V32" s="408">
        <f t="shared" si="9"/>
        <v>1.3706607617176001E-4</v>
      </c>
      <c r="W32" s="406">
        <f t="shared" si="41"/>
        <v>1.3706607617176001E-4</v>
      </c>
      <c r="X32" s="406">
        <f t="shared" si="10"/>
        <v>0.37022435923607189</v>
      </c>
      <c r="Y32" s="406">
        <f t="shared" si="11"/>
        <v>8.2239645703056008E-4</v>
      </c>
      <c r="Z32" s="406">
        <f t="shared" si="12"/>
        <v>5.0816209258249263E-2</v>
      </c>
      <c r="AA32" s="406">
        <f t="shared" si="13"/>
        <v>0.1409673699782</v>
      </c>
      <c r="AB32" s="406">
        <f t="shared" si="14"/>
        <v>1.2300347368420831E-4</v>
      </c>
      <c r="AC32" s="406">
        <f t="shared" si="15"/>
        <v>0.19276068430792995</v>
      </c>
      <c r="AD32" s="406">
        <f t="shared" si="16"/>
        <v>0.71111867130508355</v>
      </c>
      <c r="AE32" s="406">
        <f t="shared" si="17"/>
        <v>3.0341385880722446E-3</v>
      </c>
      <c r="AF32" s="406">
        <f t="shared" si="18"/>
        <v>1.005900347368421E-2</v>
      </c>
      <c r="AG32" s="406">
        <f t="shared" si="19"/>
        <v>1.3099501374173076E-2</v>
      </c>
      <c r="AH32" s="406">
        <f t="shared" si="20"/>
        <v>0</v>
      </c>
      <c r="AI32">
        <f t="shared" si="21"/>
        <v>0</v>
      </c>
      <c r="AJ32" s="407">
        <f t="shared" si="22"/>
        <v>0.35993789999999998</v>
      </c>
      <c r="AK32">
        <f t="shared" si="23"/>
        <v>4.8000000000000001E-2</v>
      </c>
      <c r="AL32" s="407">
        <f t="shared" si="24"/>
        <v>0.1215</v>
      </c>
      <c r="AM32" s="407">
        <f t="shared" si="25"/>
        <v>0.31645971316818772</v>
      </c>
      <c r="AN32" s="407">
        <f t="shared" si="42"/>
        <v>0.16949999999999998</v>
      </c>
      <c r="AO32" s="407">
        <f t="shared" si="26"/>
        <v>0.94847015834830439</v>
      </c>
      <c r="AP32">
        <f t="shared" si="27"/>
        <v>3.5190000000000001</v>
      </c>
      <c r="AQ32" s="10">
        <f t="shared" si="43"/>
        <v>0.78769412559456931</v>
      </c>
      <c r="AR32" s="63">
        <f t="shared" si="28"/>
        <v>9.6380342153964982</v>
      </c>
      <c r="AS32" s="63">
        <f t="shared" si="44"/>
        <v>0.52398005496692301</v>
      </c>
      <c r="AT32" s="10"/>
      <c r="AU32">
        <f t="shared" si="45"/>
        <v>78.769412559456924</v>
      </c>
      <c r="BD32">
        <v>9.9987290000000009</v>
      </c>
      <c r="BE32">
        <v>0.49059999999999998</v>
      </c>
      <c r="BF32">
        <v>5.1238169999999998</v>
      </c>
      <c r="BG32">
        <v>88.551850267052174</v>
      </c>
      <c r="BH32">
        <v>324.98153184230057</v>
      </c>
    </row>
    <row r="33" spans="1:60" x14ac:dyDescent="0.25">
      <c r="A33" s="32" t="s">
        <v>133</v>
      </c>
      <c r="B33" s="5">
        <v>20</v>
      </c>
      <c r="C33" s="416" t="s">
        <v>147</v>
      </c>
      <c r="D33" s="31" t="s">
        <v>179</v>
      </c>
      <c r="G33">
        <v>24</v>
      </c>
      <c r="H33">
        <f t="shared" si="0"/>
        <v>0.72</v>
      </c>
      <c r="I33" s="406">
        <f t="shared" si="1"/>
        <v>0.21328</v>
      </c>
      <c r="J33" s="407">
        <f t="shared" si="2"/>
        <v>1.4143831578947366</v>
      </c>
      <c r="K33" s="407">
        <f t="shared" si="31"/>
        <v>1.4271915789473684</v>
      </c>
      <c r="L33" s="407">
        <f t="shared" si="32"/>
        <v>1.2808421052631691E-2</v>
      </c>
      <c r="M33" s="63">
        <f t="shared" si="3"/>
        <v>0</v>
      </c>
      <c r="N33" s="406">
        <f t="shared" si="4"/>
        <v>0.82771169081471674</v>
      </c>
      <c r="O33" s="406">
        <f t="shared" si="5"/>
        <v>1.3717169220239096E-2</v>
      </c>
      <c r="P33">
        <f t="shared" si="6"/>
        <v>0.2</v>
      </c>
      <c r="Q33" s="406">
        <f t="shared" si="34"/>
        <v>0.21371716922023912</v>
      </c>
      <c r="R33" s="9">
        <f t="shared" si="39"/>
        <v>0.40829724847389959</v>
      </c>
      <c r="S33" s="9">
        <f t="shared" si="7"/>
        <v>1.667066431113573E-4</v>
      </c>
      <c r="T33" s="9">
        <f t="shared" si="40"/>
        <v>1.667066431113573E-4</v>
      </c>
      <c r="U33" s="406">
        <f t="shared" si="8"/>
        <v>0.38225586305875059</v>
      </c>
      <c r="V33" s="408">
        <f t="shared" si="9"/>
        <v>1.4611954484279027E-4</v>
      </c>
      <c r="W33" s="406">
        <f t="shared" si="41"/>
        <v>1.4611954484279027E-4</v>
      </c>
      <c r="X33" s="406">
        <f t="shared" si="10"/>
        <v>0.38225586305875059</v>
      </c>
      <c r="Y33" s="406">
        <f t="shared" si="11"/>
        <v>8.7671726905674168E-4</v>
      </c>
      <c r="Z33" s="406">
        <f t="shared" si="12"/>
        <v>5.2405359741322231E-2</v>
      </c>
      <c r="AA33" s="406">
        <f t="shared" si="13"/>
        <v>0.14400000000000002</v>
      </c>
      <c r="AB33" s="406">
        <f t="shared" si="14"/>
        <v>0</v>
      </c>
      <c r="AC33" s="406">
        <f t="shared" si="15"/>
        <v>0.19731667519770274</v>
      </c>
      <c r="AD33" s="406">
        <f t="shared" si="16"/>
        <v>0.73415740701062659</v>
      </c>
      <c r="AE33" s="406">
        <f t="shared" si="17"/>
        <v>3.2339225896114011E-3</v>
      </c>
      <c r="AF33" s="406">
        <f t="shared" si="18"/>
        <v>1.0367999999999999E-2</v>
      </c>
      <c r="AG33" s="406">
        <f t="shared" si="19"/>
        <v>1.360896424351353E-2</v>
      </c>
      <c r="AH33" s="406">
        <f t="shared" si="20"/>
        <v>0</v>
      </c>
      <c r="AI33">
        <f t="shared" si="21"/>
        <v>0</v>
      </c>
      <c r="AJ33" s="407">
        <f t="shared" si="22"/>
        <v>0.35993520000000001</v>
      </c>
      <c r="AK33">
        <f t="shared" si="23"/>
        <v>4.8000000000000001E-2</v>
      </c>
      <c r="AL33" s="407">
        <f t="shared" si="24"/>
        <v>0.1215</v>
      </c>
      <c r="AM33" s="407">
        <f t="shared" si="25"/>
        <v>0.31645971316818772</v>
      </c>
      <c r="AN33" s="407">
        <f t="shared" si="42"/>
        <v>0.16949999999999998</v>
      </c>
      <c r="AO33" s="407">
        <f t="shared" si="26"/>
        <v>0.95439083484940956</v>
      </c>
      <c r="AP33">
        <f t="shared" si="27"/>
        <v>3.6719999999999997</v>
      </c>
      <c r="AQ33" s="10">
        <f t="shared" si="43"/>
        <v>0.79370726146605919</v>
      </c>
      <c r="AR33" s="63">
        <f t="shared" si="28"/>
        <v>9.8658337598851364</v>
      </c>
      <c r="AS33" s="63">
        <f t="shared" si="44"/>
        <v>0.5443585697405412</v>
      </c>
      <c r="AT33" s="10"/>
      <c r="AU33">
        <f t="shared" si="45"/>
        <v>79.370726146605918</v>
      </c>
      <c r="BD33">
        <v>9.9986420000000003</v>
      </c>
      <c r="BE33">
        <v>0.64549999999999996</v>
      </c>
      <c r="BF33">
        <v>5.1237300000000001</v>
      </c>
      <c r="BG33">
        <v>90.41893857119905</v>
      </c>
      <c r="BH33">
        <v>350.45848473660021</v>
      </c>
    </row>
    <row r="34" spans="1:60" x14ac:dyDescent="0.25">
      <c r="A34" s="34" t="s">
        <v>119</v>
      </c>
      <c r="B34" s="25" t="s">
        <v>201</v>
      </c>
      <c r="C34" s="34" t="s">
        <v>148</v>
      </c>
      <c r="D34" s="27" t="s">
        <v>188</v>
      </c>
      <c r="G34">
        <v>25</v>
      </c>
      <c r="H34">
        <f t="shared" si="0"/>
        <v>0.75</v>
      </c>
      <c r="I34" s="406">
        <f t="shared" si="1"/>
        <v>0.21331249999999999</v>
      </c>
      <c r="J34" s="407">
        <f t="shared" si="2"/>
        <v>1.414598684210526</v>
      </c>
      <c r="K34" s="407">
        <f t="shared" si="31"/>
        <v>1.4572993421052631</v>
      </c>
      <c r="L34" s="407">
        <f t="shared" si="32"/>
        <v>4.2700657894736982E-2</v>
      </c>
      <c r="M34" s="63">
        <f t="shared" si="3"/>
        <v>0</v>
      </c>
      <c r="N34" s="406">
        <f t="shared" si="4"/>
        <v>0.85396572127584802</v>
      </c>
      <c r="O34" s="406">
        <f t="shared" si="5"/>
        <v>1.460218706828569E-2</v>
      </c>
      <c r="P34">
        <f t="shared" si="6"/>
        <v>0.2</v>
      </c>
      <c r="Q34" s="406">
        <f t="shared" si="34"/>
        <v>0.21460218706828571</v>
      </c>
      <c r="R34" s="9">
        <f t="shared" si="39"/>
        <v>0.40835946556211883</v>
      </c>
      <c r="S34" s="9">
        <f t="shared" si="7"/>
        <v>1.667574531141793E-4</v>
      </c>
      <c r="T34" s="9">
        <f t="shared" si="40"/>
        <v>1.667574531141793E-4</v>
      </c>
      <c r="U34" s="406">
        <f t="shared" si="8"/>
        <v>0.39441061150458212</v>
      </c>
      <c r="V34" s="408">
        <f t="shared" si="9"/>
        <v>1.5555973046741842E-4</v>
      </c>
      <c r="W34" s="406">
        <f t="shared" si="41"/>
        <v>1.5555973046741842E-4</v>
      </c>
      <c r="X34" s="406">
        <f t="shared" si="10"/>
        <v>0.39441061150458212</v>
      </c>
      <c r="Y34" s="406">
        <f t="shared" si="11"/>
        <v>9.3335838280451055E-4</v>
      </c>
      <c r="Z34" s="406">
        <f t="shared" si="12"/>
        <v>5.4653457404846326E-2</v>
      </c>
      <c r="AA34" s="406">
        <f t="shared" si="13"/>
        <v>0.14400000000000002</v>
      </c>
      <c r="AB34" s="406">
        <f t="shared" si="14"/>
        <v>0</v>
      </c>
      <c r="AC34" s="406">
        <f t="shared" si="15"/>
        <v>0.19962407994933695</v>
      </c>
      <c r="AD34" s="406">
        <f t="shared" si="16"/>
        <v>0.7574283613958227</v>
      </c>
      <c r="AE34" s="406">
        <f t="shared" si="17"/>
        <v>3.4421863358805663E-3</v>
      </c>
      <c r="AF34" s="406">
        <f t="shared" si="18"/>
        <v>1.0800000000000001E-2</v>
      </c>
      <c r="AG34" s="406">
        <f t="shared" si="19"/>
        <v>1.4250034539749136E-2</v>
      </c>
      <c r="AH34" s="406">
        <f t="shared" si="20"/>
        <v>0</v>
      </c>
      <c r="AI34">
        <f t="shared" si="21"/>
        <v>0</v>
      </c>
      <c r="AJ34" s="407">
        <f t="shared" si="22"/>
        <v>0.35993249999999999</v>
      </c>
      <c r="AK34">
        <f t="shared" si="23"/>
        <v>4.8000000000000001E-2</v>
      </c>
      <c r="AL34" s="407">
        <f t="shared" si="24"/>
        <v>0.1215</v>
      </c>
      <c r="AM34" s="407">
        <f t="shared" si="25"/>
        <v>0.31645971316818772</v>
      </c>
      <c r="AN34" s="407">
        <f t="shared" si="42"/>
        <v>0.16949999999999998</v>
      </c>
      <c r="AO34" s="407">
        <f t="shared" si="26"/>
        <v>0.95823111874095335</v>
      </c>
      <c r="AP34">
        <f t="shared" si="27"/>
        <v>3.8249999999999997</v>
      </c>
      <c r="AQ34" s="10">
        <f t="shared" si="43"/>
        <v>0.79966865598725667</v>
      </c>
      <c r="AR34" s="63">
        <f t="shared" si="28"/>
        <v>9.9812039974668476</v>
      </c>
      <c r="AS34" s="63">
        <f t="shared" si="44"/>
        <v>0.57000138158996538</v>
      </c>
      <c r="AT34" s="10"/>
      <c r="AU34">
        <f t="shared" si="45"/>
        <v>79.966865598725661</v>
      </c>
      <c r="BD34">
        <v>9.9986049999999995</v>
      </c>
      <c r="BE34">
        <v>0.83240000000000003</v>
      </c>
      <c r="BF34">
        <v>5.1231559999999998</v>
      </c>
      <c r="BG34">
        <v>91.678946361105133</v>
      </c>
      <c r="BH34">
        <v>387.05996035199956</v>
      </c>
    </row>
    <row r="35" spans="1:60" x14ac:dyDescent="0.25">
      <c r="A35" s="32" t="s">
        <v>249</v>
      </c>
      <c r="B35" s="5">
        <v>2</v>
      </c>
      <c r="C35" s="416" t="s">
        <v>135</v>
      </c>
      <c r="D35" s="31" t="s">
        <v>259</v>
      </c>
      <c r="G35">
        <v>26</v>
      </c>
      <c r="H35">
        <f t="shared" si="0"/>
        <v>0.78</v>
      </c>
      <c r="I35" s="406">
        <f t="shared" si="1"/>
        <v>0.21334499999999998</v>
      </c>
      <c r="J35" s="407">
        <f t="shared" si="2"/>
        <v>1.4148142105263155</v>
      </c>
      <c r="K35" s="407">
        <f t="shared" si="31"/>
        <v>1.4874071052631579</v>
      </c>
      <c r="L35" s="407">
        <f t="shared" si="32"/>
        <v>7.2592894736842273E-2</v>
      </c>
      <c r="M35" s="63">
        <f t="shared" si="3"/>
        <v>0</v>
      </c>
      <c r="N35" s="406">
        <f t="shared" si="4"/>
        <v>0.88045912503587209</v>
      </c>
      <c r="O35" s="406">
        <f t="shared" si="5"/>
        <v>1.5523419630441919E-2</v>
      </c>
      <c r="P35">
        <f t="shared" si="6"/>
        <v>0.2</v>
      </c>
      <c r="Q35" s="406">
        <f t="shared" si="34"/>
        <v>0.21552341963044194</v>
      </c>
      <c r="R35" s="9">
        <f t="shared" si="39"/>
        <v>0.40842168265033807</v>
      </c>
      <c r="S35" s="9">
        <f t="shared" si="7"/>
        <v>1.6680827085893346E-4</v>
      </c>
      <c r="T35" s="9">
        <f t="shared" si="40"/>
        <v>1.6680827085893346E-4</v>
      </c>
      <c r="U35" s="406">
        <f t="shared" si="8"/>
        <v>0.40667776991913279</v>
      </c>
      <c r="V35" s="408">
        <f t="shared" si="9"/>
        <v>1.6538680854639911E-4</v>
      </c>
      <c r="W35" s="406">
        <f t="shared" si="41"/>
        <v>1.6538680854639911E-4</v>
      </c>
      <c r="X35" s="406">
        <f t="shared" si="10"/>
        <v>0.40667776991913279</v>
      </c>
      <c r="Y35" s="406">
        <f t="shared" si="11"/>
        <v>9.9232085127839466E-4</v>
      </c>
      <c r="Z35" s="406">
        <f t="shared" si="12"/>
        <v>5.6901555068370427E-2</v>
      </c>
      <c r="AA35" s="406">
        <f t="shared" si="13"/>
        <v>0.14400000000000002</v>
      </c>
      <c r="AB35" s="406">
        <f t="shared" si="14"/>
        <v>0</v>
      </c>
      <c r="AC35" s="406">
        <f t="shared" si="15"/>
        <v>0.20193395257399288</v>
      </c>
      <c r="AD35" s="406">
        <f t="shared" si="16"/>
        <v>0.7809106621839238</v>
      </c>
      <c r="AE35" s="406">
        <f t="shared" si="17"/>
        <v>3.6589287738752058E-3</v>
      </c>
      <c r="AF35" s="406">
        <f t="shared" si="18"/>
        <v>1.1232000000000001E-2</v>
      </c>
      <c r="AG35" s="406">
        <f t="shared" si="19"/>
        <v>1.4899651456024511E-2</v>
      </c>
      <c r="AH35" s="406">
        <f t="shared" si="20"/>
        <v>0</v>
      </c>
      <c r="AI35">
        <f t="shared" si="21"/>
        <v>0</v>
      </c>
      <c r="AJ35" s="407">
        <f t="shared" si="22"/>
        <v>0.35992979999999997</v>
      </c>
      <c r="AK35">
        <f t="shared" si="23"/>
        <v>4.8000000000000001E-2</v>
      </c>
      <c r="AL35" s="407">
        <f t="shared" si="24"/>
        <v>0.1215</v>
      </c>
      <c r="AM35" s="407">
        <f t="shared" si="25"/>
        <v>0.31645971316818772</v>
      </c>
      <c r="AN35" s="407">
        <f t="shared" si="42"/>
        <v>0.16949999999999998</v>
      </c>
      <c r="AO35" s="407">
        <f t="shared" si="26"/>
        <v>0.96211901873986461</v>
      </c>
      <c r="AP35">
        <f t="shared" si="27"/>
        <v>3.9779999999999998</v>
      </c>
      <c r="AQ35" s="10">
        <f t="shared" si="43"/>
        <v>0.80524375726775832</v>
      </c>
      <c r="AR35" s="63">
        <f t="shared" si="28"/>
        <v>10.096697628699644</v>
      </c>
      <c r="AS35" s="63">
        <f t="shared" si="44"/>
        <v>0.5959860582409805</v>
      </c>
      <c r="AT35" s="10"/>
      <c r="AU35">
        <f t="shared" si="45"/>
        <v>80.52437572677583</v>
      </c>
      <c r="BD35">
        <v>9.9986049999999995</v>
      </c>
      <c r="BE35">
        <v>1.0528999999999999</v>
      </c>
      <c r="BF35">
        <v>5.1218219999999999</v>
      </c>
      <c r="BG35">
        <v>92.889938966292178</v>
      </c>
      <c r="BH35">
        <v>412.77762981700039</v>
      </c>
    </row>
    <row r="36" spans="1:60" x14ac:dyDescent="0.25">
      <c r="A36" s="34" t="s">
        <v>129</v>
      </c>
      <c r="B36" s="25" t="s">
        <v>201</v>
      </c>
      <c r="C36" s="34" t="s">
        <v>148</v>
      </c>
      <c r="D36" s="27" t="s">
        <v>188</v>
      </c>
      <c r="G36">
        <v>27</v>
      </c>
      <c r="H36">
        <f t="shared" si="0"/>
        <v>0.81</v>
      </c>
      <c r="I36" s="406">
        <f t="shared" si="1"/>
        <v>0.2133775</v>
      </c>
      <c r="J36" s="407">
        <f t="shared" si="2"/>
        <v>1.415029736842105</v>
      </c>
      <c r="K36" s="407">
        <f t="shared" si="31"/>
        <v>1.5175148684210527</v>
      </c>
      <c r="L36" s="407">
        <f t="shared" si="32"/>
        <v>0.10248513157894756</v>
      </c>
      <c r="M36" s="63">
        <f t="shared" si="3"/>
        <v>0</v>
      </c>
      <c r="N36" s="406">
        <f t="shared" si="4"/>
        <v>0.90717093005983152</v>
      </c>
      <c r="O36" s="406">
        <f t="shared" si="5"/>
        <v>1.6480882874876694E-2</v>
      </c>
      <c r="P36">
        <f t="shared" si="6"/>
        <v>0.2</v>
      </c>
      <c r="Q36" s="406">
        <f t="shared" si="34"/>
        <v>0.21648088287487671</v>
      </c>
      <c r="R36" s="9">
        <f t="shared" si="39"/>
        <v>0.40848389973855731</v>
      </c>
      <c r="S36" s="9">
        <f t="shared" si="7"/>
        <v>1.6685909634561974E-4</v>
      </c>
      <c r="T36" s="9">
        <f t="shared" si="40"/>
        <v>1.6685909634561974E-4</v>
      </c>
      <c r="U36" s="406">
        <f t="shared" si="8"/>
        <v>0.4190476757846146</v>
      </c>
      <c r="V36" s="408">
        <f t="shared" si="9"/>
        <v>1.7560095458048748E-4</v>
      </c>
      <c r="W36" s="406">
        <f t="shared" si="41"/>
        <v>1.7560095458048748E-4</v>
      </c>
      <c r="X36" s="406">
        <f t="shared" si="10"/>
        <v>0.4190476757846146</v>
      </c>
      <c r="Y36" s="406">
        <f t="shared" si="11"/>
        <v>1.0536057274829248E-3</v>
      </c>
      <c r="Z36" s="406">
        <f t="shared" si="12"/>
        <v>5.9149652731894528E-2</v>
      </c>
      <c r="AA36" s="406">
        <f t="shared" si="13"/>
        <v>0.14400000000000002</v>
      </c>
      <c r="AB36" s="406">
        <f t="shared" si="14"/>
        <v>0</v>
      </c>
      <c r="AC36" s="406">
        <f t="shared" si="15"/>
        <v>0.20424629747314446</v>
      </c>
      <c r="AD36" s="406">
        <f t="shared" si="16"/>
        <v>0.80458569572490679</v>
      </c>
      <c r="AE36" s="406">
        <f t="shared" si="17"/>
        <v>3.884148850590794E-3</v>
      </c>
      <c r="AF36" s="406">
        <f t="shared" si="18"/>
        <v>1.1664000000000001E-2</v>
      </c>
      <c r="AG36" s="406">
        <f t="shared" si="19"/>
        <v>1.5557817471206553E-2</v>
      </c>
      <c r="AH36" s="406">
        <f t="shared" si="20"/>
        <v>0</v>
      </c>
      <c r="AI36">
        <f t="shared" si="21"/>
        <v>0</v>
      </c>
      <c r="AJ36" s="407">
        <f t="shared" si="22"/>
        <v>0.3599271</v>
      </c>
      <c r="AK36">
        <f t="shared" si="23"/>
        <v>4.8000000000000001E-2</v>
      </c>
      <c r="AL36" s="407">
        <f t="shared" si="24"/>
        <v>0.1215</v>
      </c>
      <c r="AM36" s="407">
        <f t="shared" si="25"/>
        <v>0.31645971316818772</v>
      </c>
      <c r="AN36" s="407">
        <f t="shared" si="42"/>
        <v>0.16949999999999998</v>
      </c>
      <c r="AO36" s="407">
        <f t="shared" si="26"/>
        <v>0.96605455787015382</v>
      </c>
      <c r="AP36">
        <f t="shared" si="27"/>
        <v>4.1310000000000002</v>
      </c>
      <c r="AQ36" s="10">
        <f t="shared" si="43"/>
        <v>0.81046807584617508</v>
      </c>
      <c r="AR36" s="63">
        <f t="shared" si="28"/>
        <v>10.212314873657222</v>
      </c>
      <c r="AS36" s="63">
        <f t="shared" si="44"/>
        <v>0.62231269884826212</v>
      </c>
      <c r="AT36" s="10"/>
      <c r="AU36">
        <f t="shared" si="45"/>
        <v>81.046807584617511</v>
      </c>
      <c r="BD36">
        <v>9.9986669999999993</v>
      </c>
      <c r="BE36">
        <v>1.3092999999999999</v>
      </c>
      <c r="BF36">
        <v>5.1195649999999997</v>
      </c>
      <c r="BG36">
        <v>93.690364214923264</v>
      </c>
      <c r="BH36">
        <v>451.42072788069993</v>
      </c>
    </row>
    <row r="37" spans="1:60" x14ac:dyDescent="0.25">
      <c r="A37" s="33" t="s">
        <v>142</v>
      </c>
      <c r="B37" s="5">
        <f>RdsonTop*1000</f>
        <v>6</v>
      </c>
      <c r="C37" s="416" t="s">
        <v>613</v>
      </c>
      <c r="D37" s="31" t="s">
        <v>194</v>
      </c>
      <c r="G37">
        <v>28</v>
      </c>
      <c r="H37">
        <f t="shared" si="0"/>
        <v>0.84000000000000008</v>
      </c>
      <c r="I37" s="406">
        <f t="shared" si="1"/>
        <v>0.21340999999999999</v>
      </c>
      <c r="J37" s="407">
        <f t="shared" si="2"/>
        <v>1.4152452631578945</v>
      </c>
      <c r="K37" s="407">
        <f t="shared" si="31"/>
        <v>1.5476226315789474</v>
      </c>
      <c r="L37" s="407">
        <f t="shared" si="32"/>
        <v>0.13237736842105285</v>
      </c>
      <c r="M37" s="63">
        <f t="shared" si="3"/>
        <v>0</v>
      </c>
      <c r="N37" s="406">
        <f t="shared" si="4"/>
        <v>0.93408239977757757</v>
      </c>
      <c r="O37" s="406">
        <f t="shared" si="5"/>
        <v>1.7474593401497689E-2</v>
      </c>
      <c r="P37">
        <f t="shared" si="6"/>
        <v>0.2</v>
      </c>
      <c r="Q37" s="406">
        <f t="shared" si="34"/>
        <v>0.21747459340149769</v>
      </c>
      <c r="R37" s="9">
        <f t="shared" si="39"/>
        <v>0.40854611682677661</v>
      </c>
      <c r="S37" s="9">
        <f t="shared" si="7"/>
        <v>1.6690992957423819E-4</v>
      </c>
      <c r="T37" s="9">
        <f t="shared" si="40"/>
        <v>1.6690992957423819E-4</v>
      </c>
      <c r="U37" s="406">
        <f t="shared" si="8"/>
        <v>0.43151169633097802</v>
      </c>
      <c r="V37" s="408">
        <f t="shared" si="9"/>
        <v>1.8620234407043821E-4</v>
      </c>
      <c r="W37" s="406">
        <f t="shared" si="41"/>
        <v>1.8620234407043821E-4</v>
      </c>
      <c r="X37" s="406">
        <f t="shared" si="10"/>
        <v>0.43151169633097802</v>
      </c>
      <c r="Y37" s="406">
        <f t="shared" si="11"/>
        <v>1.1172140644226292E-3</v>
      </c>
      <c r="Z37" s="406">
        <f t="shared" si="12"/>
        <v>6.1397750395418615E-2</v>
      </c>
      <c r="AA37" s="406">
        <f t="shared" si="13"/>
        <v>0.14400000000000002</v>
      </c>
      <c r="AB37" s="406">
        <f t="shared" si="14"/>
        <v>0</v>
      </c>
      <c r="AC37" s="406">
        <f t="shared" si="15"/>
        <v>0.20656111905731603</v>
      </c>
      <c r="AD37" s="406">
        <f t="shared" si="16"/>
        <v>0.82843683253691713</v>
      </c>
      <c r="AE37" s="406">
        <f t="shared" si="17"/>
        <v>4.1178455130228006E-3</v>
      </c>
      <c r="AF37" s="406">
        <f t="shared" si="18"/>
        <v>1.2096000000000001E-2</v>
      </c>
      <c r="AG37" s="406">
        <f t="shared" si="19"/>
        <v>1.6224535133694987E-2</v>
      </c>
      <c r="AH37" s="406">
        <f t="shared" si="20"/>
        <v>0</v>
      </c>
      <c r="AI37">
        <f t="shared" si="21"/>
        <v>0</v>
      </c>
      <c r="AJ37" s="407">
        <f t="shared" si="22"/>
        <v>0.35992439999999998</v>
      </c>
      <c r="AK37">
        <f t="shared" si="23"/>
        <v>4.8000000000000001E-2</v>
      </c>
      <c r="AL37" s="407">
        <f t="shared" si="24"/>
        <v>0.1215</v>
      </c>
      <c r="AM37" s="407">
        <f t="shared" si="25"/>
        <v>0.31645971316818772</v>
      </c>
      <c r="AN37" s="407">
        <f t="shared" si="42"/>
        <v>0.16949999999999998</v>
      </c>
      <c r="AO37" s="407">
        <f t="shared" si="26"/>
        <v>0.97003775986615348</v>
      </c>
      <c r="AP37">
        <f t="shared" si="27"/>
        <v>4.2839999999999998</v>
      </c>
      <c r="AQ37" s="10">
        <f t="shared" si="43"/>
        <v>0.8153728990537622</v>
      </c>
      <c r="AR37" s="63">
        <f t="shared" si="28"/>
        <v>10.328055952865801</v>
      </c>
      <c r="AS37" s="63">
        <f t="shared" si="44"/>
        <v>0.64898140534779947</v>
      </c>
      <c r="AT37" s="10"/>
      <c r="AU37">
        <f t="shared" si="45"/>
        <v>81.537289905376227</v>
      </c>
      <c r="BD37">
        <v>9.9985429999999997</v>
      </c>
      <c r="BE37">
        <v>1.6020000000000001</v>
      </c>
      <c r="BF37">
        <v>5.1182809999999996</v>
      </c>
      <c r="BG37">
        <v>93.864473327748414</v>
      </c>
      <c r="BH37">
        <v>535.96589716749952</v>
      </c>
    </row>
    <row r="38" spans="1:60" x14ac:dyDescent="0.25">
      <c r="A38" s="32" t="s">
        <v>152</v>
      </c>
      <c r="B38" s="5">
        <v>4500</v>
      </c>
      <c r="C38" s="416" t="s">
        <v>614</v>
      </c>
      <c r="D38" s="31" t="s">
        <v>193</v>
      </c>
      <c r="G38">
        <v>29</v>
      </c>
      <c r="H38">
        <f t="shared" si="0"/>
        <v>0.86999999999999988</v>
      </c>
      <c r="I38" s="406">
        <f t="shared" si="1"/>
        <v>0.21344249999999998</v>
      </c>
      <c r="J38" s="407">
        <f t="shared" si="2"/>
        <v>1.4154607894736839</v>
      </c>
      <c r="K38" s="407">
        <f t="shared" si="31"/>
        <v>1.5777303947368417</v>
      </c>
      <c r="L38" s="407">
        <f t="shared" si="32"/>
        <v>0.16226960526315792</v>
      </c>
      <c r="M38" s="63">
        <f t="shared" si="3"/>
        <v>0</v>
      </c>
      <c r="N38" s="406">
        <f t="shared" si="4"/>
        <v>0.96117676342324698</v>
      </c>
      <c r="O38" s="406">
        <f t="shared" si="5"/>
        <v>1.8504568442671843E-2</v>
      </c>
      <c r="P38">
        <f t="shared" si="6"/>
        <v>0.2</v>
      </c>
      <c r="Q38" s="406">
        <f t="shared" si="34"/>
        <v>0.21850456844267185</v>
      </c>
      <c r="R38" s="9">
        <f t="shared" si="39"/>
        <v>0.40860833391499585</v>
      </c>
      <c r="S38" s="9">
        <f t="shared" si="7"/>
        <v>1.6696077054478874E-4</v>
      </c>
      <c r="T38" s="9">
        <f t="shared" si="40"/>
        <v>1.6696077054478874E-4</v>
      </c>
      <c r="U38" s="406">
        <f t="shared" si="8"/>
        <v>0.44406210434691001</v>
      </c>
      <c r="V38" s="408">
        <f t="shared" si="9"/>
        <v>1.9719115251700601E-4</v>
      </c>
      <c r="W38" s="406">
        <f t="shared" si="41"/>
        <v>1.9719115251700601E-4</v>
      </c>
      <c r="X38" s="406">
        <f t="shared" si="10"/>
        <v>0.44406210434691001</v>
      </c>
      <c r="Y38" s="406">
        <f t="shared" si="11"/>
        <v>1.183146915102036E-3</v>
      </c>
      <c r="Z38" s="406">
        <f t="shared" si="12"/>
        <v>6.3645848058942703E-2</v>
      </c>
      <c r="AA38" s="406">
        <f t="shared" si="13"/>
        <v>0.14400000000000002</v>
      </c>
      <c r="AB38" s="406">
        <f t="shared" si="14"/>
        <v>0</v>
      </c>
      <c r="AC38" s="406">
        <f t="shared" si="15"/>
        <v>0.20887842174610879</v>
      </c>
      <c r="AD38" s="406">
        <f t="shared" si="16"/>
        <v>0.85244918794481972</v>
      </c>
      <c r="AE38" s="406">
        <f t="shared" si="17"/>
        <v>4.3600177081666962E-3</v>
      </c>
      <c r="AF38" s="406">
        <f t="shared" si="18"/>
        <v>1.2527999999999997E-2</v>
      </c>
      <c r="AG38" s="406">
        <f t="shared" si="19"/>
        <v>1.6899807061455101E-2</v>
      </c>
      <c r="AH38" s="406">
        <f t="shared" si="20"/>
        <v>0</v>
      </c>
      <c r="AI38">
        <f t="shared" si="21"/>
        <v>0</v>
      </c>
      <c r="AJ38" s="407">
        <f t="shared" si="22"/>
        <v>0.35992169999999996</v>
      </c>
      <c r="AK38">
        <f t="shared" si="23"/>
        <v>4.8000000000000001E-2</v>
      </c>
      <c r="AL38" s="407">
        <f t="shared" si="24"/>
        <v>0.1215</v>
      </c>
      <c r="AM38" s="407">
        <f t="shared" si="25"/>
        <v>0.31645971316818772</v>
      </c>
      <c r="AN38" s="407">
        <f t="shared" si="42"/>
        <v>0.16949999999999998</v>
      </c>
      <c r="AO38" s="407">
        <f t="shared" si="26"/>
        <v>0.9740686491732975</v>
      </c>
      <c r="AP38">
        <f t="shared" si="27"/>
        <v>4.4369999999999994</v>
      </c>
      <c r="AQ38" s="10">
        <f t="shared" si="43"/>
        <v>0.81998590069225685</v>
      </c>
      <c r="AR38" s="63">
        <f t="shared" si="28"/>
        <v>10.443921087305439</v>
      </c>
      <c r="AS38" s="63">
        <f t="shared" si="44"/>
        <v>0.67599228245820409</v>
      </c>
      <c r="AT38" s="10"/>
      <c r="AU38">
        <f t="shared" si="45"/>
        <v>81.998590069225685</v>
      </c>
      <c r="BD38">
        <v>9.9985429999999997</v>
      </c>
      <c r="BE38">
        <v>1.9350000000000001</v>
      </c>
      <c r="BF38">
        <v>5.117146</v>
      </c>
      <c r="BG38">
        <v>94.224527198076927</v>
      </c>
      <c r="BH38">
        <v>606.92116405899924</v>
      </c>
    </row>
    <row r="39" spans="1:60" x14ac:dyDescent="0.25">
      <c r="A39" s="33" t="s">
        <v>141</v>
      </c>
      <c r="B39" s="5">
        <f>QgTop*1000000000</f>
        <v>27</v>
      </c>
      <c r="C39" s="416" t="s">
        <v>136</v>
      </c>
      <c r="D39" s="31" t="s">
        <v>180</v>
      </c>
      <c r="G39">
        <v>30</v>
      </c>
      <c r="H39">
        <f t="shared" si="0"/>
        <v>0.89999999999999991</v>
      </c>
      <c r="I39" s="406">
        <f t="shared" si="1"/>
        <v>0.21347499999999997</v>
      </c>
      <c r="J39" s="407">
        <f t="shared" si="2"/>
        <v>1.4156763157894734</v>
      </c>
      <c r="K39" s="407">
        <f t="shared" si="31"/>
        <v>1.6078381578947365</v>
      </c>
      <c r="L39" s="407">
        <f t="shared" si="32"/>
        <v>0.19216184210526321</v>
      </c>
      <c r="M39" s="63">
        <f t="shared" si="3"/>
        <v>0</v>
      </c>
      <c r="N39" s="406">
        <f t="shared" si="4"/>
        <v>0.98843898104904337</v>
      </c>
      <c r="O39" s="406">
        <f t="shared" si="5"/>
        <v>1.9570825863973525E-2</v>
      </c>
      <c r="P39">
        <f t="shared" si="6"/>
        <v>0.2</v>
      </c>
      <c r="Q39" s="406">
        <f t="shared" si="34"/>
        <v>0.21957082586397353</v>
      </c>
      <c r="R39" s="9">
        <f t="shared" si="39"/>
        <v>0.40867055100321509</v>
      </c>
      <c r="S39" s="9">
        <f t="shared" si="7"/>
        <v>1.6701161925727144E-4</v>
      </c>
      <c r="T39" s="9">
        <f t="shared" si="40"/>
        <v>1.6701161925727144E-4</v>
      </c>
      <c r="U39" s="406">
        <f t="shared" si="8"/>
        <v>0.45669196995452627</v>
      </c>
      <c r="V39" s="408">
        <f t="shared" si="9"/>
        <v>2.0856755542094594E-4</v>
      </c>
      <c r="W39" s="406">
        <f t="shared" si="41"/>
        <v>2.0856755542094594E-4</v>
      </c>
      <c r="X39" s="406">
        <f t="shared" si="10"/>
        <v>0.45669196995452627</v>
      </c>
      <c r="Y39" s="406">
        <f t="shared" si="11"/>
        <v>1.2514053325256755E-3</v>
      </c>
      <c r="Z39" s="406">
        <f t="shared" si="12"/>
        <v>6.589394572246679E-2</v>
      </c>
      <c r="AA39" s="406">
        <f t="shared" si="13"/>
        <v>0.14400000000000002</v>
      </c>
      <c r="AB39" s="406">
        <f t="shared" si="14"/>
        <v>0</v>
      </c>
      <c r="AC39" s="406">
        <f t="shared" si="15"/>
        <v>0.21119820996822733</v>
      </c>
      <c r="AD39" s="406">
        <f t="shared" si="16"/>
        <v>0.87660941349972121</v>
      </c>
      <c r="AE39" s="406">
        <f t="shared" si="17"/>
        <v>4.6106643830179511E-3</v>
      </c>
      <c r="AF39" s="406">
        <f t="shared" si="18"/>
        <v>1.2959999999999998E-2</v>
      </c>
      <c r="AG39" s="406">
        <f t="shared" si="19"/>
        <v>1.7583635942051867E-2</v>
      </c>
      <c r="AH39" s="406">
        <f t="shared" si="20"/>
        <v>0</v>
      </c>
      <c r="AI39">
        <f t="shared" si="21"/>
        <v>0</v>
      </c>
      <c r="AJ39" s="407">
        <f t="shared" si="22"/>
        <v>0.35991899999999999</v>
      </c>
      <c r="AK39">
        <f t="shared" si="23"/>
        <v>4.8000000000000001E-2</v>
      </c>
      <c r="AL39" s="407">
        <f t="shared" si="24"/>
        <v>0.1215</v>
      </c>
      <c r="AM39" s="407">
        <f t="shared" si="25"/>
        <v>0.31645971316818772</v>
      </c>
      <c r="AN39" s="407">
        <f t="shared" si="42"/>
        <v>0.16949999999999998</v>
      </c>
      <c r="AO39" s="407">
        <f t="shared" si="26"/>
        <v>0.97814725094893085</v>
      </c>
      <c r="AP39">
        <f t="shared" si="27"/>
        <v>4.589999999999999</v>
      </c>
      <c r="AQ39" s="10">
        <f t="shared" si="43"/>
        <v>0.82433164805721793</v>
      </c>
      <c r="AR39" s="63">
        <f t="shared" si="28"/>
        <v>10.559910498411366</v>
      </c>
      <c r="AS39" s="63">
        <f t="shared" si="44"/>
        <v>0.70334543768207469</v>
      </c>
      <c r="AT39" s="10"/>
      <c r="AU39">
        <f t="shared" si="45"/>
        <v>82.433164805721788</v>
      </c>
      <c r="BD39">
        <v>9.9985060000000008</v>
      </c>
      <c r="BE39">
        <v>2.31</v>
      </c>
      <c r="BF39">
        <v>5.1166349999999996</v>
      </c>
      <c r="BG39">
        <v>94.492663502717292</v>
      </c>
      <c r="BH39">
        <v>688.87413060200208</v>
      </c>
    </row>
    <row r="40" spans="1:60" x14ac:dyDescent="0.25">
      <c r="A40" s="33" t="s">
        <v>218</v>
      </c>
      <c r="B40" s="5">
        <f>QgdTop*1000000000</f>
        <v>9</v>
      </c>
      <c r="C40" s="416" t="s">
        <v>136</v>
      </c>
      <c r="D40" s="31" t="s">
        <v>219</v>
      </c>
      <c r="G40">
        <v>31</v>
      </c>
      <c r="H40">
        <f t="shared" si="0"/>
        <v>0.92999999999999994</v>
      </c>
      <c r="I40" s="406">
        <f t="shared" si="1"/>
        <v>0.21350749999999999</v>
      </c>
      <c r="J40" s="407">
        <f t="shared" si="2"/>
        <v>1.4158918421052631</v>
      </c>
      <c r="K40" s="407">
        <f t="shared" si="31"/>
        <v>1.6379459210526315</v>
      </c>
      <c r="L40" s="407">
        <f t="shared" si="32"/>
        <v>0.22205407894736839</v>
      </c>
      <c r="M40" s="63">
        <f t="shared" si="3"/>
        <v>0</v>
      </c>
      <c r="N40" s="406">
        <f t="shared" si="4"/>
        <v>1.0158555388005157</v>
      </c>
      <c r="O40" s="406">
        <f t="shared" si="5"/>
        <v>2.0673384164960461E-2</v>
      </c>
      <c r="P40">
        <f t="shared" si="6"/>
        <v>0.2</v>
      </c>
      <c r="Q40" s="406">
        <f t="shared" si="34"/>
        <v>0.22067338416496046</v>
      </c>
      <c r="R40" s="9">
        <f t="shared" si="39"/>
        <v>0.40873276809143438</v>
      </c>
      <c r="S40" s="9">
        <f t="shared" si="7"/>
        <v>1.6706247571168629E-4</v>
      </c>
      <c r="T40" s="9">
        <f t="shared" si="40"/>
        <v>1.6706247571168629E-4</v>
      </c>
      <c r="U40" s="406">
        <f t="shared" si="8"/>
        <v>0.46939506631728972</v>
      </c>
      <c r="V40" s="408">
        <f t="shared" si="9"/>
        <v>2.2033172828301282E-4</v>
      </c>
      <c r="W40" s="406">
        <f t="shared" si="41"/>
        <v>2.2033172828301282E-4</v>
      </c>
      <c r="X40" s="406">
        <f t="shared" si="10"/>
        <v>0.46939506631728972</v>
      </c>
      <c r="Y40" s="406">
        <f t="shared" si="11"/>
        <v>1.3219903696980769E-3</v>
      </c>
      <c r="Z40" s="406">
        <f t="shared" si="12"/>
        <v>6.8142043385990891E-2</v>
      </c>
      <c r="AA40" s="406">
        <f t="shared" si="13"/>
        <v>0.14400000000000002</v>
      </c>
      <c r="AB40" s="406">
        <f t="shared" si="14"/>
        <v>0</v>
      </c>
      <c r="AC40" s="406">
        <f t="shared" si="15"/>
        <v>0.21352048816150554</v>
      </c>
      <c r="AD40" s="406">
        <f t="shared" si="16"/>
        <v>0.90090551526154683</v>
      </c>
      <c r="AE40" s="406">
        <f t="shared" si="17"/>
        <v>4.869784484572039E-3</v>
      </c>
      <c r="AF40" s="406">
        <f t="shared" si="18"/>
        <v>1.3391999999999999E-2</v>
      </c>
      <c r="AG40" s="406">
        <f t="shared" si="19"/>
        <v>1.8276024532685467E-2</v>
      </c>
      <c r="AH40" s="406">
        <f t="shared" si="20"/>
        <v>0</v>
      </c>
      <c r="AI40">
        <f t="shared" si="21"/>
        <v>0</v>
      </c>
      <c r="AJ40" s="407">
        <f t="shared" si="22"/>
        <v>0.35991630000000002</v>
      </c>
      <c r="AK40">
        <f t="shared" si="23"/>
        <v>4.8000000000000001E-2</v>
      </c>
      <c r="AL40" s="407">
        <f t="shared" si="24"/>
        <v>0.1215</v>
      </c>
      <c r="AM40" s="407">
        <f t="shared" si="25"/>
        <v>0.31645971316818772</v>
      </c>
      <c r="AN40" s="407">
        <f t="shared" si="42"/>
        <v>0.16949999999999998</v>
      </c>
      <c r="AO40" s="407">
        <f t="shared" si="26"/>
        <v>0.98227359106314627</v>
      </c>
      <c r="AP40">
        <f t="shared" si="27"/>
        <v>4.7429999999999994</v>
      </c>
      <c r="AQ40" s="10">
        <f t="shared" si="43"/>
        <v>0.82843202592162157</v>
      </c>
      <c r="AR40" s="63">
        <f t="shared" si="28"/>
        <v>10.676024408075277</v>
      </c>
      <c r="AS40" s="63">
        <f t="shared" si="44"/>
        <v>0.73104098130741868</v>
      </c>
      <c r="AT40" s="10"/>
      <c r="AU40">
        <f t="shared" si="45"/>
        <v>82.843202592162157</v>
      </c>
      <c r="BD40">
        <v>9.9984319999999993</v>
      </c>
      <c r="BE40">
        <v>2.7269999999999999</v>
      </c>
      <c r="BF40">
        <v>5.115812</v>
      </c>
      <c r="BG40">
        <v>94.558770424517263</v>
      </c>
      <c r="BH40">
        <v>802.77694931200062</v>
      </c>
    </row>
    <row r="41" spans="1:60" x14ac:dyDescent="0.25">
      <c r="A41" s="33" t="s">
        <v>236</v>
      </c>
      <c r="B41" s="5">
        <f>QgsTop*1000000000</f>
        <v>8</v>
      </c>
      <c r="C41" s="416" t="s">
        <v>136</v>
      </c>
      <c r="D41" s="416" t="s">
        <v>713</v>
      </c>
      <c r="G41">
        <v>32</v>
      </c>
      <c r="H41">
        <f t="shared" si="0"/>
        <v>0.96</v>
      </c>
      <c r="I41" s="406">
        <f t="shared" si="1"/>
        <v>0.21353999999999998</v>
      </c>
      <c r="J41" s="407">
        <f t="shared" si="2"/>
        <v>1.4161073684210521</v>
      </c>
      <c r="K41" s="407">
        <f t="shared" si="31"/>
        <v>1.668053684210526</v>
      </c>
      <c r="L41" s="407">
        <f t="shared" si="32"/>
        <v>0.25194631578947391</v>
      </c>
      <c r="M41" s="63">
        <f t="shared" si="3"/>
        <v>0</v>
      </c>
      <c r="N41" s="406">
        <f t="shared" ref="N41:N72" si="46">SQRT(H41^2+(J41^2)/12)</f>
        <v>1.0434142705119731</v>
      </c>
      <c r="O41" s="406">
        <f t="shared" si="5"/>
        <v>2.1812262479977508E-2</v>
      </c>
      <c r="P41">
        <f t="shared" si="6"/>
        <v>0.2</v>
      </c>
      <c r="Q41" s="406">
        <f t="shared" si="34"/>
        <v>0.22181226247997751</v>
      </c>
      <c r="R41" s="9">
        <f t="shared" si="39"/>
        <v>0.40879498517965351</v>
      </c>
      <c r="S41" s="9">
        <f t="shared" si="7"/>
        <v>1.6711333990803315E-4</v>
      </c>
      <c r="T41" s="9">
        <f t="shared" si="40"/>
        <v>1.6711333990803315E-4</v>
      </c>
      <c r="U41" s="406">
        <f t="shared" ref="U41:U72" si="47">SQRT(I41)*SQRT(H41^2+(J41^2)/12)</f>
        <v>0.48216578746729982</v>
      </c>
      <c r="V41" s="408">
        <f t="shared" si="9"/>
        <v>2.3248384660396135E-4</v>
      </c>
      <c r="W41" s="406">
        <f t="shared" si="41"/>
        <v>2.3248384660396135E-4</v>
      </c>
      <c r="X41" s="406">
        <f t="shared" ref="X41:X72" si="48">SQRT(I41)*SQRT(H41^2+(J41^2)/12)</f>
        <v>0.48216578746729982</v>
      </c>
      <c r="Y41" s="406">
        <f t="shared" si="11"/>
        <v>1.3949030796237682E-3</v>
      </c>
      <c r="Z41" s="406">
        <f t="shared" si="12"/>
        <v>7.0390141049514993E-2</v>
      </c>
      <c r="AA41" s="406">
        <f t="shared" si="13"/>
        <v>0.14400000000000002</v>
      </c>
      <c r="AB41" s="406">
        <f t="shared" si="14"/>
        <v>0</v>
      </c>
      <c r="AC41" s="406">
        <f t="shared" ref="AC41:AC72" si="49">(AB41+AA41+Z41+Y41*(1+RdsonTopTc*Ta-RdsonTopTc*25))/(1-Y41*RdsonTopTc*ThetaJaTop)</f>
        <v>0.21584526077293364</v>
      </c>
      <c r="AD41" s="406">
        <f t="shared" ref="AD41:AD72" si="50">SQRT(1-I41)*SQRT(H41^2+(J41^2)/12)</f>
        <v>0.92532669544549062</v>
      </c>
      <c r="AE41" s="406">
        <f t="shared" si="17"/>
        <v>5.1373769598244308E-3</v>
      </c>
      <c r="AF41" s="406">
        <f t="shared" si="18"/>
        <v>1.3823999999999999E-2</v>
      </c>
      <c r="AG41" s="406">
        <f t="shared" ref="AG41:AG72" si="51">(AF41+AE41*(1+RdsonBotTc*Ta-RdsonBotTc*25))/(1-AE41*RdsonBotTc*ThetaJaBot)</f>
        <v>1.8976975660228271E-2</v>
      </c>
      <c r="AH41" s="406">
        <f t="shared" ref="AH41:AH72" si="52">IF(RDSON_sense=1, 0, AD41^2*Rshunt)</f>
        <v>0</v>
      </c>
      <c r="AI41">
        <f t="shared" si="21"/>
        <v>0</v>
      </c>
      <c r="AJ41" s="407">
        <f t="shared" si="22"/>
        <v>0.3599136</v>
      </c>
      <c r="AK41">
        <f t="shared" si="23"/>
        <v>4.8000000000000001E-2</v>
      </c>
      <c r="AL41" s="407">
        <f t="shared" si="24"/>
        <v>0.1215</v>
      </c>
      <c r="AM41" s="407">
        <f t="shared" si="25"/>
        <v>0.31645971316818772</v>
      </c>
      <c r="AN41" s="407">
        <f t="shared" si="42"/>
        <v>0.16949999999999998</v>
      </c>
      <c r="AO41" s="407">
        <f t="shared" ref="AO41:AO72" si="53">SUM(Q41,T41,W41,AC41,AJ41,AI41,AG41,AN41, AH41)</f>
        <v>0.98644769609965133</v>
      </c>
      <c r="AP41">
        <f t="shared" si="27"/>
        <v>4.8959999999999999</v>
      </c>
      <c r="AQ41" s="10">
        <f t="shared" si="43"/>
        <v>0.83230659292496312</v>
      </c>
      <c r="AR41" s="63">
        <f t="shared" ref="AR41:AR72" si="54">ThetaJaTop*AC41</f>
        <v>10.792263038646682</v>
      </c>
      <c r="AS41" s="63">
        <f t="shared" si="44"/>
        <v>0.75907902640913083</v>
      </c>
      <c r="AT41" s="10"/>
      <c r="AU41">
        <f t="shared" si="45"/>
        <v>83.230659292496313</v>
      </c>
      <c r="BD41">
        <v>9.9985180000000007</v>
      </c>
      <c r="BE41">
        <v>3.1859999999999999</v>
      </c>
      <c r="BF41">
        <v>5.1148889999999998</v>
      </c>
      <c r="BG41">
        <v>94.58411932633652</v>
      </c>
      <c r="BH41">
        <v>933.10990806000302</v>
      </c>
    </row>
    <row r="42" spans="1:60" x14ac:dyDescent="0.25">
      <c r="A42" s="33" t="s">
        <v>168</v>
      </c>
      <c r="B42" s="5">
        <f>RGateTop</f>
        <v>2</v>
      </c>
      <c r="C42" s="415" t="s">
        <v>208</v>
      </c>
      <c r="D42" s="31" t="s">
        <v>181</v>
      </c>
      <c r="G42">
        <v>33</v>
      </c>
      <c r="H42">
        <f t="shared" si="0"/>
        <v>0.99</v>
      </c>
      <c r="I42" s="406">
        <f t="shared" si="1"/>
        <v>0.21357249999999997</v>
      </c>
      <c r="J42" s="407">
        <f t="shared" si="2"/>
        <v>1.4163228947368416</v>
      </c>
      <c r="K42" s="407">
        <f t="shared" si="31"/>
        <v>1.6981614473684208</v>
      </c>
      <c r="L42" s="407">
        <f t="shared" si="32"/>
        <v>0.2818385526315792</v>
      </c>
      <c r="M42" s="63">
        <f t="shared" si="3"/>
        <v>0</v>
      </c>
      <c r="N42" s="406">
        <f t="shared" si="46"/>
        <v>1.0711042021420287</v>
      </c>
      <c r="O42" s="406">
        <f t="shared" si="5"/>
        <v>2.2987480578988296E-2</v>
      </c>
      <c r="P42">
        <f t="shared" si="6"/>
        <v>0.2</v>
      </c>
      <c r="Q42" s="406">
        <f t="shared" si="34"/>
        <v>0.22298748057898832</v>
      </c>
      <c r="R42" s="9">
        <f t="shared" si="39"/>
        <v>0.40885720226787275</v>
      </c>
      <c r="S42" s="9">
        <f t="shared" si="7"/>
        <v>1.6716421184631222E-4</v>
      </c>
      <c r="T42" s="9">
        <f t="shared" si="40"/>
        <v>1.6716421184631222E-4</v>
      </c>
      <c r="U42" s="406">
        <f t="shared" si="47"/>
        <v>0.49499907665019582</v>
      </c>
      <c r="V42" s="408">
        <f t="shared" si="9"/>
        <v>2.4502408588454643E-4</v>
      </c>
      <c r="W42" s="406">
        <f t="shared" si="41"/>
        <v>2.4502408588454643E-4</v>
      </c>
      <c r="X42" s="406">
        <f t="shared" si="48"/>
        <v>0.49499907665019582</v>
      </c>
      <c r="Y42" s="406">
        <f t="shared" si="11"/>
        <v>1.4701445153072787E-3</v>
      </c>
      <c r="Z42" s="406">
        <f t="shared" si="12"/>
        <v>7.2638238713039094E-2</v>
      </c>
      <c r="AA42" s="406">
        <f t="shared" si="13"/>
        <v>0.14400000000000002</v>
      </c>
      <c r="AB42" s="406">
        <f t="shared" si="14"/>
        <v>0</v>
      </c>
      <c r="AC42" s="406">
        <f t="shared" si="49"/>
        <v>0.21817253225868455</v>
      </c>
      <c r="AD42" s="406">
        <f t="shared" si="50"/>
        <v>0.94986321434286825</v>
      </c>
      <c r="AE42" s="406">
        <f t="shared" si="17"/>
        <v>5.4134407557705939E-3</v>
      </c>
      <c r="AF42" s="406">
        <f t="shared" si="18"/>
        <v>1.4256E-2</v>
      </c>
      <c r="AG42" s="406">
        <f t="shared" si="51"/>
        <v>1.9686492221263195E-2</v>
      </c>
      <c r="AH42" s="406">
        <f t="shared" si="52"/>
        <v>0</v>
      </c>
      <c r="AI42">
        <f t="shared" si="21"/>
        <v>0</v>
      </c>
      <c r="AJ42" s="407">
        <f t="shared" si="22"/>
        <v>0.35991089999999998</v>
      </c>
      <c r="AK42">
        <f t="shared" si="23"/>
        <v>4.8000000000000001E-2</v>
      </c>
      <c r="AL42" s="407">
        <f t="shared" si="24"/>
        <v>0.1215</v>
      </c>
      <c r="AM42" s="407">
        <f t="shared" si="25"/>
        <v>0.31645971316818772</v>
      </c>
      <c r="AN42" s="407">
        <f t="shared" si="42"/>
        <v>0.16949999999999998</v>
      </c>
      <c r="AO42" s="407">
        <f t="shared" si="53"/>
        <v>0.99066959335666693</v>
      </c>
      <c r="AP42">
        <f t="shared" si="27"/>
        <v>5.0489999999999995</v>
      </c>
      <c r="AQ42" s="10">
        <f t="shared" si="43"/>
        <v>0.83597288261491087</v>
      </c>
      <c r="AR42" s="63">
        <f t="shared" si="54"/>
        <v>10.908626612934228</v>
      </c>
      <c r="AS42" s="63">
        <f t="shared" si="44"/>
        <v>0.78745968885052786</v>
      </c>
      <c r="AT42" s="10"/>
      <c r="AU42">
        <f t="shared" si="45"/>
        <v>83.597288261491087</v>
      </c>
      <c r="BD42">
        <v>9.9984190000000002</v>
      </c>
      <c r="BE42">
        <v>3.6920000000000002</v>
      </c>
      <c r="BF42">
        <v>5.1137540000000001</v>
      </c>
      <c r="BG42">
        <v>94.441363374789603</v>
      </c>
      <c r="BH42">
        <v>1111.2391205219994</v>
      </c>
    </row>
    <row r="43" spans="1:60" x14ac:dyDescent="0.25">
      <c r="A43" s="33" t="s">
        <v>140</v>
      </c>
      <c r="B43" s="5">
        <f>GmTop</f>
        <v>100</v>
      </c>
      <c r="C43" s="416" t="s">
        <v>137</v>
      </c>
      <c r="D43" s="31" t="s">
        <v>182</v>
      </c>
      <c r="G43">
        <v>34</v>
      </c>
      <c r="H43">
        <f t="shared" si="0"/>
        <v>1.02</v>
      </c>
      <c r="I43" s="406">
        <f t="shared" si="1"/>
        <v>0.21360500000000002</v>
      </c>
      <c r="J43" s="407">
        <f t="shared" si="2"/>
        <v>1.4165384210526315</v>
      </c>
      <c r="K43" s="407">
        <f t="shared" si="31"/>
        <v>1.7282692105263158</v>
      </c>
      <c r="L43" s="407">
        <f t="shared" si="32"/>
        <v>0.31173078947368427</v>
      </c>
      <c r="M43" s="63">
        <f t="shared" si="3"/>
        <v>0</v>
      </c>
      <c r="N43" s="406">
        <f t="shared" si="46"/>
        <v>1.0989154160018522</v>
      </c>
      <c r="O43" s="406">
        <f t="shared" si="5"/>
        <v>2.4199058868434892E-2</v>
      </c>
      <c r="P43">
        <f t="shared" si="6"/>
        <v>0.2</v>
      </c>
      <c r="Q43" s="406">
        <f t="shared" si="34"/>
        <v>0.22419905886843491</v>
      </c>
      <c r="R43" s="9">
        <f t="shared" si="39"/>
        <v>0.40891941935609216</v>
      </c>
      <c r="S43" s="9">
        <f t="shared" si="7"/>
        <v>1.6721509152652357E-4</v>
      </c>
      <c r="T43" s="9">
        <f t="shared" si="40"/>
        <v>1.6721509152652357E-4</v>
      </c>
      <c r="U43" s="406">
        <f t="shared" si="47"/>
        <v>0.50789036378486563</v>
      </c>
      <c r="V43" s="408">
        <f t="shared" si="9"/>
        <v>2.5795262162552312E-4</v>
      </c>
      <c r="W43" s="406">
        <f t="shared" si="41"/>
        <v>2.5795262162552312E-4</v>
      </c>
      <c r="X43" s="406">
        <f t="shared" si="48"/>
        <v>0.50789036378486563</v>
      </c>
      <c r="Y43" s="406">
        <f t="shared" si="11"/>
        <v>1.5477157297531388E-3</v>
      </c>
      <c r="Z43" s="406">
        <f t="shared" si="12"/>
        <v>7.4886336376563195E-2</v>
      </c>
      <c r="AA43" s="406">
        <f t="shared" si="13"/>
        <v>0.14400000000000002</v>
      </c>
      <c r="AB43" s="406">
        <f t="shared" si="14"/>
        <v>0</v>
      </c>
      <c r="AC43" s="406">
        <f t="shared" si="49"/>
        <v>0.22050230708414056</v>
      </c>
      <c r="AD43" s="406">
        <f t="shared" si="50"/>
        <v>0.97450626981102628</v>
      </c>
      <c r="AE43" s="406">
        <f t="shared" si="17"/>
        <v>5.6979748194060046E-3</v>
      </c>
      <c r="AF43" s="406">
        <f t="shared" si="18"/>
        <v>1.4688E-2</v>
      </c>
      <c r="AG43" s="406">
        <f t="shared" si="51"/>
        <v>2.04045771821235E-2</v>
      </c>
      <c r="AH43" s="406">
        <f t="shared" si="52"/>
        <v>0</v>
      </c>
      <c r="AI43">
        <f t="shared" si="21"/>
        <v>0</v>
      </c>
      <c r="AJ43" s="407">
        <f t="shared" si="22"/>
        <v>0.35990820000000001</v>
      </c>
      <c r="AK43">
        <f t="shared" si="23"/>
        <v>4.8000000000000001E-2</v>
      </c>
      <c r="AL43" s="407">
        <f t="shared" si="24"/>
        <v>0.1215</v>
      </c>
      <c r="AM43" s="407">
        <f t="shared" si="25"/>
        <v>0.31645971316818772</v>
      </c>
      <c r="AN43" s="407">
        <f t="shared" si="42"/>
        <v>0.16949999999999998</v>
      </c>
      <c r="AO43" s="407">
        <f t="shared" si="53"/>
        <v>0.99493931084785103</v>
      </c>
      <c r="AP43">
        <f t="shared" si="27"/>
        <v>5.202</v>
      </c>
      <c r="AQ43" s="10">
        <f t="shared" si="43"/>
        <v>0.83944665891657322</v>
      </c>
      <c r="AR43" s="63">
        <f t="shared" si="54"/>
        <v>11.025115354207028</v>
      </c>
      <c r="AS43" s="63">
        <f t="shared" si="44"/>
        <v>0.81618308728494005</v>
      </c>
      <c r="AT43" s="10"/>
      <c r="AU43">
        <f t="shared" si="45"/>
        <v>83.944665891657323</v>
      </c>
      <c r="BD43">
        <v>9.998246</v>
      </c>
      <c r="BE43">
        <v>4.2430000000000003</v>
      </c>
      <c r="BF43">
        <v>5.1120590000000004</v>
      </c>
      <c r="BG43">
        <v>94.267178615859891</v>
      </c>
      <c r="BH43">
        <v>1319.0970775599953</v>
      </c>
    </row>
    <row r="44" spans="1:60" x14ac:dyDescent="0.25">
      <c r="A44" s="33" t="s">
        <v>170</v>
      </c>
      <c r="B44" s="5">
        <f>VthTop</f>
        <v>3.8</v>
      </c>
      <c r="C44" s="416" t="s">
        <v>0</v>
      </c>
      <c r="D44" s="31" t="s">
        <v>183</v>
      </c>
      <c r="G44">
        <v>35</v>
      </c>
      <c r="H44">
        <f t="shared" si="0"/>
        <v>1.0499999999999998</v>
      </c>
      <c r="I44" s="406">
        <f t="shared" si="1"/>
        <v>0.21363750000000001</v>
      </c>
      <c r="J44" s="407">
        <f t="shared" si="2"/>
        <v>1.4167539473684208</v>
      </c>
      <c r="K44" s="407">
        <f t="shared" si="31"/>
        <v>1.7583769736842103</v>
      </c>
      <c r="L44" s="407">
        <f t="shared" si="32"/>
        <v>0.34162302631578945</v>
      </c>
      <c r="M44" s="63">
        <f t="shared" si="3"/>
        <v>0</v>
      </c>
      <c r="N44" s="406">
        <f t="shared" si="46"/>
        <v>1.1268389321232499</v>
      </c>
      <c r="O44" s="406">
        <f t="shared" si="5"/>
        <v>2.5447018392125327E-2</v>
      </c>
      <c r="P44">
        <f t="shared" si="6"/>
        <v>0.2</v>
      </c>
      <c r="Q44" s="406">
        <f t="shared" si="34"/>
        <v>0.22544701839212533</v>
      </c>
      <c r="R44" s="9">
        <f t="shared" si="39"/>
        <v>0.40898163644431135</v>
      </c>
      <c r="S44" s="9">
        <f t="shared" si="7"/>
        <v>1.6726597894866686E-4</v>
      </c>
      <c r="T44" s="9">
        <f t="shared" si="40"/>
        <v>1.6726597894866686E-4</v>
      </c>
      <c r="U44" s="406">
        <f t="shared" si="47"/>
        <v>0.5208355108166548</v>
      </c>
      <c r="V44" s="408">
        <f t="shared" si="9"/>
        <v>2.7126962932764575E-4</v>
      </c>
      <c r="W44" s="406">
        <f t="shared" si="41"/>
        <v>2.7126962932764575E-4</v>
      </c>
      <c r="X44" s="406">
        <f t="shared" si="48"/>
        <v>0.5208355108166548</v>
      </c>
      <c r="Y44" s="406">
        <f t="shared" si="11"/>
        <v>1.6276177759658745E-3</v>
      </c>
      <c r="Z44" s="406">
        <f t="shared" si="12"/>
        <v>7.7134434040087269E-2</v>
      </c>
      <c r="AA44" s="406">
        <f t="shared" si="13"/>
        <v>0.14400000000000002</v>
      </c>
      <c r="AB44" s="406">
        <f t="shared" si="14"/>
        <v>0</v>
      </c>
      <c r="AC44" s="406">
        <f t="shared" si="49"/>
        <v>0.22283458972392012</v>
      </c>
      <c r="AD44" s="406">
        <f t="shared" si="50"/>
        <v>0.99924789197727126</v>
      </c>
      <c r="AE44" s="406">
        <f t="shared" si="17"/>
        <v>5.9909780977261224E-3</v>
      </c>
      <c r="AF44" s="406">
        <f t="shared" si="18"/>
        <v>1.5119999999999996E-2</v>
      </c>
      <c r="AG44" s="406">
        <f t="shared" si="51"/>
        <v>2.1131233578934011E-2</v>
      </c>
      <c r="AH44" s="406">
        <f t="shared" si="52"/>
        <v>0</v>
      </c>
      <c r="AI44">
        <f t="shared" si="21"/>
        <v>0</v>
      </c>
      <c r="AJ44" s="407">
        <f t="shared" si="22"/>
        <v>0.35990549999999999</v>
      </c>
      <c r="AK44">
        <f t="shared" si="23"/>
        <v>4.8000000000000001E-2</v>
      </c>
      <c r="AL44" s="407">
        <f t="shared" si="24"/>
        <v>0.1215</v>
      </c>
      <c r="AM44" s="407">
        <f t="shared" si="25"/>
        <v>0.31645971316818772</v>
      </c>
      <c r="AN44" s="407">
        <f t="shared" si="42"/>
        <v>0.16949999999999998</v>
      </c>
      <c r="AO44" s="407">
        <f t="shared" si="53"/>
        <v>0.99925687730325574</v>
      </c>
      <c r="AP44">
        <f t="shared" si="27"/>
        <v>5.3549999999999986</v>
      </c>
      <c r="AQ44" s="10">
        <f t="shared" si="43"/>
        <v>0.84274213387996677</v>
      </c>
      <c r="AR44" s="63">
        <f t="shared" si="54"/>
        <v>11.141729486196006</v>
      </c>
      <c r="AS44" s="63">
        <f t="shared" si="44"/>
        <v>0.84524934315736044</v>
      </c>
      <c r="AT44" s="10"/>
      <c r="AU44">
        <f t="shared" si="45"/>
        <v>84.274213387996681</v>
      </c>
      <c r="BD44">
        <v>9.9981469999999995</v>
      </c>
      <c r="BE44">
        <v>4.8490000000000002</v>
      </c>
      <c r="BF44">
        <v>5.1107740000000002</v>
      </c>
      <c r="BG44">
        <v>93.953815994681278</v>
      </c>
      <c r="BH44">
        <v>1594.7983209009985</v>
      </c>
    </row>
    <row r="45" spans="1:60" x14ac:dyDescent="0.25">
      <c r="A45" s="38" t="s">
        <v>235</v>
      </c>
      <c r="B45" s="5">
        <f>VspTop</f>
        <v>3.86</v>
      </c>
      <c r="C45" s="417" t="s">
        <v>0</v>
      </c>
      <c r="G45">
        <v>36</v>
      </c>
      <c r="H45">
        <f t="shared" si="0"/>
        <v>1.08</v>
      </c>
      <c r="I45" s="406">
        <f t="shared" si="1"/>
        <v>0.21367</v>
      </c>
      <c r="J45" s="407">
        <f t="shared" si="2"/>
        <v>1.4169694736842102</v>
      </c>
      <c r="K45" s="407">
        <f t="shared" si="31"/>
        <v>1.7884847368421051</v>
      </c>
      <c r="L45" s="407">
        <f t="shared" si="32"/>
        <v>0.37151526315789496</v>
      </c>
      <c r="M45" s="63">
        <f t="shared" si="3"/>
        <v>0</v>
      </c>
      <c r="N45" s="406">
        <f t="shared" si="46"/>
        <v>1.1548666044668288</v>
      </c>
      <c r="O45" s="406">
        <f t="shared" si="5"/>
        <v>2.6731380832149532E-2</v>
      </c>
      <c r="P45">
        <f t="shared" si="6"/>
        <v>0.2</v>
      </c>
      <c r="Q45" s="406">
        <f t="shared" si="34"/>
        <v>0.22673138083214955</v>
      </c>
      <c r="R45" s="9">
        <f t="shared" si="39"/>
        <v>0.40904385353253059</v>
      </c>
      <c r="S45" s="9">
        <f t="shared" si="7"/>
        <v>1.6731687411274235E-4</v>
      </c>
      <c r="T45" s="9">
        <f t="shared" si="40"/>
        <v>1.6731687411274235E-4</v>
      </c>
      <c r="U45" s="406">
        <f t="shared" si="47"/>
        <v>0.53383076390525652</v>
      </c>
      <c r="V45" s="408">
        <f t="shared" si="9"/>
        <v>2.8497528449166978E-4</v>
      </c>
      <c r="W45" s="406">
        <f t="shared" si="41"/>
        <v>2.8497528449166978E-4</v>
      </c>
      <c r="X45" s="406">
        <f t="shared" si="48"/>
        <v>0.53383076390525652</v>
      </c>
      <c r="Y45" s="406">
        <f t="shared" si="11"/>
        <v>1.7098517069500186E-3</v>
      </c>
      <c r="Z45" s="406">
        <f t="shared" si="12"/>
        <v>7.938253170361137E-2</v>
      </c>
      <c r="AA45" s="406">
        <f t="shared" si="13"/>
        <v>0.14400000000000002</v>
      </c>
      <c r="AB45" s="406">
        <f t="shared" si="14"/>
        <v>0</v>
      </c>
      <c r="AC45" s="406">
        <f t="shared" si="49"/>
        <v>0.22516938466190481</v>
      </c>
      <c r="AD45" s="406">
        <f t="shared" si="50"/>
        <v>1.0240808511153174</v>
      </c>
      <c r="AE45" s="406">
        <f t="shared" si="17"/>
        <v>6.2924495377264383E-3</v>
      </c>
      <c r="AF45" s="406">
        <f t="shared" si="18"/>
        <v>1.5552E-2</v>
      </c>
      <c r="AG45" s="406">
        <f t="shared" si="51"/>
        <v>2.1866464517653769E-2</v>
      </c>
      <c r="AH45" s="406">
        <f t="shared" si="52"/>
        <v>0</v>
      </c>
      <c r="AI45">
        <f t="shared" si="21"/>
        <v>0</v>
      </c>
      <c r="AJ45" s="407">
        <f t="shared" si="22"/>
        <v>0.35990279999999997</v>
      </c>
      <c r="AK45">
        <f t="shared" si="23"/>
        <v>4.8000000000000001E-2</v>
      </c>
      <c r="AL45" s="407">
        <f t="shared" si="24"/>
        <v>0.1215</v>
      </c>
      <c r="AM45" s="407">
        <f t="shared" si="25"/>
        <v>0.31645971316818772</v>
      </c>
      <c r="AN45" s="407">
        <f t="shared" si="42"/>
        <v>0.16949999999999998</v>
      </c>
      <c r="AO45" s="407">
        <f t="shared" si="53"/>
        <v>1.0036223221703124</v>
      </c>
      <c r="AP45">
        <f t="shared" si="27"/>
        <v>5.508</v>
      </c>
      <c r="AQ45" s="10">
        <f t="shared" si="43"/>
        <v>0.84587215404780924</v>
      </c>
      <c r="AR45" s="63">
        <f t="shared" si="54"/>
        <v>11.258469233095241</v>
      </c>
      <c r="AS45" s="63">
        <f t="shared" si="44"/>
        <v>0.87465858070615077</v>
      </c>
      <c r="AT45" s="10"/>
      <c r="AU45">
        <f t="shared" si="45"/>
        <v>84.58721540478092</v>
      </c>
      <c r="BD45">
        <v>9.9979859999999992</v>
      </c>
      <c r="BE45">
        <v>5.4960000000000004</v>
      </c>
      <c r="BF45">
        <v>5.1097890000000001</v>
      </c>
      <c r="BG45">
        <v>93.599771362833366</v>
      </c>
      <c r="BH45">
        <v>1920.3056923499939</v>
      </c>
    </row>
    <row r="46" spans="1:60" x14ac:dyDescent="0.25">
      <c r="A46" s="118" t="s">
        <v>377</v>
      </c>
      <c r="B46" s="5">
        <f>VsdTop</f>
        <v>0.8</v>
      </c>
      <c r="C46" s="417" t="s">
        <v>0</v>
      </c>
      <c r="G46">
        <v>37</v>
      </c>
      <c r="H46">
        <f t="shared" si="0"/>
        <v>1.1099999999999999</v>
      </c>
      <c r="I46" s="406">
        <f t="shared" si="1"/>
        <v>0.21370249999999999</v>
      </c>
      <c r="J46" s="407">
        <f t="shared" si="2"/>
        <v>1.4171849999999997</v>
      </c>
      <c r="K46" s="407">
        <f t="shared" si="31"/>
        <v>1.8185924999999998</v>
      </c>
      <c r="L46" s="407">
        <f t="shared" si="32"/>
        <v>0.40140750000000003</v>
      </c>
      <c r="M46" s="63">
        <f t="shared" si="3"/>
        <v>0</v>
      </c>
      <c r="N46" s="406">
        <f t="shared" si="46"/>
        <v>1.1829910299823705</v>
      </c>
      <c r="O46" s="406">
        <f t="shared" si="5"/>
        <v>2.8052168509822992E-2</v>
      </c>
      <c r="P46">
        <f t="shared" si="6"/>
        <v>0.2</v>
      </c>
      <c r="Q46" s="406">
        <f t="shared" si="34"/>
        <v>0.22805216850982302</v>
      </c>
      <c r="R46" s="9">
        <f t="shared" si="39"/>
        <v>0.40910607062074983</v>
      </c>
      <c r="S46" s="9">
        <f t="shared" si="7"/>
        <v>1.6736777701874993E-4</v>
      </c>
      <c r="T46" s="9">
        <f t="shared" si="40"/>
        <v>1.6736777701874993E-4</v>
      </c>
      <c r="U46" s="406">
        <f t="shared" si="47"/>
        <v>0.54687271153198835</v>
      </c>
      <c r="V46" s="408">
        <f t="shared" si="9"/>
        <v>2.9906976261834934E-4</v>
      </c>
      <c r="W46" s="406">
        <f t="shared" si="41"/>
        <v>2.9906976261834934E-4</v>
      </c>
      <c r="X46" s="406">
        <f t="shared" si="48"/>
        <v>0.54687271153198835</v>
      </c>
      <c r="Y46" s="406">
        <f t="shared" si="11"/>
        <v>1.794418575710096E-3</v>
      </c>
      <c r="Z46" s="406">
        <f t="shared" si="12"/>
        <v>8.1630629367135471E-2</v>
      </c>
      <c r="AA46" s="406">
        <f t="shared" si="13"/>
        <v>0.14400000000000002</v>
      </c>
      <c r="AB46" s="406">
        <f t="shared" si="14"/>
        <v>0</v>
      </c>
      <c r="AC46" s="406">
        <f t="shared" si="49"/>
        <v>0.22750669639126617</v>
      </c>
      <c r="AD46" s="406">
        <f t="shared" si="50"/>
        <v>1.0489985769296355</v>
      </c>
      <c r="AE46" s="406">
        <f t="shared" si="17"/>
        <v>6.6023880864024024E-3</v>
      </c>
      <c r="AF46" s="406">
        <f t="shared" si="18"/>
        <v>1.5983999999999998E-2</v>
      </c>
      <c r="AG46" s="406">
        <f t="shared" si="51"/>
        <v>2.2610273174120021E-2</v>
      </c>
      <c r="AH46" s="406">
        <f t="shared" si="52"/>
        <v>0</v>
      </c>
      <c r="AI46">
        <f t="shared" si="21"/>
        <v>0</v>
      </c>
      <c r="AJ46" s="407">
        <f t="shared" si="22"/>
        <v>0.3599001</v>
      </c>
      <c r="AK46">
        <f t="shared" si="23"/>
        <v>4.8000000000000001E-2</v>
      </c>
      <c r="AL46" s="407">
        <f t="shared" si="24"/>
        <v>0.1215</v>
      </c>
      <c r="AM46" s="407">
        <f t="shared" si="25"/>
        <v>0.31645971316818772</v>
      </c>
      <c r="AN46" s="407">
        <f t="shared" si="42"/>
        <v>0.16949999999999998</v>
      </c>
      <c r="AO46" s="407">
        <f t="shared" si="53"/>
        <v>1.0080356756148463</v>
      </c>
      <c r="AP46">
        <f t="shared" si="27"/>
        <v>5.6609999999999987</v>
      </c>
      <c r="AQ46" s="10">
        <f t="shared" si="43"/>
        <v>0.84884836059571511</v>
      </c>
      <c r="AR46" s="63">
        <f t="shared" si="54"/>
        <v>11.375334819563308</v>
      </c>
      <c r="AS46" s="63">
        <f t="shared" si="44"/>
        <v>0.90441092696480085</v>
      </c>
      <c r="AT46" s="10"/>
      <c r="AU46">
        <f t="shared" si="45"/>
        <v>84.884836059571512</v>
      </c>
      <c r="BD46">
        <v>9.9978999999999996</v>
      </c>
      <c r="BE46">
        <v>6.1950000000000003</v>
      </c>
      <c r="BF46">
        <v>5.109191</v>
      </c>
      <c r="BG46">
        <v>93.156651672159526</v>
      </c>
      <c r="BH46">
        <v>2325.1351758999972</v>
      </c>
    </row>
    <row r="47" spans="1:60" x14ac:dyDescent="0.25">
      <c r="A47" s="33" t="s">
        <v>161</v>
      </c>
      <c r="B47" s="5">
        <f>ThetaJaTop</f>
        <v>50</v>
      </c>
      <c r="C47" s="416" t="s">
        <v>380</v>
      </c>
      <c r="D47" s="31" t="s">
        <v>184</v>
      </c>
      <c r="G47">
        <v>38</v>
      </c>
      <c r="H47">
        <f t="shared" si="0"/>
        <v>1.1400000000000001</v>
      </c>
      <c r="I47" s="406">
        <f t="shared" si="1"/>
        <v>0.21373500000000001</v>
      </c>
      <c r="J47" s="407">
        <f t="shared" si="2"/>
        <v>1.4174005263157896</v>
      </c>
      <c r="K47" s="407">
        <f t="shared" si="31"/>
        <v>1.848700263157895</v>
      </c>
      <c r="L47" s="407">
        <f t="shared" si="32"/>
        <v>0.43129973684210532</v>
      </c>
      <c r="M47" s="63">
        <f t="shared" si="3"/>
        <v>0</v>
      </c>
      <c r="N47" s="406">
        <f t="shared" si="46"/>
        <v>1.2112054688064657</v>
      </c>
      <c r="O47" s="406">
        <f t="shared" si="5"/>
        <v>2.9409404386659208E-2</v>
      </c>
      <c r="P47">
        <f t="shared" si="6"/>
        <v>0.2</v>
      </c>
      <c r="Q47" s="406">
        <f t="shared" si="34"/>
        <v>0.22940940438665922</v>
      </c>
      <c r="R47" s="9">
        <f t="shared" si="39"/>
        <v>0.40916828770896918</v>
      </c>
      <c r="S47" s="9">
        <f t="shared" si="7"/>
        <v>1.6741868766668977E-4</v>
      </c>
      <c r="T47" s="9">
        <f t="shared" si="40"/>
        <v>1.6741868766668977E-4</v>
      </c>
      <c r="U47" s="406">
        <f t="shared" si="47"/>
        <v>0.55995824773677549</v>
      </c>
      <c r="V47" s="408">
        <f t="shared" si="9"/>
        <v>3.1355323920844005E-4</v>
      </c>
      <c r="W47" s="406">
        <f t="shared" si="41"/>
        <v>3.1355323920844005E-4</v>
      </c>
      <c r="X47" s="406">
        <f t="shared" si="48"/>
        <v>0.55995824773677549</v>
      </c>
      <c r="Y47" s="406">
        <f t="shared" si="11"/>
        <v>1.8813194352506402E-3</v>
      </c>
      <c r="Z47" s="406">
        <f t="shared" si="12"/>
        <v>8.3878727030659586E-2</v>
      </c>
      <c r="AA47" s="406">
        <f t="shared" si="13"/>
        <v>0.14400000000000002</v>
      </c>
      <c r="AB47" s="406">
        <f t="shared" si="14"/>
        <v>0</v>
      </c>
      <c r="AC47" s="406">
        <f t="shared" si="49"/>
        <v>0.22984652941449271</v>
      </c>
      <c r="AD47" s="406">
        <f t="shared" si="50"/>
        <v>1.0739950877253817</v>
      </c>
      <c r="AE47" s="406">
        <f t="shared" si="17"/>
        <v>6.9207926907495021E-3</v>
      </c>
      <c r="AF47" s="406">
        <f t="shared" si="18"/>
        <v>1.6416E-2</v>
      </c>
      <c r="AG47" s="406">
        <f t="shared" si="51"/>
        <v>2.336266279409379E-2</v>
      </c>
      <c r="AH47" s="406">
        <f t="shared" si="52"/>
        <v>0</v>
      </c>
      <c r="AI47">
        <f t="shared" si="21"/>
        <v>0</v>
      </c>
      <c r="AJ47" s="407">
        <f t="shared" si="22"/>
        <v>0.35989739999999998</v>
      </c>
      <c r="AK47">
        <f t="shared" si="23"/>
        <v>4.8000000000000001E-2</v>
      </c>
      <c r="AL47" s="407">
        <f t="shared" si="24"/>
        <v>0.1215</v>
      </c>
      <c r="AM47" s="407">
        <f t="shared" si="25"/>
        <v>0.31645971316818772</v>
      </c>
      <c r="AN47" s="407">
        <f t="shared" si="42"/>
        <v>0.16949999999999998</v>
      </c>
      <c r="AO47" s="407">
        <f t="shared" si="53"/>
        <v>1.0124969685221208</v>
      </c>
      <c r="AP47">
        <f t="shared" si="27"/>
        <v>5.8140000000000001</v>
      </c>
      <c r="AQ47" s="10">
        <f t="shared" si="43"/>
        <v>0.85168132745229685</v>
      </c>
      <c r="AR47" s="63">
        <f t="shared" si="54"/>
        <v>11.492326470724636</v>
      </c>
      <c r="AS47" s="63">
        <f t="shared" si="44"/>
        <v>0.93450651176375166</v>
      </c>
      <c r="AT47" s="10"/>
      <c r="AU47">
        <f t="shared" si="45"/>
        <v>85.168132745229684</v>
      </c>
      <c r="BD47">
        <v>9.9976269999999996</v>
      </c>
      <c r="BE47">
        <v>6.9470000000000001</v>
      </c>
      <c r="BF47">
        <v>5.1086669999999996</v>
      </c>
      <c r="BG47">
        <v>92.656807634751772</v>
      </c>
      <c r="BH47">
        <v>2812.6290012010018</v>
      </c>
    </row>
    <row r="48" spans="1:60" x14ac:dyDescent="0.25">
      <c r="A48" s="34" t="s">
        <v>130</v>
      </c>
      <c r="B48" s="25" t="s">
        <v>201</v>
      </c>
      <c r="C48" s="34" t="s">
        <v>148</v>
      </c>
      <c r="D48" s="27" t="s">
        <v>188</v>
      </c>
      <c r="G48">
        <v>39</v>
      </c>
      <c r="H48">
        <f t="shared" si="0"/>
        <v>1.17</v>
      </c>
      <c r="I48" s="406">
        <f t="shared" si="1"/>
        <v>0.21376749999999997</v>
      </c>
      <c r="J48" s="407">
        <f t="shared" si="2"/>
        <v>1.4176160526315786</v>
      </c>
      <c r="K48" s="407">
        <f t="shared" si="31"/>
        <v>1.8788080263157894</v>
      </c>
      <c r="L48" s="407">
        <f t="shared" si="32"/>
        <v>0.46119197368421061</v>
      </c>
      <c r="M48" s="63">
        <f t="shared" si="3"/>
        <v>0</v>
      </c>
      <c r="N48" s="406">
        <f t="shared" si="46"/>
        <v>1.2395037741195309</v>
      </c>
      <c r="O48" s="406">
        <f t="shared" si="5"/>
        <v>3.0803112065369929E-2</v>
      </c>
      <c r="P48">
        <f t="shared" si="6"/>
        <v>0.2</v>
      </c>
      <c r="Q48" s="406">
        <f t="shared" si="34"/>
        <v>0.23080311206536994</v>
      </c>
      <c r="R48" s="9">
        <f t="shared" si="39"/>
        <v>0.40923050479718831</v>
      </c>
      <c r="S48" s="9">
        <f t="shared" si="7"/>
        <v>1.6746960605656155E-4</v>
      </c>
      <c r="T48" s="9">
        <f t="shared" si="40"/>
        <v>1.6746960605656155E-4</v>
      </c>
      <c r="U48" s="406">
        <f t="shared" si="47"/>
        <v>0.57308453980429086</v>
      </c>
      <c r="V48" s="408">
        <f t="shared" si="9"/>
        <v>3.2842588976269584E-4</v>
      </c>
      <c r="W48" s="406">
        <f t="shared" si="41"/>
        <v>3.2842588976269584E-4</v>
      </c>
      <c r="X48" s="406">
        <f t="shared" si="48"/>
        <v>0.57308453980429086</v>
      </c>
      <c r="Y48" s="406">
        <f t="shared" si="11"/>
        <v>1.970555338576175E-3</v>
      </c>
      <c r="Z48" s="406">
        <f t="shared" si="12"/>
        <v>8.612682469418366E-2</v>
      </c>
      <c r="AA48" s="406">
        <f t="shared" si="13"/>
        <v>0.14400000000000002</v>
      </c>
      <c r="AB48" s="406">
        <f t="shared" si="14"/>
        <v>0</v>
      </c>
      <c r="AC48" s="406">
        <f t="shared" si="49"/>
        <v>0.23218888824341707</v>
      </c>
      <c r="AD48" s="406">
        <f t="shared" si="50"/>
        <v>1.0990649281520475</v>
      </c>
      <c r="AE48" s="406">
        <f t="shared" si="17"/>
        <v>7.2476622977631919E-3</v>
      </c>
      <c r="AF48" s="406">
        <f t="shared" si="18"/>
        <v>1.6847999999999998E-2</v>
      </c>
      <c r="AG48" s="406">
        <f t="shared" si="51"/>
        <v>2.4123636693306711E-2</v>
      </c>
      <c r="AH48" s="406">
        <f t="shared" si="52"/>
        <v>0</v>
      </c>
      <c r="AI48">
        <f t="shared" si="21"/>
        <v>0</v>
      </c>
      <c r="AJ48" s="407">
        <f t="shared" si="22"/>
        <v>0.35989469999999996</v>
      </c>
      <c r="AK48">
        <f t="shared" si="23"/>
        <v>4.8000000000000001E-2</v>
      </c>
      <c r="AL48" s="407">
        <f t="shared" si="24"/>
        <v>0.1215</v>
      </c>
      <c r="AM48" s="407">
        <f t="shared" si="25"/>
        <v>0.31645971316818772</v>
      </c>
      <c r="AN48" s="407">
        <f t="shared" si="42"/>
        <v>0.16949999999999998</v>
      </c>
      <c r="AO48" s="407">
        <f t="shared" si="53"/>
        <v>1.0170062324979128</v>
      </c>
      <c r="AP48">
        <f t="shared" si="27"/>
        <v>5.9669999999999996</v>
      </c>
      <c r="AQ48" s="10">
        <f t="shared" si="43"/>
        <v>0.85438068085254726</v>
      </c>
      <c r="AR48" s="63">
        <f t="shared" si="54"/>
        <v>11.609444412170854</v>
      </c>
      <c r="AS48" s="63">
        <f t="shared" si="44"/>
        <v>0.96494546773226841</v>
      </c>
      <c r="AT48" s="10"/>
      <c r="AU48">
        <f t="shared" si="45"/>
        <v>85.438068085254727</v>
      </c>
      <c r="BD48">
        <v>9.9975280000000009</v>
      </c>
      <c r="BE48">
        <v>7.7530000000000001</v>
      </c>
      <c r="BF48">
        <v>5.10853</v>
      </c>
      <c r="BG48">
        <v>92.034336419785248</v>
      </c>
      <c r="BH48">
        <v>3427.976173640001</v>
      </c>
    </row>
    <row r="49" spans="1:60" x14ac:dyDescent="0.25">
      <c r="A49" s="33" t="s">
        <v>139</v>
      </c>
      <c r="B49" s="5">
        <f>RdsonBot*1000</f>
        <v>6</v>
      </c>
      <c r="C49" s="416" t="s">
        <v>613</v>
      </c>
      <c r="D49" s="31" t="s">
        <v>192</v>
      </c>
      <c r="G49">
        <v>40</v>
      </c>
      <c r="H49">
        <f t="shared" si="0"/>
        <v>1.2000000000000002</v>
      </c>
      <c r="I49" s="406">
        <f t="shared" si="1"/>
        <v>0.21379999999999999</v>
      </c>
      <c r="J49" s="407">
        <f t="shared" si="2"/>
        <v>1.4178315789473681</v>
      </c>
      <c r="K49" s="407">
        <f t="shared" si="31"/>
        <v>1.9089157894736841</v>
      </c>
      <c r="L49" s="407">
        <f t="shared" si="32"/>
        <v>0.49108421052631612</v>
      </c>
      <c r="M49" s="63">
        <f t="shared" si="3"/>
        <v>0</v>
      </c>
      <c r="N49" s="406">
        <f t="shared" si="46"/>
        <v>1.2678803303894126</v>
      </c>
      <c r="O49" s="406">
        <f t="shared" si="5"/>
        <v>3.2233315790894321E-2</v>
      </c>
      <c r="P49">
        <f t="shared" si="6"/>
        <v>0.2</v>
      </c>
      <c r="Q49" s="406">
        <f t="shared" si="34"/>
        <v>0.23223331579089435</v>
      </c>
      <c r="R49" s="9">
        <f t="shared" si="39"/>
        <v>0.40929272188540761</v>
      </c>
      <c r="S49" s="9">
        <f t="shared" si="7"/>
        <v>1.6752053218836564E-4</v>
      </c>
      <c r="T49" s="9">
        <f t="shared" si="40"/>
        <v>1.6752053218836564E-4</v>
      </c>
      <c r="U49" s="406">
        <f t="shared" si="47"/>
        <v>0.58624899981311063</v>
      </c>
      <c r="V49" s="408">
        <f t="shared" si="9"/>
        <v>3.436878897818726E-4</v>
      </c>
      <c r="W49" s="406">
        <f t="shared" si="41"/>
        <v>3.436878897818726E-4</v>
      </c>
      <c r="X49" s="406">
        <f t="shared" si="48"/>
        <v>0.58624899981311063</v>
      </c>
      <c r="Y49" s="406">
        <f t="shared" si="11"/>
        <v>2.0621273386912356E-3</v>
      </c>
      <c r="Z49" s="406">
        <f t="shared" si="12"/>
        <v>8.8374922357707775E-2</v>
      </c>
      <c r="AA49" s="406">
        <f t="shared" si="13"/>
        <v>0.14400000000000002</v>
      </c>
      <c r="AB49" s="406">
        <f t="shared" si="14"/>
        <v>0</v>
      </c>
      <c r="AC49" s="406">
        <f t="shared" si="49"/>
        <v>0.23453377739924333</v>
      </c>
      <c r="AD49" s="406">
        <f t="shared" si="50"/>
        <v>1.1242031143910309</v>
      </c>
      <c r="AE49" s="406">
        <f t="shared" si="17"/>
        <v>7.5829958544389609E-3</v>
      </c>
      <c r="AF49" s="406">
        <f t="shared" si="18"/>
        <v>1.7280000000000004E-2</v>
      </c>
      <c r="AG49" s="406">
        <f t="shared" si="51"/>
        <v>2.4893198257509429E-2</v>
      </c>
      <c r="AH49" s="406">
        <f t="shared" si="52"/>
        <v>0</v>
      </c>
      <c r="AI49">
        <f t="shared" si="21"/>
        <v>0</v>
      </c>
      <c r="AJ49" s="407">
        <f t="shared" si="22"/>
        <v>0.35989199999999999</v>
      </c>
      <c r="AK49">
        <f t="shared" si="23"/>
        <v>4.8000000000000001E-2</v>
      </c>
      <c r="AL49" s="407">
        <f t="shared" si="24"/>
        <v>0.1215</v>
      </c>
      <c r="AM49" s="407">
        <f t="shared" si="25"/>
        <v>0.31645971316818772</v>
      </c>
      <c r="AN49" s="407">
        <f t="shared" si="42"/>
        <v>0.16949999999999998</v>
      </c>
      <c r="AO49" s="407">
        <f t="shared" si="53"/>
        <v>1.0215634998696173</v>
      </c>
      <c r="AP49">
        <f t="shared" si="27"/>
        <v>6.12</v>
      </c>
      <c r="AQ49" s="10">
        <f t="shared" si="43"/>
        <v>0.85695520317248908</v>
      </c>
      <c r="AR49" s="63">
        <f t="shared" si="54"/>
        <v>11.726688869962167</v>
      </c>
      <c r="AS49" s="63">
        <f t="shared" si="44"/>
        <v>0.99572793030037721</v>
      </c>
      <c r="AT49" s="10"/>
      <c r="AU49">
        <f t="shared" si="45"/>
        <v>85.695520317248906</v>
      </c>
      <c r="BD49">
        <v>9.9970090000000003</v>
      </c>
      <c r="BE49">
        <v>8.6120000000000001</v>
      </c>
      <c r="BF49">
        <v>5.1085419999999999</v>
      </c>
      <c r="BG49">
        <v>91.346378256658895</v>
      </c>
      <c r="BH49">
        <v>4167.8065612820019</v>
      </c>
    </row>
    <row r="50" spans="1:60" x14ac:dyDescent="0.25">
      <c r="A50" s="33" t="s">
        <v>153</v>
      </c>
      <c r="B50" s="5">
        <v>4500</v>
      </c>
      <c r="C50" s="416" t="s">
        <v>614</v>
      </c>
      <c r="D50" s="31" t="s">
        <v>185</v>
      </c>
      <c r="G50">
        <v>41</v>
      </c>
      <c r="H50">
        <f t="shared" si="0"/>
        <v>1.23</v>
      </c>
      <c r="I50" s="406">
        <f t="shared" si="1"/>
        <v>0.21383250000000001</v>
      </c>
      <c r="J50" s="407">
        <f t="shared" si="2"/>
        <v>1.4180471052631578</v>
      </c>
      <c r="K50" s="407">
        <f t="shared" si="31"/>
        <v>1.9390235526315789</v>
      </c>
      <c r="L50" s="407">
        <f t="shared" si="32"/>
        <v>0.52097644736842108</v>
      </c>
      <c r="M50" s="63">
        <f t="shared" si="3"/>
        <v>0</v>
      </c>
      <c r="N50" s="406">
        <f t="shared" si="46"/>
        <v>1.2963299989054105</v>
      </c>
      <c r="O50" s="406">
        <f t="shared" si="5"/>
        <v>3.370004045145613E-2</v>
      </c>
      <c r="P50">
        <f t="shared" si="6"/>
        <v>0.2</v>
      </c>
      <c r="Q50" s="406">
        <f t="shared" si="34"/>
        <v>0.23370004045145615</v>
      </c>
      <c r="R50" s="9">
        <f t="shared" si="39"/>
        <v>0.4093549389736269</v>
      </c>
      <c r="S50" s="9">
        <f t="shared" si="7"/>
        <v>1.6757146606210179E-4</v>
      </c>
      <c r="T50" s="9">
        <f t="shared" si="40"/>
        <v>1.6757146606210179E-4</v>
      </c>
      <c r="U50" s="406">
        <f t="shared" si="47"/>
        <v>0.59944925954306116</v>
      </c>
      <c r="V50" s="408">
        <f t="shared" si="9"/>
        <v>3.5933941476672435E-4</v>
      </c>
      <c r="W50" s="406">
        <f t="shared" si="41"/>
        <v>3.5933941476672435E-4</v>
      </c>
      <c r="X50" s="406">
        <f t="shared" si="48"/>
        <v>0.59944925954306116</v>
      </c>
      <c r="Y50" s="406">
        <f t="shared" si="11"/>
        <v>2.156036488600346E-3</v>
      </c>
      <c r="Z50" s="406">
        <f t="shared" si="12"/>
        <v>9.0623020021231862E-2</v>
      </c>
      <c r="AA50" s="406">
        <f t="shared" si="13"/>
        <v>0.14400000000000002</v>
      </c>
      <c r="AB50" s="406">
        <f t="shared" si="14"/>
        <v>0</v>
      </c>
      <c r="AC50" s="406">
        <f t="shared" si="49"/>
        <v>0.23688120141257402</v>
      </c>
      <c r="AD50" s="406">
        <f t="shared" si="50"/>
        <v>1.1494050858141254</v>
      </c>
      <c r="AE50" s="406">
        <f t="shared" si="17"/>
        <v>7.926792307772261E-3</v>
      </c>
      <c r="AF50" s="406">
        <f t="shared" si="18"/>
        <v>1.7711999999999999E-2</v>
      </c>
      <c r="AG50" s="406">
        <f t="shared" si="51"/>
        <v>2.5671350942521265E-2</v>
      </c>
      <c r="AH50" s="406">
        <f t="shared" si="52"/>
        <v>0</v>
      </c>
      <c r="AI50">
        <f t="shared" si="21"/>
        <v>0</v>
      </c>
      <c r="AJ50" s="407">
        <f t="shared" si="22"/>
        <v>0.35988929999999997</v>
      </c>
      <c r="AK50">
        <f t="shared" si="23"/>
        <v>4.8000000000000001E-2</v>
      </c>
      <c r="AL50" s="407">
        <f t="shared" si="24"/>
        <v>0.1215</v>
      </c>
      <c r="AM50" s="407">
        <f t="shared" si="25"/>
        <v>0.31645971316818772</v>
      </c>
      <c r="AN50" s="407">
        <f t="shared" si="42"/>
        <v>0.16949999999999998</v>
      </c>
      <c r="AO50" s="407">
        <f t="shared" si="53"/>
        <v>1.0261688036873802</v>
      </c>
      <c r="AP50">
        <f t="shared" si="27"/>
        <v>6.2729999999999997</v>
      </c>
      <c r="AQ50" s="10">
        <f t="shared" si="43"/>
        <v>0.85941292340451392</v>
      </c>
      <c r="AR50" s="63">
        <f t="shared" si="54"/>
        <v>11.8440600706287</v>
      </c>
      <c r="AS50" s="63">
        <f t="shared" si="44"/>
        <v>1.0268540377008506</v>
      </c>
      <c r="AT50" s="10"/>
      <c r="AU50">
        <f t="shared" si="45"/>
        <v>85.941292340451398</v>
      </c>
      <c r="BD50">
        <v>9.9969590000000004</v>
      </c>
      <c r="BE50">
        <v>9.5229999999999997</v>
      </c>
      <c r="BF50">
        <v>5.1087540000000002</v>
      </c>
      <c r="BG50">
        <v>90.547826191651922</v>
      </c>
      <c r="BH50">
        <v>5078.5816240809982</v>
      </c>
    </row>
    <row r="51" spans="1:60" x14ac:dyDescent="0.25">
      <c r="A51" s="33" t="s">
        <v>138</v>
      </c>
      <c r="B51" s="5">
        <f>QgBot*1000000000</f>
        <v>27</v>
      </c>
      <c r="C51" s="416" t="s">
        <v>136</v>
      </c>
      <c r="D51" s="31" t="s">
        <v>180</v>
      </c>
      <c r="G51">
        <v>42</v>
      </c>
      <c r="H51">
        <f t="shared" si="0"/>
        <v>1.26</v>
      </c>
      <c r="I51" s="406">
        <f t="shared" si="1"/>
        <v>0.21386499999999997</v>
      </c>
      <c r="J51" s="407">
        <f t="shared" si="2"/>
        <v>1.4182626315789471</v>
      </c>
      <c r="K51" s="407">
        <f t="shared" si="31"/>
        <v>1.9691313157894736</v>
      </c>
      <c r="L51" s="407">
        <f t="shared" si="32"/>
        <v>0.55086868421052648</v>
      </c>
      <c r="M51" s="63">
        <f t="shared" si="3"/>
        <v>0</v>
      </c>
      <c r="N51" s="406">
        <f t="shared" si="46"/>
        <v>1.3248480696584684</v>
      </c>
      <c r="O51" s="406">
        <f t="shared" si="5"/>
        <v>3.5203311579649899E-2</v>
      </c>
      <c r="P51">
        <f t="shared" si="6"/>
        <v>0.2</v>
      </c>
      <c r="Q51" s="406">
        <f t="shared" si="34"/>
        <v>0.23520331157964991</v>
      </c>
      <c r="R51" s="9">
        <f t="shared" si="39"/>
        <v>0.40941715606184609</v>
      </c>
      <c r="S51" s="9">
        <f t="shared" si="7"/>
        <v>1.6762240767777004E-4</v>
      </c>
      <c r="T51" s="9">
        <f t="shared" si="40"/>
        <v>1.6762240767777004E-4</v>
      </c>
      <c r="U51" s="406">
        <f t="shared" si="47"/>
        <v>0.612683148305881</v>
      </c>
      <c r="V51" s="408">
        <f t="shared" si="9"/>
        <v>3.7538064021800619E-4</v>
      </c>
      <c r="W51" s="406">
        <f t="shared" si="41"/>
        <v>3.7538064021800619E-4</v>
      </c>
      <c r="X51" s="406">
        <f t="shared" si="48"/>
        <v>0.612683148305881</v>
      </c>
      <c r="Y51" s="406">
        <f t="shared" si="11"/>
        <v>2.252283841308037E-3</v>
      </c>
      <c r="Z51" s="406">
        <f t="shared" si="12"/>
        <v>9.2871117684755963E-2</v>
      </c>
      <c r="AA51" s="406">
        <f t="shared" si="13"/>
        <v>0.14400000000000002</v>
      </c>
      <c r="AB51" s="406">
        <f t="shared" si="14"/>
        <v>0</v>
      </c>
      <c r="AC51" s="406">
        <f t="shared" si="49"/>
        <v>0.23923116482343787</v>
      </c>
      <c r="AD51" s="406">
        <f t="shared" si="50"/>
        <v>1.1746666622747766</v>
      </c>
      <c r="AE51" s="406">
        <f t="shared" si="17"/>
        <v>8.2790506047585848E-3</v>
      </c>
      <c r="AF51" s="406">
        <f t="shared" si="18"/>
        <v>1.8144E-2</v>
      </c>
      <c r="AG51" s="406">
        <f t="shared" si="51"/>
        <v>2.6458098274281538E-2</v>
      </c>
      <c r="AH51" s="406">
        <f t="shared" si="52"/>
        <v>0</v>
      </c>
      <c r="AI51">
        <f t="shared" si="21"/>
        <v>0</v>
      </c>
      <c r="AJ51" s="407">
        <f t="shared" si="22"/>
        <v>0.35988659999999995</v>
      </c>
      <c r="AK51">
        <f t="shared" si="23"/>
        <v>4.8000000000000001E-2</v>
      </c>
      <c r="AL51" s="407">
        <f t="shared" si="24"/>
        <v>0.1215</v>
      </c>
      <c r="AM51" s="407">
        <f t="shared" si="25"/>
        <v>0.31645971316818772</v>
      </c>
      <c r="AN51" s="407">
        <f t="shared" si="42"/>
        <v>0.16949999999999998</v>
      </c>
      <c r="AO51" s="407">
        <f t="shared" si="53"/>
        <v>1.0308221777252651</v>
      </c>
      <c r="AP51">
        <f t="shared" si="27"/>
        <v>6.4259999999999993</v>
      </c>
      <c r="AQ51" s="10">
        <f t="shared" si="43"/>
        <v>0.86176119623658209</v>
      </c>
      <c r="AR51" s="63">
        <f t="shared" si="54"/>
        <v>11.961558241171893</v>
      </c>
      <c r="AS51" s="63">
        <f t="shared" si="44"/>
        <v>1.0583239309712615</v>
      </c>
      <c r="AT51" s="10"/>
      <c r="AU51">
        <f t="shared" si="45"/>
        <v>86.176119623658209</v>
      </c>
      <c r="BD51">
        <v>9.9964639999999996</v>
      </c>
      <c r="BE51">
        <v>10.493</v>
      </c>
      <c r="BF51">
        <v>5.1092279999999999</v>
      </c>
      <c r="BG51">
        <v>89.626660259106615</v>
      </c>
      <c r="BH51">
        <v>6204.9221585439973</v>
      </c>
    </row>
    <row r="52" spans="1:60" x14ac:dyDescent="0.25">
      <c r="A52" s="33" t="s">
        <v>169</v>
      </c>
      <c r="B52" s="5">
        <f>RGateBot</f>
        <v>1</v>
      </c>
      <c r="C52" s="415" t="s">
        <v>208</v>
      </c>
      <c r="D52" s="31" t="s">
        <v>181</v>
      </c>
      <c r="G52">
        <v>43</v>
      </c>
      <c r="H52">
        <f t="shared" si="0"/>
        <v>1.29</v>
      </c>
      <c r="I52" s="406">
        <f t="shared" si="1"/>
        <v>0.21389749999999999</v>
      </c>
      <c r="J52" s="407">
        <f t="shared" si="2"/>
        <v>1.4184781578947367</v>
      </c>
      <c r="K52" s="407">
        <f t="shared" si="31"/>
        <v>1.9992390789473684</v>
      </c>
      <c r="L52" s="407">
        <f t="shared" si="32"/>
        <v>0.58076092105263166</v>
      </c>
      <c r="M52" s="63">
        <f t="shared" si="3"/>
        <v>0</v>
      </c>
      <c r="N52" s="406">
        <f t="shared" si="46"/>
        <v>1.3534302187535827</v>
      </c>
      <c r="O52" s="406">
        <f t="shared" si="5"/>
        <v>3.6743155353555504E-2</v>
      </c>
      <c r="P52">
        <f t="shared" si="6"/>
        <v>0.2</v>
      </c>
      <c r="Q52" s="406">
        <f t="shared" si="34"/>
        <v>0.2367431553535555</v>
      </c>
      <c r="R52" s="9">
        <f t="shared" si="39"/>
        <v>0.40947937315006538</v>
      </c>
      <c r="S52" s="9">
        <f t="shared" si="7"/>
        <v>1.6767335703537047E-4</v>
      </c>
      <c r="T52" s="9">
        <f t="shared" si="40"/>
        <v>1.6767335703537047E-4</v>
      </c>
      <c r="U52" s="406">
        <f t="shared" si="47"/>
        <v>0.62594867332431758</v>
      </c>
      <c r="V52" s="408">
        <f t="shared" si="9"/>
        <v>3.9181174163647326E-4</v>
      </c>
      <c r="W52" s="406">
        <f t="shared" si="41"/>
        <v>3.9181174163647326E-4</v>
      </c>
      <c r="X52" s="406">
        <f t="shared" si="48"/>
        <v>0.62594867332431758</v>
      </c>
      <c r="Y52" s="406">
        <f t="shared" si="11"/>
        <v>2.3508704498188394E-3</v>
      </c>
      <c r="Z52" s="406">
        <f t="shared" si="12"/>
        <v>9.5119215348280051E-2</v>
      </c>
      <c r="AA52" s="406">
        <f t="shared" si="13"/>
        <v>0.14400000000000002</v>
      </c>
      <c r="AB52" s="406">
        <f t="shared" si="14"/>
        <v>0</v>
      </c>
      <c r="AC52" s="406">
        <f t="shared" si="49"/>
        <v>0.24158367218131685</v>
      </c>
      <c r="AD52" s="406">
        <f t="shared" si="50"/>
        <v>1.1999840063096248</v>
      </c>
      <c r="AE52" s="406">
        <f t="shared" si="17"/>
        <v>8.6397696923933859E-3</v>
      </c>
      <c r="AF52" s="406">
        <f t="shared" si="18"/>
        <v>1.8575999999999999E-2</v>
      </c>
      <c r="AG52" s="406">
        <f t="shared" si="51"/>
        <v>2.7253443848902041E-2</v>
      </c>
      <c r="AH52" s="406">
        <f t="shared" si="52"/>
        <v>0</v>
      </c>
      <c r="AI52">
        <f t="shared" si="21"/>
        <v>0</v>
      </c>
      <c r="AJ52" s="407">
        <f t="shared" si="22"/>
        <v>0.35988390000000003</v>
      </c>
      <c r="AK52">
        <f t="shared" si="23"/>
        <v>4.8000000000000001E-2</v>
      </c>
      <c r="AL52" s="407">
        <f t="shared" si="24"/>
        <v>0.1215</v>
      </c>
      <c r="AM52" s="407">
        <f t="shared" si="25"/>
        <v>0.31645971316818772</v>
      </c>
      <c r="AN52" s="407">
        <f t="shared" si="42"/>
        <v>0.16949999999999998</v>
      </c>
      <c r="AO52" s="407">
        <f t="shared" si="53"/>
        <v>1.0355236564824462</v>
      </c>
      <c r="AP52">
        <f t="shared" si="27"/>
        <v>6.5789999999999997</v>
      </c>
      <c r="AQ52" s="10">
        <f t="shared" si="43"/>
        <v>0.86400677137553084</v>
      </c>
      <c r="AR52" s="63">
        <f t="shared" si="54"/>
        <v>12.079183609065842</v>
      </c>
      <c r="AS52" s="63">
        <f t="shared" si="44"/>
        <v>1.0901377539560817</v>
      </c>
      <c r="AT52" s="10"/>
      <c r="AU52">
        <f t="shared" si="45"/>
        <v>86.400677137553089</v>
      </c>
      <c r="BD52">
        <v>9.9959819999999997</v>
      </c>
      <c r="BE52">
        <v>11.519</v>
      </c>
      <c r="BF52">
        <v>5.1101260000000002</v>
      </c>
      <c r="BG52">
        <v>88.591390420220321</v>
      </c>
      <c r="BH52">
        <v>7580.3207309739973</v>
      </c>
    </row>
    <row r="53" spans="1:60" x14ac:dyDescent="0.25">
      <c r="A53" s="33" t="s">
        <v>144</v>
      </c>
      <c r="B53" s="5">
        <f>VsdBot</f>
        <v>0.8</v>
      </c>
      <c r="C53" s="416" t="s">
        <v>0</v>
      </c>
      <c r="D53" s="31" t="s">
        <v>186</v>
      </c>
      <c r="G53">
        <v>44</v>
      </c>
      <c r="H53">
        <f t="shared" si="0"/>
        <v>1.32</v>
      </c>
      <c r="I53" s="406">
        <f t="shared" si="1"/>
        <v>0.21392999999999998</v>
      </c>
      <c r="J53" s="407">
        <f t="shared" si="2"/>
        <v>1.418693684210526</v>
      </c>
      <c r="K53" s="407">
        <f t="shared" si="31"/>
        <v>2.0293468421052632</v>
      </c>
      <c r="L53" s="407">
        <f t="shared" si="32"/>
        <v>0.61065315789473706</v>
      </c>
      <c r="M53" s="63">
        <f t="shared" si="3"/>
        <v>0</v>
      </c>
      <c r="N53" s="406">
        <f t="shared" si="46"/>
        <v>1.382072470652282</v>
      </c>
      <c r="O53" s="406">
        <f t="shared" si="5"/>
        <v>3.8319598597881588E-2</v>
      </c>
      <c r="P53">
        <f t="shared" si="6"/>
        <v>0.2</v>
      </c>
      <c r="Q53" s="406">
        <f t="shared" si="34"/>
        <v>0.2383195985978816</v>
      </c>
      <c r="R53" s="9">
        <f t="shared" si="39"/>
        <v>0.40954159023828457</v>
      </c>
      <c r="S53" s="9">
        <f t="shared" si="7"/>
        <v>1.6772431413490299E-4</v>
      </c>
      <c r="T53" s="9">
        <f t="shared" si="40"/>
        <v>1.6772431413490299E-4</v>
      </c>
      <c r="U53" s="406">
        <f t="shared" si="47"/>
        <v>0.63924400233625955</v>
      </c>
      <c r="V53" s="408">
        <f t="shared" si="9"/>
        <v>4.0863289452287984E-4</v>
      </c>
      <c r="W53" s="406">
        <f t="shared" si="41"/>
        <v>4.0863289452287984E-4</v>
      </c>
      <c r="X53" s="406">
        <f t="shared" si="48"/>
        <v>0.63924400233625955</v>
      </c>
      <c r="Y53" s="406">
        <f t="shared" si="11"/>
        <v>2.4517973671372788E-3</v>
      </c>
      <c r="Z53" s="406">
        <f t="shared" si="12"/>
        <v>9.7367313011804152E-2</v>
      </c>
      <c r="AA53" s="406">
        <f t="shared" si="13"/>
        <v>0.14400000000000002</v>
      </c>
      <c r="AB53" s="406">
        <f t="shared" si="14"/>
        <v>0</v>
      </c>
      <c r="AC53" s="406">
        <f t="shared" si="49"/>
        <v>0.24393872804517425</v>
      </c>
      <c r="AD53" s="406">
        <f t="shared" si="50"/>
        <v>1.2253535896271017</v>
      </c>
      <c r="AE53" s="406">
        <f t="shared" si="17"/>
        <v>9.0089485176721423E-3</v>
      </c>
      <c r="AF53" s="406">
        <f t="shared" si="18"/>
        <v>1.9008000000000001E-2</v>
      </c>
      <c r="AG53" s="406">
        <f t="shared" si="51"/>
        <v>2.8057391332721206E-2</v>
      </c>
      <c r="AH53" s="406">
        <f t="shared" si="52"/>
        <v>0</v>
      </c>
      <c r="AI53">
        <f t="shared" si="21"/>
        <v>0</v>
      </c>
      <c r="AJ53" s="407">
        <f t="shared" si="22"/>
        <v>0.35988120000000001</v>
      </c>
      <c r="AK53">
        <f t="shared" si="23"/>
        <v>4.8000000000000001E-2</v>
      </c>
      <c r="AL53" s="407">
        <f t="shared" si="24"/>
        <v>0.1215</v>
      </c>
      <c r="AM53" s="407">
        <f t="shared" si="25"/>
        <v>0.31645971316818772</v>
      </c>
      <c r="AN53" s="407">
        <f t="shared" si="42"/>
        <v>0.16949999999999998</v>
      </c>
      <c r="AO53" s="407">
        <f t="shared" si="53"/>
        <v>1.0402732751844348</v>
      </c>
      <c r="AP53">
        <f t="shared" si="27"/>
        <v>6.7320000000000002</v>
      </c>
      <c r="AQ53" s="10">
        <f t="shared" si="43"/>
        <v>0.8661558544903647</v>
      </c>
      <c r="AR53" s="63">
        <f t="shared" si="54"/>
        <v>12.196936402258713</v>
      </c>
      <c r="AS53" s="63">
        <f t="shared" si="44"/>
        <v>1.1222956533088482</v>
      </c>
      <c r="AT53" s="10"/>
      <c r="AU53">
        <f t="shared" si="45"/>
        <v>86.615585449036473</v>
      </c>
      <c r="BD53">
        <v>9.9955739999999995</v>
      </c>
      <c r="BE53">
        <v>12.605</v>
      </c>
      <c r="BF53">
        <v>5.1111979999999999</v>
      </c>
      <c r="BG53">
        <v>87.386508098290477</v>
      </c>
      <c r="BH53">
        <v>9299.4335961019988</v>
      </c>
    </row>
    <row r="54" spans="1:60" x14ac:dyDescent="0.25">
      <c r="A54" s="33" t="s">
        <v>145</v>
      </c>
      <c r="B54" s="5">
        <f>QrrBot*1000000000</f>
        <v>50</v>
      </c>
      <c r="C54" s="416" t="s">
        <v>136</v>
      </c>
      <c r="D54" s="31" t="s">
        <v>196</v>
      </c>
      <c r="G54">
        <v>45</v>
      </c>
      <c r="H54">
        <f t="shared" si="0"/>
        <v>1.35</v>
      </c>
      <c r="I54" s="406">
        <f t="shared" si="1"/>
        <v>0.21396249999999997</v>
      </c>
      <c r="J54" s="407">
        <f t="shared" si="2"/>
        <v>1.4189092105263152</v>
      </c>
      <c r="K54" s="407">
        <f t="shared" si="31"/>
        <v>2.0594546052631575</v>
      </c>
      <c r="L54" s="407">
        <f t="shared" si="32"/>
        <v>0.64054539473684247</v>
      </c>
      <c r="M54" s="63">
        <f t="shared" si="3"/>
        <v>0</v>
      </c>
      <c r="N54" s="406">
        <f t="shared" si="46"/>
        <v>1.4107711646388184</v>
      </c>
      <c r="O54" s="406">
        <f t="shared" si="5"/>
        <v>3.9932668785137938E-2</v>
      </c>
      <c r="P54">
        <f t="shared" si="6"/>
        <v>0.2</v>
      </c>
      <c r="Q54" s="406">
        <f t="shared" si="34"/>
        <v>0.23993266878513794</v>
      </c>
      <c r="R54" s="9">
        <f t="shared" si="39"/>
        <v>0.40960380732650375</v>
      </c>
      <c r="S54" s="9">
        <f t="shared" si="7"/>
        <v>1.6777527897636761E-4</v>
      </c>
      <c r="T54" s="9">
        <f t="shared" si="40"/>
        <v>1.6777527897636761E-4</v>
      </c>
      <c r="U54" s="406">
        <f t="shared" si="47"/>
        <v>0.65256744814461976</v>
      </c>
      <c r="V54" s="408">
        <f t="shared" si="9"/>
        <v>4.2584427437798099E-4</v>
      </c>
      <c r="W54" s="406">
        <f t="shared" si="41"/>
        <v>4.2584427437798099E-4</v>
      </c>
      <c r="X54" s="406">
        <f t="shared" si="48"/>
        <v>0.65256744814461976</v>
      </c>
      <c r="Y54" s="406">
        <f t="shared" si="11"/>
        <v>2.555065646267886E-3</v>
      </c>
      <c r="Z54" s="406">
        <f t="shared" si="12"/>
        <v>9.9615410675328239E-2</v>
      </c>
      <c r="AA54" s="406">
        <f t="shared" si="13"/>
        <v>0.14400000000000002</v>
      </c>
      <c r="AB54" s="406">
        <f t="shared" si="14"/>
        <v>0</v>
      </c>
      <c r="AC54" s="406">
        <f t="shared" si="49"/>
        <v>0.2462963369834818</v>
      </c>
      <c r="AD54" s="406">
        <f t="shared" si="50"/>
        <v>1.2507721633448623</v>
      </c>
      <c r="AE54" s="406">
        <f t="shared" si="17"/>
        <v>9.3865860275903212E-3</v>
      </c>
      <c r="AF54" s="406">
        <f t="shared" si="18"/>
        <v>1.9440000000000002E-2</v>
      </c>
      <c r="AG54" s="406">
        <f t="shared" si="51"/>
        <v>2.8869944462359555E-2</v>
      </c>
      <c r="AH54" s="406">
        <f t="shared" si="52"/>
        <v>0</v>
      </c>
      <c r="AI54">
        <f t="shared" si="21"/>
        <v>0</v>
      </c>
      <c r="AJ54" s="407">
        <f t="shared" si="22"/>
        <v>0.35987849999999999</v>
      </c>
      <c r="AK54">
        <f t="shared" si="23"/>
        <v>4.8000000000000001E-2</v>
      </c>
      <c r="AL54" s="407">
        <f t="shared" si="24"/>
        <v>0.1215</v>
      </c>
      <c r="AM54" s="407">
        <f t="shared" si="25"/>
        <v>0.31645971316818772</v>
      </c>
      <c r="AN54" s="407">
        <f t="shared" si="42"/>
        <v>0.16949999999999998</v>
      </c>
      <c r="AO54" s="407">
        <f t="shared" si="53"/>
        <v>1.0450710697843335</v>
      </c>
      <c r="AP54">
        <f t="shared" si="27"/>
        <v>6.8849999999999998</v>
      </c>
      <c r="AQ54" s="10">
        <f t="shared" si="43"/>
        <v>0.86821416093402615</v>
      </c>
      <c r="AR54" s="63">
        <f t="shared" si="54"/>
        <v>12.31481684917409</v>
      </c>
      <c r="AS54" s="63">
        <f t="shared" si="44"/>
        <v>1.1547977784943821</v>
      </c>
      <c r="AT54" s="10"/>
      <c r="AU54">
        <f t="shared" si="45"/>
        <v>86.821416093402618</v>
      </c>
      <c r="BD54">
        <v>9.9949670000000008</v>
      </c>
      <c r="BE54">
        <v>13.75</v>
      </c>
      <c r="BF54">
        <v>5.1122329999999998</v>
      </c>
      <c r="BG54">
        <v>85.985113444924963</v>
      </c>
      <c r="BH54">
        <v>11457.230537720005</v>
      </c>
    </row>
    <row r="55" spans="1:60" x14ac:dyDescent="0.25">
      <c r="A55" s="33" t="s">
        <v>146</v>
      </c>
      <c r="B55" s="5">
        <f>TrrBot*1000000000</f>
        <v>40</v>
      </c>
      <c r="C55" s="416" t="s">
        <v>147</v>
      </c>
      <c r="D55" s="31" t="s">
        <v>187</v>
      </c>
      <c r="G55">
        <v>46</v>
      </c>
      <c r="H55">
        <f t="shared" si="0"/>
        <v>1.3800000000000001</v>
      </c>
      <c r="I55" s="406">
        <f t="shared" si="1"/>
        <v>0.21399499999999996</v>
      </c>
      <c r="J55" s="407">
        <f t="shared" si="2"/>
        <v>1.4191247368421047</v>
      </c>
      <c r="K55" s="407">
        <f t="shared" si="31"/>
        <v>2.0895623684210527</v>
      </c>
      <c r="L55" s="407">
        <f t="shared" si="32"/>
        <v>0.67043763157894776</v>
      </c>
      <c r="M55" s="63">
        <f t="shared" si="3"/>
        <v>0</v>
      </c>
      <c r="N55" s="406">
        <f t="shared" si="46"/>
        <v>1.4395229249858319</v>
      </c>
      <c r="O55" s="406">
        <f t="shared" si="5"/>
        <v>4.158239403683664E-2</v>
      </c>
      <c r="P55">
        <f t="shared" si="6"/>
        <v>0.2</v>
      </c>
      <c r="Q55" s="406">
        <f t="shared" si="34"/>
        <v>0.24158239403683665</v>
      </c>
      <c r="R55" s="9">
        <f t="shared" si="39"/>
        <v>0.409666024414723</v>
      </c>
      <c r="S55" s="9">
        <f t="shared" si="7"/>
        <v>1.6782625155976441E-4</v>
      </c>
      <c r="T55" s="9">
        <f t="shared" si="40"/>
        <v>1.6782625155976441E-4</v>
      </c>
      <c r="U55" s="406">
        <f t="shared" si="47"/>
        <v>0.66591745487149667</v>
      </c>
      <c r="V55" s="408">
        <f t="shared" si="9"/>
        <v>4.4344605670253179E-4</v>
      </c>
      <c r="W55" s="406">
        <f t="shared" si="41"/>
        <v>4.4344605670253179E-4</v>
      </c>
      <c r="X55" s="406">
        <f t="shared" si="48"/>
        <v>0.66591745487149667</v>
      </c>
      <c r="Y55" s="406">
        <f t="shared" si="11"/>
        <v>2.6606763402151909E-3</v>
      </c>
      <c r="Z55" s="406">
        <f t="shared" si="12"/>
        <v>0.10186350833885235</v>
      </c>
      <c r="AA55" s="406">
        <f t="shared" si="13"/>
        <v>0.14400000000000002</v>
      </c>
      <c r="AB55" s="406">
        <f t="shared" si="14"/>
        <v>0</v>
      </c>
      <c r="AC55" s="406">
        <f t="shared" si="49"/>
        <v>0.24865650357424771</v>
      </c>
      <c r="AD55" s="406">
        <f t="shared" si="50"/>
        <v>1.2762367315107466</v>
      </c>
      <c r="AE55" s="406">
        <f t="shared" si="17"/>
        <v>9.7726811691434008E-3</v>
      </c>
      <c r="AF55" s="406">
        <f t="shared" si="18"/>
        <v>1.9872000000000004E-2</v>
      </c>
      <c r="AG55" s="406">
        <f t="shared" si="51"/>
        <v>2.9691107044776607E-2</v>
      </c>
      <c r="AH55" s="406">
        <f t="shared" si="52"/>
        <v>0</v>
      </c>
      <c r="AI55">
        <f t="shared" si="21"/>
        <v>0</v>
      </c>
      <c r="AJ55" s="407">
        <f t="shared" si="22"/>
        <v>0.35987580000000002</v>
      </c>
      <c r="AK55">
        <f t="shared" si="23"/>
        <v>4.8000000000000001E-2</v>
      </c>
      <c r="AL55" s="407">
        <f t="shared" si="24"/>
        <v>0.1215</v>
      </c>
      <c r="AM55" s="407">
        <f t="shared" si="25"/>
        <v>0.31645971316818772</v>
      </c>
      <c r="AN55" s="407">
        <f t="shared" si="42"/>
        <v>0.16949999999999998</v>
      </c>
      <c r="AO55" s="407">
        <f t="shared" si="53"/>
        <v>1.0499170769641233</v>
      </c>
      <c r="AP55">
        <f t="shared" si="27"/>
        <v>7.0380000000000003</v>
      </c>
      <c r="AQ55" s="10">
        <f t="shared" si="43"/>
        <v>0.87018696322264733</v>
      </c>
      <c r="AR55" s="63">
        <f t="shared" si="54"/>
        <v>12.432825178712385</v>
      </c>
      <c r="AS55" s="63">
        <f t="shared" si="44"/>
        <v>1.1876442817910644</v>
      </c>
      <c r="AT55" s="10"/>
      <c r="AU55">
        <f t="shared" si="45"/>
        <v>87.018696322264731</v>
      </c>
      <c r="BD55">
        <v>9.9943860000000004</v>
      </c>
      <c r="BE55">
        <v>14.954000000000001</v>
      </c>
      <c r="BF55">
        <v>5.1130310000000003</v>
      </c>
      <c r="BG55">
        <v>84.352650264578628</v>
      </c>
      <c r="BH55">
        <v>14183.318533699994</v>
      </c>
    </row>
    <row r="56" spans="1:60" x14ac:dyDescent="0.25">
      <c r="A56" s="33" t="s">
        <v>160</v>
      </c>
      <c r="B56" s="5">
        <f>ThetaJaBot</f>
        <v>40</v>
      </c>
      <c r="C56" s="416" t="s">
        <v>380</v>
      </c>
      <c r="D56" s="31" t="s">
        <v>184</v>
      </c>
      <c r="E56" s="2"/>
      <c r="G56">
        <v>47</v>
      </c>
      <c r="H56">
        <f t="shared" si="0"/>
        <v>1.41</v>
      </c>
      <c r="I56" s="406">
        <f t="shared" si="1"/>
        <v>0.21402750000000001</v>
      </c>
      <c r="J56" s="407">
        <f t="shared" si="2"/>
        <v>1.4193402631578946</v>
      </c>
      <c r="K56" s="407">
        <f t="shared" si="31"/>
        <v>2.119670131578947</v>
      </c>
      <c r="L56" s="407">
        <f t="shared" si="32"/>
        <v>0.7003298684210526</v>
      </c>
      <c r="M56" s="63">
        <f t="shared" si="3"/>
        <v>0</v>
      </c>
      <c r="N56" s="406">
        <f t="shared" si="46"/>
        <v>1.4683246343656751</v>
      </c>
      <c r="O56" s="406">
        <f t="shared" si="5"/>
        <v>4.326880312472238E-2</v>
      </c>
      <c r="P56">
        <f t="shared" si="6"/>
        <v>0.2</v>
      </c>
      <c r="Q56" s="406">
        <f t="shared" si="34"/>
        <v>0.24326880312472238</v>
      </c>
      <c r="R56" s="9">
        <f t="shared" si="39"/>
        <v>0.4097282415029424</v>
      </c>
      <c r="S56" s="9">
        <f t="shared" si="7"/>
        <v>1.6787723188509349E-4</v>
      </c>
      <c r="T56" s="9">
        <f t="shared" si="40"/>
        <v>1.6787723188509349E-4</v>
      </c>
      <c r="U56" s="406">
        <f t="shared" si="47"/>
        <v>0.67929258570757767</v>
      </c>
      <c r="V56" s="408">
        <f t="shared" si="9"/>
        <v>4.6143841699728679E-4</v>
      </c>
      <c r="W56" s="406">
        <f t="shared" si="41"/>
        <v>4.6143841699728679E-4</v>
      </c>
      <c r="X56" s="406">
        <f t="shared" si="48"/>
        <v>0.67929258570757767</v>
      </c>
      <c r="Y56" s="406">
        <f t="shared" si="11"/>
        <v>2.7686305019837209E-3</v>
      </c>
      <c r="Z56" s="406">
        <f t="shared" si="12"/>
        <v>0.1041116060023764</v>
      </c>
      <c r="AA56" s="406">
        <f t="shared" si="13"/>
        <v>0.14400000000000002</v>
      </c>
      <c r="AB56" s="406">
        <f t="shared" si="14"/>
        <v>0</v>
      </c>
      <c r="AC56" s="406">
        <f t="shared" si="49"/>
        <v>0.25101923240504437</v>
      </c>
      <c r="AD56" s="406">
        <f t="shared" si="50"/>
        <v>1.3017445275044588</v>
      </c>
      <c r="AE56" s="406">
        <f t="shared" si="17"/>
        <v>1.016723288932684E-2</v>
      </c>
      <c r="AF56" s="406">
        <f t="shared" si="18"/>
        <v>2.0303999999999996E-2</v>
      </c>
      <c r="AG56" s="406">
        <f t="shared" si="51"/>
        <v>3.0520882957329246E-2</v>
      </c>
      <c r="AH56" s="406">
        <f t="shared" si="52"/>
        <v>0</v>
      </c>
      <c r="AI56">
        <f t="shared" si="21"/>
        <v>0</v>
      </c>
      <c r="AJ56" s="407">
        <f t="shared" si="22"/>
        <v>0.3598731</v>
      </c>
      <c r="AK56">
        <f t="shared" si="23"/>
        <v>4.8000000000000001E-2</v>
      </c>
      <c r="AL56" s="407">
        <f t="shared" si="24"/>
        <v>0.1215</v>
      </c>
      <c r="AM56" s="407">
        <f t="shared" si="25"/>
        <v>0.31645971316818772</v>
      </c>
      <c r="AN56" s="407">
        <f t="shared" si="42"/>
        <v>0.16949999999999998</v>
      </c>
      <c r="AO56" s="407">
        <f t="shared" si="53"/>
        <v>1.0548113341359784</v>
      </c>
      <c r="AP56">
        <f t="shared" si="27"/>
        <v>7.1909999999999989</v>
      </c>
      <c r="AQ56" s="10">
        <f t="shared" si="43"/>
        <v>0.87207913310249108</v>
      </c>
      <c r="AR56" s="63">
        <f t="shared" si="54"/>
        <v>12.550961620252219</v>
      </c>
      <c r="AS56" s="63">
        <f t="shared" si="44"/>
        <v>1.2208353182931699</v>
      </c>
      <c r="AT56" s="10"/>
      <c r="AU56">
        <f t="shared" si="45"/>
        <v>87.207913310249111</v>
      </c>
      <c r="BE56" s="28"/>
      <c r="BF56" s="29"/>
    </row>
    <row r="57" spans="1:60" x14ac:dyDescent="0.25">
      <c r="A57" s="34" t="s">
        <v>363</v>
      </c>
      <c r="B57" s="25" t="s">
        <v>201</v>
      </c>
      <c r="C57" s="34" t="s">
        <v>148</v>
      </c>
      <c r="D57" s="476" t="s">
        <v>390</v>
      </c>
      <c r="G57">
        <v>48</v>
      </c>
      <c r="H57">
        <f t="shared" si="0"/>
        <v>1.44</v>
      </c>
      <c r="I57" s="406">
        <f t="shared" si="1"/>
        <v>0.21406</v>
      </c>
      <c r="J57" s="407">
        <f t="shared" si="2"/>
        <v>1.4195557894736839</v>
      </c>
      <c r="K57" s="407">
        <f t="shared" si="31"/>
        <v>2.1497778947368418</v>
      </c>
      <c r="L57" s="407">
        <f t="shared" si="32"/>
        <v>0.73022210526315801</v>
      </c>
      <c r="M57" s="63">
        <f t="shared" si="3"/>
        <v>0</v>
      </c>
      <c r="N57" s="406">
        <f t="shared" si="46"/>
        <v>1.4971734101139902</v>
      </c>
      <c r="O57" s="406">
        <f t="shared" si="5"/>
        <v>4.4991925472031964E-2</v>
      </c>
      <c r="P57">
        <f t="shared" si="6"/>
        <v>0.2</v>
      </c>
      <c r="Q57" s="406">
        <f t="shared" si="34"/>
        <v>0.24499192547203197</v>
      </c>
      <c r="R57" s="9">
        <f t="shared" si="39"/>
        <v>0.40979045859116159</v>
      </c>
      <c r="S57" s="9">
        <f t="shared" si="7"/>
        <v>1.6792821995235453E-4</v>
      </c>
      <c r="T57" s="9">
        <f t="shared" si="40"/>
        <v>1.6792821995235453E-4</v>
      </c>
      <c r="U57" s="406">
        <f t="shared" si="47"/>
        <v>0.69269151197556977</v>
      </c>
      <c r="V57" s="408">
        <f t="shared" si="9"/>
        <v>4.7982153076300095E-4</v>
      </c>
      <c r="W57" s="406">
        <f t="shared" si="41"/>
        <v>4.7982153076300095E-4</v>
      </c>
      <c r="X57" s="406">
        <f t="shared" si="48"/>
        <v>0.69269151197556977</v>
      </c>
      <c r="Y57" s="406">
        <f t="shared" si="11"/>
        <v>2.8789291845780058E-3</v>
      </c>
      <c r="Z57" s="406">
        <f t="shared" si="12"/>
        <v>0.10635970366590052</v>
      </c>
      <c r="AA57" s="406">
        <f t="shared" si="13"/>
        <v>0.14400000000000002</v>
      </c>
      <c r="AB57" s="406">
        <f t="shared" si="14"/>
        <v>0</v>
      </c>
      <c r="AC57" s="406">
        <f t="shared" si="49"/>
        <v>0.25338452807303657</v>
      </c>
      <c r="AD57" s="406">
        <f t="shared" si="50"/>
        <v>1.3272929929707884</v>
      </c>
      <c r="AE57" s="406">
        <f t="shared" si="17"/>
        <v>1.0570240135136121E-2</v>
      </c>
      <c r="AF57" s="406">
        <f t="shared" si="18"/>
        <v>2.0735999999999997E-2</v>
      </c>
      <c r="AG57" s="406">
        <f t="shared" si="51"/>
        <v>3.1359276147831579E-2</v>
      </c>
      <c r="AH57" s="406">
        <f t="shared" si="52"/>
        <v>0</v>
      </c>
      <c r="AI57">
        <f t="shared" si="21"/>
        <v>0</v>
      </c>
      <c r="AJ57" s="407">
        <f t="shared" si="22"/>
        <v>0.35987039999999998</v>
      </c>
      <c r="AK57">
        <f t="shared" si="23"/>
        <v>4.8000000000000001E-2</v>
      </c>
      <c r="AL57" s="407">
        <f t="shared" si="24"/>
        <v>0.1215</v>
      </c>
      <c r="AM57" s="407">
        <f t="shared" si="25"/>
        <v>0.31645971316818772</v>
      </c>
      <c r="AN57" s="407">
        <f t="shared" si="42"/>
        <v>0.16949999999999998</v>
      </c>
      <c r="AO57" s="407">
        <f t="shared" si="53"/>
        <v>1.0597538794436154</v>
      </c>
      <c r="AP57">
        <f t="shared" si="27"/>
        <v>7.3439999999999994</v>
      </c>
      <c r="AQ57" s="10">
        <f t="shared" si="43"/>
        <v>0.8738951789109537</v>
      </c>
      <c r="AR57" s="63">
        <f t="shared" si="54"/>
        <v>12.669226403651829</v>
      </c>
      <c r="AS57" s="63">
        <f t="shared" si="44"/>
        <v>1.2543710459132631</v>
      </c>
      <c r="AT57" s="10"/>
      <c r="AU57">
        <f t="shared" si="45"/>
        <v>87.389517891095366</v>
      </c>
      <c r="BE57" s="28"/>
      <c r="BF57" s="29"/>
    </row>
    <row r="58" spans="1:60" x14ac:dyDescent="0.25">
      <c r="A58" s="33" t="s">
        <v>364</v>
      </c>
      <c r="B58" s="115">
        <f>VfdSky</f>
        <v>0</v>
      </c>
      <c r="C58" s="416" t="s">
        <v>0</v>
      </c>
      <c r="D58" s="31" t="s">
        <v>367</v>
      </c>
      <c r="G58">
        <v>49</v>
      </c>
      <c r="H58">
        <f t="shared" si="0"/>
        <v>1.47</v>
      </c>
      <c r="I58" s="406">
        <f t="shared" si="1"/>
        <v>0.21409249999999999</v>
      </c>
      <c r="J58" s="407">
        <f t="shared" si="2"/>
        <v>1.4197713157894734</v>
      </c>
      <c r="K58" s="407">
        <f t="shared" si="31"/>
        <v>2.1798856578947365</v>
      </c>
      <c r="L58" s="407">
        <f t="shared" si="32"/>
        <v>0.7601143421052633</v>
      </c>
      <c r="M58" s="63">
        <f t="shared" si="3"/>
        <v>0</v>
      </c>
      <c r="N58" s="406">
        <f t="shared" si="46"/>
        <v>1.5260665830040141</v>
      </c>
      <c r="O58" s="406">
        <f t="shared" si="5"/>
        <v>4.6751791154782951E-2</v>
      </c>
      <c r="P58">
        <f t="shared" si="6"/>
        <v>0.2</v>
      </c>
      <c r="Q58" s="406">
        <f t="shared" si="34"/>
        <v>0.24675179115478296</v>
      </c>
      <c r="R58" s="9">
        <f t="shared" si="39"/>
        <v>0.40985267567938083</v>
      </c>
      <c r="S58" s="9">
        <f t="shared" si="7"/>
        <v>1.6797921576154772E-4</v>
      </c>
      <c r="T58" s="9">
        <f t="shared" si="40"/>
        <v>1.6797921576154772E-4</v>
      </c>
      <c r="U58" s="406">
        <f t="shared" si="47"/>
        <v>0.70611300335033422</v>
      </c>
      <c r="V58" s="408">
        <f t="shared" si="9"/>
        <v>4.9859557350042912E-4</v>
      </c>
      <c r="W58" s="406">
        <f t="shared" si="41"/>
        <v>4.9859557350042912E-4</v>
      </c>
      <c r="X58" s="406">
        <f t="shared" si="48"/>
        <v>0.70611300335033422</v>
      </c>
      <c r="Y58" s="406">
        <f t="shared" si="11"/>
        <v>2.9915734410025747E-3</v>
      </c>
      <c r="Z58" s="406">
        <f t="shared" si="12"/>
        <v>0.1086078013294246</v>
      </c>
      <c r="AA58" s="406">
        <f t="shared" si="13"/>
        <v>0.14400000000000002</v>
      </c>
      <c r="AB58" s="406">
        <f t="shared" si="14"/>
        <v>0</v>
      </c>
      <c r="AC58" s="406">
        <f t="shared" si="49"/>
        <v>0.25575239518500886</v>
      </c>
      <c r="AD58" s="406">
        <f t="shared" si="50"/>
        <v>1.3528797589812327</v>
      </c>
      <c r="AE58" s="406">
        <f t="shared" si="17"/>
        <v>1.0981701853566709E-2</v>
      </c>
      <c r="AF58" s="406">
        <f t="shared" si="18"/>
        <v>2.1167999999999999E-2</v>
      </c>
      <c r="AG58" s="406">
        <f t="shared" si="51"/>
        <v>3.2206290634616094E-2</v>
      </c>
      <c r="AH58" s="406">
        <f t="shared" si="52"/>
        <v>0</v>
      </c>
      <c r="AI58">
        <f t="shared" si="21"/>
        <v>0</v>
      </c>
      <c r="AJ58" s="407">
        <f t="shared" si="22"/>
        <v>0.35986770000000001</v>
      </c>
      <c r="AK58">
        <f t="shared" si="23"/>
        <v>4.8000000000000001E-2</v>
      </c>
      <c r="AL58" s="407">
        <f t="shared" si="24"/>
        <v>0.1215</v>
      </c>
      <c r="AM58" s="407">
        <f t="shared" si="25"/>
        <v>0.31645971316818772</v>
      </c>
      <c r="AN58" s="407">
        <f t="shared" si="42"/>
        <v>0.16949999999999998</v>
      </c>
      <c r="AO58" s="407">
        <f t="shared" si="53"/>
        <v>1.0647447517636699</v>
      </c>
      <c r="AP58">
        <f t="shared" si="27"/>
        <v>7.496999999999999</v>
      </c>
      <c r="AQ58" s="10">
        <f t="shared" si="43"/>
        <v>0.87563927883456949</v>
      </c>
      <c r="AR58" s="63">
        <f t="shared" si="54"/>
        <v>12.787619759250443</v>
      </c>
      <c r="AS58" s="63">
        <f t="shared" si="44"/>
        <v>1.2882516253846439</v>
      </c>
      <c r="AT58" s="10"/>
      <c r="AU58">
        <f t="shared" si="45"/>
        <v>87.563927883456955</v>
      </c>
      <c r="BE58" s="28"/>
      <c r="BF58" s="29"/>
    </row>
    <row r="59" spans="1:60" x14ac:dyDescent="0.25">
      <c r="A59" s="33" t="s">
        <v>365</v>
      </c>
      <c r="B59" s="115">
        <f>QrrSky</f>
        <v>0</v>
      </c>
      <c r="C59" s="416" t="s">
        <v>136</v>
      </c>
      <c r="D59" s="31" t="s">
        <v>368</v>
      </c>
      <c r="G59">
        <v>50</v>
      </c>
      <c r="H59">
        <f t="shared" si="0"/>
        <v>1.5</v>
      </c>
      <c r="I59" s="406">
        <f t="shared" si="1"/>
        <v>0.21412500000000001</v>
      </c>
      <c r="J59" s="407">
        <f t="shared" si="2"/>
        <v>1.4199868421052633</v>
      </c>
      <c r="K59" s="407">
        <f t="shared" si="31"/>
        <v>2.2099934210526317</v>
      </c>
      <c r="L59" s="407">
        <f t="shared" si="32"/>
        <v>0.79000657894736837</v>
      </c>
      <c r="M59" s="63">
        <f t="shared" si="3"/>
        <v>0</v>
      </c>
      <c r="N59" s="406">
        <f t="shared" si="46"/>
        <v>1.5550016782346807</v>
      </c>
      <c r="O59" s="406">
        <f t="shared" si="5"/>
        <v>4.8548430903091695E-2</v>
      </c>
      <c r="P59">
        <f t="shared" si="6"/>
        <v>0.2</v>
      </c>
      <c r="Q59" s="406">
        <f t="shared" si="34"/>
        <v>0.2485484309030917</v>
      </c>
      <c r="R59" s="9">
        <f t="shared" si="39"/>
        <v>0.40991489276760018</v>
      </c>
      <c r="S59" s="9">
        <f t="shared" si="7"/>
        <v>1.6803021931267314E-4</v>
      </c>
      <c r="T59" s="9">
        <f t="shared" si="40"/>
        <v>1.6803021931267314E-4</v>
      </c>
      <c r="U59" s="406">
        <f t="shared" si="47"/>
        <v>0.71955591909894412</v>
      </c>
      <c r="V59" s="408">
        <f t="shared" si="9"/>
        <v>5.1776072071032619E-4</v>
      </c>
      <c r="W59" s="406">
        <f t="shared" si="41"/>
        <v>5.1776072071032619E-4</v>
      </c>
      <c r="X59" s="406">
        <f t="shared" si="48"/>
        <v>0.71955591909894412</v>
      </c>
      <c r="Y59" s="406">
        <f t="shared" si="11"/>
        <v>3.1065643242619572E-3</v>
      </c>
      <c r="Z59" s="406">
        <f t="shared" si="12"/>
        <v>0.11085589899294872</v>
      </c>
      <c r="AA59" s="406">
        <f t="shared" si="13"/>
        <v>0.14400000000000002</v>
      </c>
      <c r="AB59" s="406">
        <f t="shared" si="14"/>
        <v>0</v>
      </c>
      <c r="AC59" s="406">
        <f t="shared" si="49"/>
        <v>0.25812283835739436</v>
      </c>
      <c r="AD59" s="406">
        <f t="shared" si="50"/>
        <v>1.3785026291604769</v>
      </c>
      <c r="AE59" s="406">
        <f t="shared" si="17"/>
        <v>1.1401616991614084E-2</v>
      </c>
      <c r="AF59" s="406">
        <f t="shared" si="18"/>
        <v>2.1600000000000001E-2</v>
      </c>
      <c r="AG59" s="406">
        <f t="shared" si="51"/>
        <v>3.3061930506596414E-2</v>
      </c>
      <c r="AH59" s="406">
        <f t="shared" si="52"/>
        <v>0</v>
      </c>
      <c r="AI59">
        <f t="shared" si="21"/>
        <v>0</v>
      </c>
      <c r="AJ59" s="407">
        <f t="shared" si="22"/>
        <v>0.35986499999999999</v>
      </c>
      <c r="AK59">
        <f t="shared" si="23"/>
        <v>4.8000000000000001E-2</v>
      </c>
      <c r="AL59" s="407">
        <f t="shared" si="24"/>
        <v>0.1215</v>
      </c>
      <c r="AM59" s="407">
        <f t="shared" si="25"/>
        <v>0.31645971316818772</v>
      </c>
      <c r="AN59" s="407">
        <f t="shared" si="42"/>
        <v>0.16949999999999998</v>
      </c>
      <c r="AO59" s="407">
        <f t="shared" si="53"/>
        <v>1.0697839907071054</v>
      </c>
      <c r="AP59">
        <f t="shared" si="27"/>
        <v>7.6499999999999995</v>
      </c>
      <c r="AQ59" s="10">
        <f t="shared" si="43"/>
        <v>0.87731531058026191</v>
      </c>
      <c r="AR59" s="63">
        <f t="shared" si="54"/>
        <v>12.906141917869718</v>
      </c>
      <c r="AS59" s="63">
        <f t="shared" si="44"/>
        <v>1.3224772202638566</v>
      </c>
      <c r="AT59" s="10"/>
      <c r="AU59">
        <f t="shared" si="45"/>
        <v>87.731531058026192</v>
      </c>
      <c r="BE59" s="28"/>
      <c r="BF59" s="29"/>
    </row>
    <row r="60" spans="1:60" x14ac:dyDescent="0.25">
      <c r="A60" s="33" t="s">
        <v>366</v>
      </c>
      <c r="B60" s="115">
        <f>Ireverse</f>
        <v>0</v>
      </c>
      <c r="C60" s="416" t="s">
        <v>135</v>
      </c>
      <c r="D60" s="31" t="s">
        <v>369</v>
      </c>
      <c r="E60" s="2"/>
      <c r="G60">
        <v>51</v>
      </c>
      <c r="H60">
        <f t="shared" si="0"/>
        <v>1.53</v>
      </c>
      <c r="I60" s="406">
        <f t="shared" si="1"/>
        <v>0.21415749999999997</v>
      </c>
      <c r="J60" s="407">
        <f t="shared" si="2"/>
        <v>1.4202023684210523</v>
      </c>
      <c r="K60" s="407">
        <f t="shared" si="31"/>
        <v>2.2401011842105261</v>
      </c>
      <c r="L60" s="407">
        <f t="shared" si="32"/>
        <v>0.81989881578947388</v>
      </c>
      <c r="M60" s="63">
        <f t="shared" si="3"/>
        <v>0</v>
      </c>
      <c r="N60" s="406">
        <f t="shared" si="46"/>
        <v>1.5839763983739563</v>
      </c>
      <c r="O60" s="406">
        <f t="shared" si="5"/>
        <v>5.0381876102520894E-2</v>
      </c>
      <c r="P60">
        <f t="shared" si="6"/>
        <v>0.2</v>
      </c>
      <c r="Q60" s="406">
        <f t="shared" si="34"/>
        <v>0.25038187610252088</v>
      </c>
      <c r="R60" s="9">
        <f t="shared" si="39"/>
        <v>0.40997710985581931</v>
      </c>
      <c r="S60" s="9">
        <f t="shared" si="7"/>
        <v>1.6808123060573055E-4</v>
      </c>
      <c r="T60" s="9">
        <f t="shared" si="40"/>
        <v>1.6808123060573055E-4</v>
      </c>
      <c r="U60" s="406">
        <f t="shared" si="47"/>
        <v>0.73301920022155398</v>
      </c>
      <c r="V60" s="408">
        <f t="shared" si="9"/>
        <v>5.3731714789344667E-4</v>
      </c>
      <c r="W60" s="406">
        <f t="shared" si="41"/>
        <v>5.3731714789344667E-4</v>
      </c>
      <c r="X60" s="406">
        <f t="shared" si="48"/>
        <v>0.73301920022155398</v>
      </c>
      <c r="Y60" s="406">
        <f t="shared" si="11"/>
        <v>3.22390288736068E-3</v>
      </c>
      <c r="Z60" s="406">
        <f t="shared" si="12"/>
        <v>0.1131039966564728</v>
      </c>
      <c r="AA60" s="406">
        <f t="shared" si="13"/>
        <v>0.14400000000000002</v>
      </c>
      <c r="AB60" s="406">
        <f t="shared" si="14"/>
        <v>0</v>
      </c>
      <c r="AC60" s="406">
        <f t="shared" si="49"/>
        <v>0.26049586221630244</v>
      </c>
      <c r="AD60" s="406">
        <f t="shared" si="50"/>
        <v>1.4041595645482332</v>
      </c>
      <c r="AE60" s="406">
        <f t="shared" si="17"/>
        <v>1.1829984496273704E-2</v>
      </c>
      <c r="AF60" s="406">
        <f t="shared" si="18"/>
        <v>2.2032E-2</v>
      </c>
      <c r="AG60" s="406">
        <f t="shared" si="51"/>
        <v>3.3926199923331381E-2</v>
      </c>
      <c r="AH60" s="406">
        <f t="shared" si="52"/>
        <v>0</v>
      </c>
      <c r="AI60">
        <f t="shared" si="21"/>
        <v>0</v>
      </c>
      <c r="AJ60" s="407">
        <f t="shared" si="22"/>
        <v>0.35986229999999997</v>
      </c>
      <c r="AK60">
        <f t="shared" si="23"/>
        <v>4.8000000000000001E-2</v>
      </c>
      <c r="AL60" s="407">
        <f t="shared" si="24"/>
        <v>0.1215</v>
      </c>
      <c r="AM60" s="407">
        <f t="shared" si="25"/>
        <v>0.31645971316818772</v>
      </c>
      <c r="AN60" s="407">
        <f t="shared" si="42"/>
        <v>0.16949999999999998</v>
      </c>
      <c r="AO60" s="407">
        <f t="shared" si="53"/>
        <v>1.0748716366206539</v>
      </c>
      <c r="AP60">
        <f t="shared" si="27"/>
        <v>7.8029999999999999</v>
      </c>
      <c r="AQ60" s="10">
        <f t="shared" si="43"/>
        <v>0.87892687790315904</v>
      </c>
      <c r="AR60" s="63">
        <f t="shared" si="54"/>
        <v>13.024793110815121</v>
      </c>
      <c r="AS60" s="63">
        <f t="shared" si="44"/>
        <v>1.3570479969332552</v>
      </c>
      <c r="AT60" s="10"/>
      <c r="AU60">
        <f t="shared" si="45"/>
        <v>87.892687790315904</v>
      </c>
      <c r="BE60" s="28"/>
      <c r="BF60" s="29"/>
    </row>
    <row r="61" spans="1:60" x14ac:dyDescent="0.25">
      <c r="A61" s="34" t="s">
        <v>209</v>
      </c>
      <c r="B61" s="25" t="s">
        <v>201</v>
      </c>
      <c r="C61" s="34" t="s">
        <v>148</v>
      </c>
      <c r="D61" s="476" t="s">
        <v>390</v>
      </c>
      <c r="G61">
        <v>52</v>
      </c>
      <c r="H61">
        <f t="shared" si="0"/>
        <v>1.56</v>
      </c>
      <c r="I61" s="406">
        <f t="shared" si="1"/>
        <v>0.21418999999999999</v>
      </c>
      <c r="J61" s="407">
        <f t="shared" si="2"/>
        <v>1.4204178947368418</v>
      </c>
      <c r="K61" s="407">
        <f t="shared" si="31"/>
        <v>2.2702089473684208</v>
      </c>
      <c r="L61" s="407">
        <f t="shared" si="32"/>
        <v>0.84979105263157917</v>
      </c>
      <c r="M61" s="63">
        <f t="shared" si="3"/>
        <v>0</v>
      </c>
      <c r="N61" s="406">
        <f t="shared" si="46"/>
        <v>1.6129886080319105</v>
      </c>
      <c r="O61" s="406">
        <f t="shared" si="5"/>
        <v>5.2252158795456784E-2</v>
      </c>
      <c r="P61">
        <f t="shared" si="6"/>
        <v>0.2</v>
      </c>
      <c r="Q61" s="406">
        <f t="shared" si="34"/>
        <v>0.25225215879545682</v>
      </c>
      <c r="R61" s="9">
        <f t="shared" si="39"/>
        <v>0.41003932694403855</v>
      </c>
      <c r="S61" s="9">
        <f t="shared" si="7"/>
        <v>1.6813224964072013E-4</v>
      </c>
      <c r="T61" s="9">
        <f t="shared" si="40"/>
        <v>1.6813224964072013E-4</v>
      </c>
      <c r="U61" s="406">
        <f t="shared" si="47"/>
        <v>0.74650186238920113</v>
      </c>
      <c r="V61" s="408">
        <f t="shared" si="9"/>
        <v>5.5726503055054575E-4</v>
      </c>
      <c r="W61" s="406">
        <f t="shared" si="41"/>
        <v>5.5726503055054575E-4</v>
      </c>
      <c r="X61" s="406">
        <f t="shared" si="48"/>
        <v>0.74650186238920113</v>
      </c>
      <c r="Y61" s="406">
        <f t="shared" si="11"/>
        <v>3.3435901833032745E-3</v>
      </c>
      <c r="Z61" s="406">
        <f t="shared" si="12"/>
        <v>0.11535209431999691</v>
      </c>
      <c r="AA61" s="406">
        <f t="shared" si="13"/>
        <v>0.14400000000000002</v>
      </c>
      <c r="AB61" s="406">
        <f t="shared" si="14"/>
        <v>0</v>
      </c>
      <c r="AC61" s="406">
        <f t="shared" si="49"/>
        <v>0.2628714713975473</v>
      </c>
      <c r="AD61" s="406">
        <f t="shared" si="50"/>
        <v>1.4298486699962951</v>
      </c>
      <c r="AE61" s="406">
        <f t="shared" si="17"/>
        <v>1.2266803314541044E-2</v>
      </c>
      <c r="AF61" s="406">
        <f t="shared" si="18"/>
        <v>2.2464000000000001E-2</v>
      </c>
      <c r="AG61" s="406">
        <f t="shared" si="51"/>
        <v>3.4799103115090685E-2</v>
      </c>
      <c r="AH61" s="406">
        <f t="shared" si="52"/>
        <v>0</v>
      </c>
      <c r="AI61">
        <f t="shared" si="21"/>
        <v>0</v>
      </c>
      <c r="AJ61" s="407">
        <f t="shared" si="22"/>
        <v>0.35985959999999995</v>
      </c>
      <c r="AK61">
        <f t="shared" si="23"/>
        <v>4.8000000000000001E-2</v>
      </c>
      <c r="AL61" s="407">
        <f t="shared" si="24"/>
        <v>0.1215</v>
      </c>
      <c r="AM61" s="407">
        <f t="shared" si="25"/>
        <v>0.31645971316818772</v>
      </c>
      <c r="AN61" s="407">
        <f t="shared" si="42"/>
        <v>0.16949999999999998</v>
      </c>
      <c r="AO61" s="407">
        <f t="shared" si="53"/>
        <v>1.080007730588286</v>
      </c>
      <c r="AP61">
        <f t="shared" si="27"/>
        <v>7.9559999999999995</v>
      </c>
      <c r="AQ61" s="10">
        <f t="shared" si="43"/>
        <v>0.8804773343727571</v>
      </c>
      <c r="AR61" s="63">
        <f t="shared" si="54"/>
        <v>13.143573569877365</v>
      </c>
      <c r="AS61" s="63">
        <f t="shared" si="44"/>
        <v>1.3919641246036274</v>
      </c>
      <c r="AT61" s="10"/>
      <c r="AU61">
        <f t="shared" si="45"/>
        <v>88.04773343727571</v>
      </c>
      <c r="BE61" s="28"/>
      <c r="BF61" s="29"/>
    </row>
    <row r="62" spans="1:60" x14ac:dyDescent="0.25">
      <c r="A62" s="33" t="s">
        <v>210</v>
      </c>
      <c r="B62" s="116">
        <v>20</v>
      </c>
      <c r="C62" s="416" t="s">
        <v>380</v>
      </c>
      <c r="D62" s="31" t="s">
        <v>184</v>
      </c>
      <c r="G62">
        <v>53</v>
      </c>
      <c r="H62">
        <f t="shared" si="0"/>
        <v>1.59</v>
      </c>
      <c r="I62" s="406">
        <f t="shared" si="1"/>
        <v>0.21422249999999998</v>
      </c>
      <c r="J62" s="407">
        <f t="shared" si="2"/>
        <v>1.4206334210526312</v>
      </c>
      <c r="K62" s="407">
        <f t="shared" si="31"/>
        <v>2.3003167105263156</v>
      </c>
      <c r="L62" s="407">
        <f t="shared" si="32"/>
        <v>0.87968328947368446</v>
      </c>
      <c r="M62" s="63">
        <f t="shared" si="3"/>
        <v>0</v>
      </c>
      <c r="N62" s="406">
        <f t="shared" si="46"/>
        <v>1.6420363200665331</v>
      </c>
      <c r="O62" s="406">
        <f t="shared" si="5"/>
        <v>5.4159311682515809E-2</v>
      </c>
      <c r="P62">
        <f t="shared" si="6"/>
        <v>0.2</v>
      </c>
      <c r="Q62" s="406">
        <f t="shared" si="34"/>
        <v>0.25415931168251582</v>
      </c>
      <c r="R62" s="9">
        <f t="shared" si="39"/>
        <v>0.41010154403225785</v>
      </c>
      <c r="S62" s="9">
        <f t="shared" si="7"/>
        <v>1.6818327641764192E-4</v>
      </c>
      <c r="T62" s="9">
        <f t="shared" si="40"/>
        <v>1.6818327641764192E-4</v>
      </c>
      <c r="U62" s="406">
        <f t="shared" si="47"/>
        <v>0.76000298958778989</v>
      </c>
      <c r="V62" s="408">
        <f t="shared" si="9"/>
        <v>5.7760454418237831E-4</v>
      </c>
      <c r="W62" s="406">
        <f t="shared" si="41"/>
        <v>5.7760454418237831E-4</v>
      </c>
      <c r="X62" s="406">
        <f t="shared" si="48"/>
        <v>0.76000298958778989</v>
      </c>
      <c r="Y62" s="406">
        <f t="shared" si="11"/>
        <v>3.4656272650942697E-3</v>
      </c>
      <c r="Z62" s="406">
        <f t="shared" si="12"/>
        <v>0.11760019198352099</v>
      </c>
      <c r="AA62" s="406">
        <f t="shared" si="13"/>
        <v>0.14400000000000002</v>
      </c>
      <c r="AB62" s="406">
        <f t="shared" si="14"/>
        <v>0</v>
      </c>
      <c r="AC62" s="406">
        <f t="shared" si="49"/>
        <v>0.26524967054667603</v>
      </c>
      <c r="AD62" s="406">
        <f t="shared" si="50"/>
        <v>1.4555681819259667</v>
      </c>
      <c r="AE62" s="406">
        <f t="shared" si="17"/>
        <v>1.2712072393411584E-2</v>
      </c>
      <c r="AF62" s="406">
        <f t="shared" si="18"/>
        <v>2.2896E-2</v>
      </c>
      <c r="AG62" s="406">
        <f t="shared" si="51"/>
        <v>3.5680644382921872E-2</v>
      </c>
      <c r="AH62" s="406">
        <f t="shared" si="52"/>
        <v>0</v>
      </c>
      <c r="AI62">
        <f t="shared" si="21"/>
        <v>0</v>
      </c>
      <c r="AJ62" s="407">
        <f t="shared" si="22"/>
        <v>0.35985689999999998</v>
      </c>
      <c r="AK62">
        <f t="shared" si="23"/>
        <v>4.8000000000000001E-2</v>
      </c>
      <c r="AL62" s="407">
        <f t="shared" si="24"/>
        <v>0.1215</v>
      </c>
      <c r="AM62" s="407">
        <f t="shared" si="25"/>
        <v>0.31645971316818772</v>
      </c>
      <c r="AN62" s="407">
        <f t="shared" si="42"/>
        <v>0.16949999999999998</v>
      </c>
      <c r="AO62" s="407">
        <f t="shared" si="53"/>
        <v>1.0851923144327138</v>
      </c>
      <c r="AP62">
        <f t="shared" si="27"/>
        <v>8.109</v>
      </c>
      <c r="AQ62" s="10">
        <f t="shared" si="43"/>
        <v>0.88196980470712827</v>
      </c>
      <c r="AR62" s="63">
        <f t="shared" si="54"/>
        <v>13.262483527333801</v>
      </c>
      <c r="AS62" s="63">
        <f t="shared" si="44"/>
        <v>1.4272257753168749</v>
      </c>
      <c r="AT62" s="10"/>
      <c r="AU62">
        <f t="shared" si="45"/>
        <v>88.19698047071283</v>
      </c>
      <c r="BE62" s="28"/>
      <c r="BF62" s="29"/>
    </row>
    <row r="63" spans="1:60" x14ac:dyDescent="0.25">
      <c r="A63" s="33" t="s">
        <v>210</v>
      </c>
      <c r="B63" s="116">
        <v>2</v>
      </c>
      <c r="C63" s="416" t="s">
        <v>278</v>
      </c>
      <c r="D63" s="31" t="s">
        <v>184</v>
      </c>
      <c r="G63">
        <v>54</v>
      </c>
      <c r="H63">
        <f t="shared" si="0"/>
        <v>1.62</v>
      </c>
      <c r="I63" s="406">
        <f t="shared" si="1"/>
        <v>0.21425499999999997</v>
      </c>
      <c r="J63" s="407">
        <f t="shared" si="2"/>
        <v>1.4208489473684207</v>
      </c>
      <c r="K63" s="407">
        <f t="shared" si="31"/>
        <v>2.3304244736842104</v>
      </c>
      <c r="L63" s="407">
        <f t="shared" si="32"/>
        <v>0.90957552631578975</v>
      </c>
      <c r="M63" s="63">
        <f t="shared" si="3"/>
        <v>0</v>
      </c>
      <c r="N63" s="406">
        <f t="shared" si="46"/>
        <v>1.6711176831499619</v>
      </c>
      <c r="O63" s="406">
        <f t="shared" si="5"/>
        <v>5.6103368123981347E-2</v>
      </c>
      <c r="P63">
        <f t="shared" si="6"/>
        <v>0.2</v>
      </c>
      <c r="Q63" s="406">
        <f t="shared" si="34"/>
        <v>0.25610336812398138</v>
      </c>
      <c r="R63" s="9">
        <f t="shared" si="39"/>
        <v>0.41016376112047709</v>
      </c>
      <c r="S63" s="9">
        <f t="shared" si="7"/>
        <v>1.6823431093649581E-4</v>
      </c>
      <c r="T63" s="9">
        <f t="shared" si="40"/>
        <v>1.6823431093649581E-4</v>
      </c>
      <c r="U63" s="406">
        <f t="shared" si="47"/>
        <v>0.77352172838886624</v>
      </c>
      <c r="V63" s="408">
        <f t="shared" si="9"/>
        <v>5.9833586428969902E-4</v>
      </c>
      <c r="W63" s="406">
        <f t="shared" si="41"/>
        <v>5.9833586428969902E-4</v>
      </c>
      <c r="X63" s="406">
        <f t="shared" si="48"/>
        <v>0.77352172838886624</v>
      </c>
      <c r="Y63" s="406">
        <f t="shared" si="11"/>
        <v>3.5900151857381941E-3</v>
      </c>
      <c r="Z63" s="406">
        <f t="shared" si="12"/>
        <v>0.11984828964704509</v>
      </c>
      <c r="AA63" s="406">
        <f t="shared" si="13"/>
        <v>0.14400000000000002</v>
      </c>
      <c r="AB63" s="406">
        <f t="shared" si="14"/>
        <v>0</v>
      </c>
      <c r="AC63" s="406">
        <f t="shared" si="49"/>
        <v>0.26763046431899756</v>
      </c>
      <c r="AD63" s="406">
        <f t="shared" si="50"/>
        <v>1.4813164572929032</v>
      </c>
      <c r="AE63" s="406">
        <f t="shared" si="17"/>
        <v>1.3165790679880785E-2</v>
      </c>
      <c r="AF63" s="406">
        <f t="shared" si="18"/>
        <v>2.3328000000000002E-2</v>
      </c>
      <c r="AG63" s="406">
        <f t="shared" si="51"/>
        <v>3.6570828098718811E-2</v>
      </c>
      <c r="AH63" s="406">
        <f t="shared" si="52"/>
        <v>0</v>
      </c>
      <c r="AI63">
        <f t="shared" si="21"/>
        <v>0</v>
      </c>
      <c r="AJ63" s="407">
        <f t="shared" si="22"/>
        <v>0.35985419999999996</v>
      </c>
      <c r="AK63">
        <f t="shared" si="23"/>
        <v>4.8000000000000001E-2</v>
      </c>
      <c r="AL63" s="407">
        <f t="shared" si="24"/>
        <v>0.1215</v>
      </c>
      <c r="AM63" s="407">
        <f t="shared" si="25"/>
        <v>0.31645971316818772</v>
      </c>
      <c r="AN63" s="407">
        <f t="shared" si="42"/>
        <v>0.16949999999999998</v>
      </c>
      <c r="AO63" s="407">
        <f t="shared" si="53"/>
        <v>1.0904254307169241</v>
      </c>
      <c r="AP63">
        <f t="shared" si="27"/>
        <v>8.2620000000000005</v>
      </c>
      <c r="AQ63" s="10">
        <f t="shared" si="43"/>
        <v>0.88340720396063777</v>
      </c>
      <c r="AR63" s="63">
        <f t="shared" si="54"/>
        <v>13.381523215949878</v>
      </c>
      <c r="AS63" s="63">
        <f t="shared" si="44"/>
        <v>1.4628331239487524</v>
      </c>
      <c r="AT63" s="10"/>
      <c r="AU63">
        <f t="shared" si="45"/>
        <v>88.340720396063773</v>
      </c>
      <c r="BE63" s="28"/>
      <c r="BF63" s="29"/>
    </row>
    <row r="64" spans="1:60" x14ac:dyDescent="0.25">
      <c r="A64" s="117"/>
      <c r="B64" s="40"/>
      <c r="G64">
        <v>55</v>
      </c>
      <c r="H64">
        <f t="shared" si="0"/>
        <v>1.6500000000000001</v>
      </c>
      <c r="I64" s="406">
        <f t="shared" si="1"/>
        <v>0.21428749999999999</v>
      </c>
      <c r="J64" s="407">
        <f t="shared" si="2"/>
        <v>1.4210644736842104</v>
      </c>
      <c r="K64" s="407">
        <f t="shared" si="31"/>
        <v>2.3605322368421051</v>
      </c>
      <c r="L64" s="407">
        <f t="shared" si="32"/>
        <v>0.93946776315789493</v>
      </c>
      <c r="M64" s="63">
        <f t="shared" si="3"/>
        <v>0</v>
      </c>
      <c r="N64" s="406">
        <f t="shared" si="46"/>
        <v>1.7002309705440852</v>
      </c>
      <c r="O64" s="406">
        <f t="shared" si="5"/>
        <v>5.80843621412701E-2</v>
      </c>
      <c r="P64">
        <f t="shared" si="6"/>
        <v>0.2</v>
      </c>
      <c r="Q64" s="406">
        <f t="shared" si="34"/>
        <v>0.25808436214127012</v>
      </c>
      <c r="R64" s="9">
        <f t="shared" si="39"/>
        <v>0.41022597820869638</v>
      </c>
      <c r="S64" s="9">
        <f t="shared" si="7"/>
        <v>1.6828535319728184E-4</v>
      </c>
      <c r="T64" s="9">
        <f t="shared" si="40"/>
        <v>1.6828535319728184E-4</v>
      </c>
      <c r="U64" s="406">
        <f t="shared" si="47"/>
        <v>0.78705728277760234</v>
      </c>
      <c r="V64" s="408">
        <f t="shared" si="9"/>
        <v>6.1945916637326276E-4</v>
      </c>
      <c r="W64" s="406">
        <f t="shared" si="41"/>
        <v>6.1945916637326276E-4</v>
      </c>
      <c r="X64" s="406">
        <f t="shared" si="48"/>
        <v>0.78705728277760234</v>
      </c>
      <c r="Y64" s="406">
        <f t="shared" si="11"/>
        <v>3.7167549982395761E-3</v>
      </c>
      <c r="Z64" s="406">
        <f t="shared" si="12"/>
        <v>0.1220963873105692</v>
      </c>
      <c r="AA64" s="406">
        <f t="shared" si="13"/>
        <v>0.14400000000000002</v>
      </c>
      <c r="AB64" s="406">
        <f t="shared" si="14"/>
        <v>0</v>
      </c>
      <c r="AC64" s="406">
        <f t="shared" si="49"/>
        <v>0.27001385737961076</v>
      </c>
      <c r="AD64" s="406">
        <f t="shared" si="50"/>
        <v>1.5070919636253188</v>
      </c>
      <c r="AE64" s="406">
        <f t="shared" si="17"/>
        <v>1.3627957120944117E-2</v>
      </c>
      <c r="AF64" s="406">
        <f t="shared" si="18"/>
        <v>2.3759999999999996E-2</v>
      </c>
      <c r="AG64" s="406">
        <f t="shared" si="51"/>
        <v>3.7469658705291654E-2</v>
      </c>
      <c r="AH64" s="406">
        <f t="shared" si="52"/>
        <v>0</v>
      </c>
      <c r="AI64">
        <f t="shared" si="21"/>
        <v>0</v>
      </c>
      <c r="AJ64" s="407">
        <f t="shared" si="22"/>
        <v>0.35985149999999999</v>
      </c>
      <c r="AK64">
        <f t="shared" si="23"/>
        <v>4.8000000000000001E-2</v>
      </c>
      <c r="AL64" s="407">
        <f t="shared" si="24"/>
        <v>0.1215</v>
      </c>
      <c r="AM64" s="407">
        <f t="shared" si="25"/>
        <v>0.31645971316818772</v>
      </c>
      <c r="AN64" s="407">
        <f t="shared" si="42"/>
        <v>0.16949999999999998</v>
      </c>
      <c r="AO64" s="407">
        <f t="shared" si="53"/>
        <v>1.0957071227457429</v>
      </c>
      <c r="AP64">
        <f t="shared" si="27"/>
        <v>8.4150000000000009</v>
      </c>
      <c r="AQ64" s="10">
        <f t="shared" si="43"/>
        <v>0.88479225481297208</v>
      </c>
      <c r="AR64" s="63">
        <f t="shared" si="54"/>
        <v>13.500692868980538</v>
      </c>
      <c r="AS64" s="63">
        <f t="shared" si="44"/>
        <v>1.4987863482116661</v>
      </c>
      <c r="AT64" s="10"/>
      <c r="AU64">
        <f t="shared" si="45"/>
        <v>88.479225481297206</v>
      </c>
      <c r="BE64" s="28"/>
      <c r="BF64" s="29"/>
    </row>
    <row r="65" spans="1:58" x14ac:dyDescent="0.25">
      <c r="G65">
        <v>56</v>
      </c>
      <c r="H65">
        <f t="shared" si="0"/>
        <v>1.6800000000000002</v>
      </c>
      <c r="I65" s="406">
        <f t="shared" si="1"/>
        <v>0.21431999999999998</v>
      </c>
      <c r="J65" s="407">
        <f t="shared" si="2"/>
        <v>1.4212799999999999</v>
      </c>
      <c r="K65" s="407">
        <f t="shared" si="31"/>
        <v>2.3906400000000003</v>
      </c>
      <c r="L65" s="407">
        <f t="shared" si="32"/>
        <v>0.96936000000000022</v>
      </c>
      <c r="M65" s="63">
        <f t="shared" si="3"/>
        <v>0</v>
      </c>
      <c r="N65" s="406">
        <f t="shared" si="46"/>
        <v>1.7293745699529643</v>
      </c>
      <c r="O65" s="406">
        <f t="shared" si="5"/>
        <v>6.0102328418428934E-2</v>
      </c>
      <c r="P65">
        <f t="shared" si="6"/>
        <v>0.2</v>
      </c>
      <c r="Q65" s="406">
        <f t="shared" si="34"/>
        <v>0.26010232841842895</v>
      </c>
      <c r="R65" s="9">
        <f t="shared" si="39"/>
        <v>0.41028819529691563</v>
      </c>
      <c r="S65" s="9">
        <f t="shared" si="7"/>
        <v>1.6833640319999999E-4</v>
      </c>
      <c r="T65" s="9">
        <f t="shared" si="40"/>
        <v>1.6833640319999999E-4</v>
      </c>
      <c r="U65" s="406">
        <f t="shared" si="47"/>
        <v>0.80060890947692065</v>
      </c>
      <c r="V65" s="408">
        <f t="shared" si="9"/>
        <v>6.4097462593382419E-4</v>
      </c>
      <c r="W65" s="406">
        <f t="shared" si="41"/>
        <v>6.4097462593382419E-4</v>
      </c>
      <c r="X65" s="406">
        <f t="shared" si="48"/>
        <v>0.80060890947692065</v>
      </c>
      <c r="Y65" s="406">
        <f t="shared" si="11"/>
        <v>3.8458477556029451E-3</v>
      </c>
      <c r="Z65" s="406">
        <f t="shared" si="12"/>
        <v>0.12434448497409333</v>
      </c>
      <c r="AA65" s="406">
        <f t="shared" si="13"/>
        <v>0.14400000000000002</v>
      </c>
      <c r="AB65" s="406">
        <f t="shared" si="14"/>
        <v>0</v>
      </c>
      <c r="AC65" s="406">
        <f t="shared" si="49"/>
        <v>0.27239985440343312</v>
      </c>
      <c r="AD65" s="406">
        <f t="shared" si="50"/>
        <v>1.5328932700179019</v>
      </c>
      <c r="AE65" s="406">
        <f t="shared" si="17"/>
        <v>1.4098570663597059E-2</v>
      </c>
      <c r="AF65" s="406">
        <f t="shared" si="18"/>
        <v>2.4192000000000002E-2</v>
      </c>
      <c r="AG65" s="406">
        <f t="shared" si="51"/>
        <v>3.837714071643826E-2</v>
      </c>
      <c r="AH65" s="406">
        <f t="shared" si="52"/>
        <v>0</v>
      </c>
      <c r="AI65">
        <f t="shared" si="21"/>
        <v>0</v>
      </c>
      <c r="AJ65" s="407">
        <f t="shared" si="22"/>
        <v>0.35984880000000002</v>
      </c>
      <c r="AK65">
        <f t="shared" si="23"/>
        <v>4.8000000000000001E-2</v>
      </c>
      <c r="AL65" s="407">
        <f t="shared" si="24"/>
        <v>0.1215</v>
      </c>
      <c r="AM65" s="407">
        <f t="shared" si="25"/>
        <v>0.31645971316818772</v>
      </c>
      <c r="AN65" s="407">
        <f t="shared" si="42"/>
        <v>0.16949999999999998</v>
      </c>
      <c r="AO65" s="407">
        <f t="shared" si="53"/>
        <v>1.1010374345674343</v>
      </c>
      <c r="AP65">
        <f t="shared" si="27"/>
        <v>8.5679999999999996</v>
      </c>
      <c r="AQ65" s="10">
        <f t="shared" si="43"/>
        <v>0.88612750317511912</v>
      </c>
      <c r="AR65" s="63">
        <f t="shared" si="54"/>
        <v>13.619992720171656</v>
      </c>
      <c r="AS65" s="63">
        <f t="shared" si="44"/>
        <v>1.5350856286575305</v>
      </c>
      <c r="AT65" s="10"/>
      <c r="AU65">
        <f t="shared" si="45"/>
        <v>88.61275031751191</v>
      </c>
      <c r="BE65" s="28"/>
      <c r="BF65" s="29"/>
    </row>
    <row r="66" spans="1:58" x14ac:dyDescent="0.25">
      <c r="A66" s="12" t="s">
        <v>149</v>
      </c>
      <c r="B66" s="41"/>
      <c r="C66" s="41"/>
      <c r="G66">
        <v>57</v>
      </c>
      <c r="H66">
        <f t="shared" si="0"/>
        <v>1.71</v>
      </c>
      <c r="I66" s="406">
        <f t="shared" si="1"/>
        <v>0.21435249999999997</v>
      </c>
      <c r="J66" s="407">
        <f t="shared" si="2"/>
        <v>1.4214955263157891</v>
      </c>
      <c r="K66" s="407">
        <f t="shared" si="31"/>
        <v>2.4207477631578946</v>
      </c>
      <c r="L66" s="407">
        <f t="shared" si="32"/>
        <v>0.9992522368421054</v>
      </c>
      <c r="M66" s="63">
        <f t="shared" si="3"/>
        <v>0</v>
      </c>
      <c r="N66" s="406">
        <f t="shared" si="46"/>
        <v>1.7585469743355306</v>
      </c>
      <c r="O66" s="406">
        <f t="shared" si="5"/>
        <v>6.2157302303661337E-2</v>
      </c>
      <c r="P66">
        <f t="shared" si="6"/>
        <v>0.2</v>
      </c>
      <c r="Q66" s="406">
        <f t="shared" si="34"/>
        <v>0.26215730230366135</v>
      </c>
      <c r="R66" s="9">
        <f t="shared" si="39"/>
        <v>0.41035041238513481</v>
      </c>
      <c r="S66" s="9">
        <f t="shared" si="7"/>
        <v>1.6838746094465022E-4</v>
      </c>
      <c r="T66" s="9">
        <f t="shared" si="40"/>
        <v>1.6838746094465022E-4</v>
      </c>
      <c r="U66" s="406">
        <f t="shared" si="47"/>
        <v>0.81417591371406817</v>
      </c>
      <c r="V66" s="408">
        <f t="shared" si="9"/>
        <v>6.6288241847213786E-4</v>
      </c>
      <c r="W66" s="406">
        <f t="shared" si="41"/>
        <v>6.6288241847213786E-4</v>
      </c>
      <c r="X66" s="406">
        <f t="shared" si="48"/>
        <v>0.81417591371406817</v>
      </c>
      <c r="Y66" s="406">
        <f t="shared" si="11"/>
        <v>3.9772945108328267E-3</v>
      </c>
      <c r="Z66" s="406">
        <f t="shared" si="12"/>
        <v>0.12659258263761738</v>
      </c>
      <c r="AA66" s="406">
        <f t="shared" si="13"/>
        <v>0.14400000000000002</v>
      </c>
      <c r="AB66" s="406">
        <f t="shared" si="14"/>
        <v>0</v>
      </c>
      <c r="AC66" s="406">
        <f t="shared" si="49"/>
        <v>0.27478846007522978</v>
      </c>
      <c r="AD66" s="406">
        <f t="shared" si="50"/>
        <v>1.5587190389780039</v>
      </c>
      <c r="AE66" s="406">
        <f t="shared" si="17"/>
        <v>1.4577630254835073E-2</v>
      </c>
      <c r="AF66" s="406">
        <f t="shared" si="18"/>
        <v>2.4624E-2</v>
      </c>
      <c r="AG66" s="406">
        <f t="shared" si="51"/>
        <v>3.9293278717016968E-2</v>
      </c>
      <c r="AH66" s="406">
        <f t="shared" si="52"/>
        <v>0</v>
      </c>
      <c r="AI66">
        <f t="shared" si="21"/>
        <v>0</v>
      </c>
      <c r="AJ66" s="407">
        <f t="shared" si="22"/>
        <v>0.3598461</v>
      </c>
      <c r="AK66">
        <f t="shared" si="23"/>
        <v>4.8000000000000001E-2</v>
      </c>
      <c r="AL66" s="407">
        <f t="shared" si="24"/>
        <v>0.1215</v>
      </c>
      <c r="AM66" s="407">
        <f t="shared" si="25"/>
        <v>0.31645971316818772</v>
      </c>
      <c r="AN66" s="407">
        <f t="shared" si="42"/>
        <v>0.16949999999999998</v>
      </c>
      <c r="AO66" s="407">
        <f t="shared" si="53"/>
        <v>1.1064164109753247</v>
      </c>
      <c r="AP66">
        <f t="shared" si="27"/>
        <v>8.7210000000000001</v>
      </c>
      <c r="AQ66" s="10">
        <f t="shared" si="43"/>
        <v>0.88741533230039271</v>
      </c>
      <c r="AR66" s="63">
        <f t="shared" si="54"/>
        <v>13.739423003761489</v>
      </c>
      <c r="AS66" s="63">
        <f t="shared" si="44"/>
        <v>1.5717311486806786</v>
      </c>
      <c r="AT66" s="10"/>
      <c r="AU66">
        <f t="shared" si="45"/>
        <v>88.741533230039266</v>
      </c>
      <c r="BE66" s="28"/>
      <c r="BF66" s="29"/>
    </row>
    <row r="67" spans="1:58" x14ac:dyDescent="0.25">
      <c r="A67" s="24" t="s">
        <v>125</v>
      </c>
      <c r="B67" s="25" t="s">
        <v>8</v>
      </c>
      <c r="C67" s="25" t="s">
        <v>148</v>
      </c>
      <c r="G67">
        <v>58</v>
      </c>
      <c r="H67">
        <f t="shared" si="0"/>
        <v>1.7399999999999998</v>
      </c>
      <c r="I67" s="406">
        <f t="shared" si="1"/>
        <v>0.21438499999999996</v>
      </c>
      <c r="J67" s="407">
        <f t="shared" si="2"/>
        <v>1.4217110526315784</v>
      </c>
      <c r="K67" s="407">
        <f t="shared" si="31"/>
        <v>2.450855526315789</v>
      </c>
      <c r="L67" s="407">
        <f t="shared" si="32"/>
        <v>1.0291444736842106</v>
      </c>
      <c r="M67" s="63">
        <f t="shared" si="3"/>
        <v>0</v>
      </c>
      <c r="N67" s="406">
        <f t="shared" si="46"/>
        <v>1.7877467735759536</v>
      </c>
      <c r="O67" s="406">
        <f t="shared" si="5"/>
        <v>6.4249319810884775E-2</v>
      </c>
      <c r="P67">
        <f t="shared" si="6"/>
        <v>0.2</v>
      </c>
      <c r="Q67" s="406">
        <f t="shared" si="34"/>
        <v>0.26424931981088479</v>
      </c>
      <c r="R67" s="9">
        <f t="shared" si="39"/>
        <v>0.410412629473354</v>
      </c>
      <c r="S67" s="9">
        <f t="shared" si="7"/>
        <v>1.6843852643123257E-4</v>
      </c>
      <c r="T67" s="9">
        <f t="shared" si="40"/>
        <v>1.6843852643123257E-4</v>
      </c>
      <c r="U67" s="406">
        <f t="shared" si="47"/>
        <v>0.8277576453823664</v>
      </c>
      <c r="V67" s="408">
        <f t="shared" si="9"/>
        <v>6.8518271948895951E-4</v>
      </c>
      <c r="W67" s="406">
        <f t="shared" si="41"/>
        <v>6.8518271948895951E-4</v>
      </c>
      <c r="X67" s="406">
        <f t="shared" si="48"/>
        <v>0.8277576453823664</v>
      </c>
      <c r="Y67" s="406">
        <f t="shared" si="11"/>
        <v>4.1110963169337569E-3</v>
      </c>
      <c r="Z67" s="406">
        <f t="shared" si="12"/>
        <v>0.12884068030114146</v>
      </c>
      <c r="AA67" s="406">
        <f t="shared" si="13"/>
        <v>0.14400000000000002</v>
      </c>
      <c r="AB67" s="406">
        <f t="shared" si="14"/>
        <v>0</v>
      </c>
      <c r="AC67" s="406">
        <f t="shared" si="49"/>
        <v>0.27717967908964208</v>
      </c>
      <c r="AD67" s="406">
        <f t="shared" si="50"/>
        <v>1.5845680190330338</v>
      </c>
      <c r="AE67" s="406">
        <f t="shared" si="17"/>
        <v>1.5065134841653637E-2</v>
      </c>
      <c r="AF67" s="406">
        <f t="shared" si="18"/>
        <v>2.5055999999999995E-2</v>
      </c>
      <c r="AG67" s="406">
        <f t="shared" si="51"/>
        <v>4.0218077363020986E-2</v>
      </c>
      <c r="AH67" s="406">
        <f t="shared" si="52"/>
        <v>0</v>
      </c>
      <c r="AI67">
        <f t="shared" si="21"/>
        <v>0</v>
      </c>
      <c r="AJ67" s="407">
        <f t="shared" si="22"/>
        <v>0.35984339999999998</v>
      </c>
      <c r="AK67">
        <f t="shared" si="23"/>
        <v>4.8000000000000001E-2</v>
      </c>
      <c r="AL67" s="407">
        <f t="shared" si="24"/>
        <v>0.1215</v>
      </c>
      <c r="AM67" s="407">
        <f t="shared" si="25"/>
        <v>0.31645971316818772</v>
      </c>
      <c r="AN67" s="407">
        <f t="shared" si="42"/>
        <v>0.16949999999999998</v>
      </c>
      <c r="AO67" s="407">
        <f t="shared" si="53"/>
        <v>1.1118440975094679</v>
      </c>
      <c r="AP67">
        <f t="shared" si="27"/>
        <v>8.8739999999999988</v>
      </c>
      <c r="AQ67" s="10">
        <f t="shared" si="43"/>
        <v>0.88865797556495307</v>
      </c>
      <c r="AR67" s="63">
        <f t="shared" si="54"/>
        <v>13.858983954482104</v>
      </c>
      <c r="AS67" s="63">
        <f t="shared" si="44"/>
        <v>1.6087230945208395</v>
      </c>
      <c r="AT67" s="10"/>
      <c r="AU67">
        <f t="shared" si="45"/>
        <v>88.865797556495309</v>
      </c>
      <c r="BE67" s="28"/>
      <c r="BF67" s="29"/>
    </row>
    <row r="68" spans="1:58" x14ac:dyDescent="0.25">
      <c r="A68" s="42" t="s">
        <v>385</v>
      </c>
      <c r="B68" s="409">
        <f>I109</f>
        <v>0.21574999999999997</v>
      </c>
      <c r="C68" s="31" t="s">
        <v>23</v>
      </c>
      <c r="G68">
        <v>59</v>
      </c>
      <c r="H68">
        <f t="shared" si="0"/>
        <v>1.77</v>
      </c>
      <c r="I68" s="406">
        <f t="shared" si="1"/>
        <v>0.21441750000000001</v>
      </c>
      <c r="J68" s="407">
        <f t="shared" si="2"/>
        <v>1.4219265789473683</v>
      </c>
      <c r="K68" s="407">
        <f t="shared" si="31"/>
        <v>2.4809632894736842</v>
      </c>
      <c r="L68" s="407">
        <f t="shared" si="32"/>
        <v>1.0590367105263159</v>
      </c>
      <c r="M68" s="63">
        <f t="shared" si="3"/>
        <v>0</v>
      </c>
      <c r="N68" s="406">
        <f t="shared" si="46"/>
        <v>1.8169726469211769</v>
      </c>
      <c r="O68" s="406">
        <f t="shared" si="5"/>
        <v>6.6378417621317964E-2</v>
      </c>
      <c r="P68">
        <f t="shared" si="6"/>
        <v>0.2</v>
      </c>
      <c r="Q68" s="406">
        <f t="shared" si="34"/>
        <v>0.26637841762131798</v>
      </c>
      <c r="R68" s="9">
        <f t="shared" si="39"/>
        <v>0.4104748465615734</v>
      </c>
      <c r="S68" s="9">
        <f t="shared" si="7"/>
        <v>1.6848959965974722E-4</v>
      </c>
      <c r="T68" s="9">
        <f t="shared" si="40"/>
        <v>1.6848959965974722E-4</v>
      </c>
      <c r="U68" s="406">
        <f t="shared" si="47"/>
        <v>0.84135349555644212</v>
      </c>
      <c r="V68" s="408">
        <f t="shared" si="9"/>
        <v>7.0787570448504415E-4</v>
      </c>
      <c r="W68" s="406">
        <f t="shared" si="41"/>
        <v>7.0787570448504415E-4</v>
      </c>
      <c r="X68" s="406">
        <f t="shared" si="48"/>
        <v>0.84135349555644212</v>
      </c>
      <c r="Y68" s="406">
        <f t="shared" si="11"/>
        <v>4.2472542269102647E-3</v>
      </c>
      <c r="Z68" s="406">
        <f t="shared" si="12"/>
        <v>0.13108877796466559</v>
      </c>
      <c r="AA68" s="406">
        <f t="shared" si="13"/>
        <v>0.14400000000000002</v>
      </c>
      <c r="AB68" s="406">
        <f t="shared" si="14"/>
        <v>0</v>
      </c>
      <c r="AC68" s="406">
        <f t="shared" si="49"/>
        <v>0.27957351615121689</v>
      </c>
      <c r="AD68" s="406">
        <f t="shared" si="50"/>
        <v>1.6104390380187334</v>
      </c>
      <c r="AE68" s="406">
        <f t="shared" si="17"/>
        <v>1.5561083371048222E-2</v>
      </c>
      <c r="AF68" s="406">
        <f t="shared" si="18"/>
        <v>2.5488E-2</v>
      </c>
      <c r="AG68" s="406">
        <f t="shared" si="51"/>
        <v>4.1151541381654153E-2</v>
      </c>
      <c r="AH68" s="406">
        <f t="shared" si="52"/>
        <v>0</v>
      </c>
      <c r="AI68">
        <f t="shared" si="21"/>
        <v>0</v>
      </c>
      <c r="AJ68" s="407">
        <f t="shared" si="22"/>
        <v>0.35984070000000001</v>
      </c>
      <c r="AK68">
        <f t="shared" si="23"/>
        <v>4.8000000000000001E-2</v>
      </c>
      <c r="AL68" s="407">
        <f t="shared" si="24"/>
        <v>0.1215</v>
      </c>
      <c r="AM68" s="407">
        <f t="shared" si="25"/>
        <v>0.31645971316818772</v>
      </c>
      <c r="AN68" s="407">
        <f t="shared" si="42"/>
        <v>0.16949999999999998</v>
      </c>
      <c r="AO68" s="407">
        <f t="shared" si="53"/>
        <v>1.117320540458334</v>
      </c>
      <c r="AP68">
        <f t="shared" si="27"/>
        <v>9.0269999999999992</v>
      </c>
      <c r="AQ68" s="10">
        <f t="shared" si="43"/>
        <v>0.88985752806191876</v>
      </c>
      <c r="AR68" s="63">
        <f t="shared" si="54"/>
        <v>13.978675807560844</v>
      </c>
      <c r="AS68" s="63">
        <f t="shared" si="44"/>
        <v>1.6460616552661662</v>
      </c>
      <c r="AT68" s="10"/>
      <c r="AU68">
        <f t="shared" si="45"/>
        <v>88.985752806191869</v>
      </c>
      <c r="BE68" s="28"/>
      <c r="BF68" s="29"/>
    </row>
    <row r="69" spans="1:58" x14ac:dyDescent="0.25">
      <c r="A69" s="33" t="s">
        <v>151</v>
      </c>
      <c r="B69" s="409">
        <f>1-B68</f>
        <v>0.78425</v>
      </c>
      <c r="C69" s="31" t="s">
        <v>23</v>
      </c>
      <c r="G69">
        <v>60</v>
      </c>
      <c r="H69">
        <f t="shared" si="0"/>
        <v>1.7999999999999998</v>
      </c>
      <c r="I69" s="406">
        <f t="shared" si="1"/>
        <v>0.21444999999999995</v>
      </c>
      <c r="J69" s="407">
        <f t="shared" si="2"/>
        <v>1.4221421052631573</v>
      </c>
      <c r="K69" s="407">
        <f t="shared" si="31"/>
        <v>2.5110710526315785</v>
      </c>
      <c r="L69" s="407">
        <f t="shared" si="32"/>
        <v>1.0889289473684212</v>
      </c>
      <c r="M69" s="63">
        <f t="shared" si="3"/>
        <v>0</v>
      </c>
      <c r="N69" s="406">
        <f t="shared" si="46"/>
        <v>1.8462233561056995</v>
      </c>
      <c r="O69" s="406">
        <f t="shared" si="5"/>
        <v>6.8544633085098949E-2</v>
      </c>
      <c r="P69">
        <f t="shared" si="6"/>
        <v>0.2</v>
      </c>
      <c r="Q69" s="406">
        <f t="shared" si="34"/>
        <v>0.26854463308509896</v>
      </c>
      <c r="R69" s="9">
        <f t="shared" si="39"/>
        <v>0.41053706364979253</v>
      </c>
      <c r="S69" s="9">
        <f t="shared" si="7"/>
        <v>1.6854068063019382E-4</v>
      </c>
      <c r="T69" s="9">
        <f t="shared" si="40"/>
        <v>1.6854068063019382E-4</v>
      </c>
      <c r="U69" s="406">
        <f t="shared" si="47"/>
        <v>0.85496289332411657</v>
      </c>
      <c r="V69" s="408">
        <f t="shared" si="9"/>
        <v>7.3096154896114479E-4</v>
      </c>
      <c r="W69" s="406">
        <f t="shared" si="41"/>
        <v>7.3096154896114479E-4</v>
      </c>
      <c r="X69" s="406">
        <f t="shared" si="48"/>
        <v>0.85496289332411657</v>
      </c>
      <c r="Y69" s="406">
        <f t="shared" si="11"/>
        <v>4.3857692937668688E-3</v>
      </c>
      <c r="Z69" s="406">
        <f t="shared" si="12"/>
        <v>0.13333687562818966</v>
      </c>
      <c r="AA69" s="406">
        <f t="shared" si="13"/>
        <v>0.14400000000000002</v>
      </c>
      <c r="AB69" s="406">
        <f t="shared" si="14"/>
        <v>0</v>
      </c>
      <c r="AC69" s="406">
        <f t="shared" si="49"/>
        <v>0.28196997597443513</v>
      </c>
      <c r="AD69" s="406">
        <f t="shared" si="50"/>
        <v>1.6363309969773989</v>
      </c>
      <c r="AE69" s="406">
        <f t="shared" si="17"/>
        <v>1.606547479001429E-2</v>
      </c>
      <c r="AF69" s="406">
        <f t="shared" si="18"/>
        <v>2.5919999999999995E-2</v>
      </c>
      <c r="AG69" s="406">
        <f t="shared" si="51"/>
        <v>4.2093675571408126E-2</v>
      </c>
      <c r="AH69" s="406">
        <f t="shared" si="52"/>
        <v>0</v>
      </c>
      <c r="AI69">
        <f t="shared" si="21"/>
        <v>0</v>
      </c>
      <c r="AJ69" s="407">
        <f t="shared" si="22"/>
        <v>0.35983799999999999</v>
      </c>
      <c r="AK69">
        <f t="shared" si="23"/>
        <v>4.8000000000000001E-2</v>
      </c>
      <c r="AL69" s="407">
        <f t="shared" si="24"/>
        <v>0.1215</v>
      </c>
      <c r="AM69" s="407">
        <f t="shared" si="25"/>
        <v>0.31645971316818772</v>
      </c>
      <c r="AN69" s="407">
        <f t="shared" si="42"/>
        <v>0.16949999999999998</v>
      </c>
      <c r="AO69" s="407">
        <f t="shared" si="53"/>
        <v>1.1228457868605335</v>
      </c>
      <c r="AP69">
        <f t="shared" si="27"/>
        <v>9.1799999999999979</v>
      </c>
      <c r="AQ69" s="10">
        <f t="shared" si="43"/>
        <v>0.89101595713559778</v>
      </c>
      <c r="AR69" s="63">
        <f t="shared" si="54"/>
        <v>14.098498798721756</v>
      </c>
      <c r="AS69" s="63">
        <f t="shared" si="44"/>
        <v>1.6837470228563252</v>
      </c>
      <c r="AT69" s="10"/>
      <c r="AU69">
        <f t="shared" si="45"/>
        <v>89.101595713559774</v>
      </c>
      <c r="BE69" s="28"/>
      <c r="BF69" s="29"/>
    </row>
    <row r="70" spans="1:58" x14ac:dyDescent="0.25">
      <c r="A70" s="43" t="s">
        <v>386</v>
      </c>
      <c r="B70" s="409">
        <f>Ipp</f>
        <v>0.78425</v>
      </c>
      <c r="C70" s="31" t="s">
        <v>2</v>
      </c>
      <c r="G70">
        <v>61</v>
      </c>
      <c r="H70">
        <f t="shared" si="0"/>
        <v>1.83</v>
      </c>
      <c r="I70" s="406">
        <f t="shared" si="1"/>
        <v>0.21448249999999999</v>
      </c>
      <c r="J70" s="407">
        <f t="shared" si="2"/>
        <v>1.4223576315789472</v>
      </c>
      <c r="K70" s="407">
        <f t="shared" si="31"/>
        <v>2.5411788157894737</v>
      </c>
      <c r="L70" s="407">
        <f t="shared" si="32"/>
        <v>1.1188211842105265</v>
      </c>
      <c r="M70" s="63">
        <f t="shared" si="3"/>
        <v>0</v>
      </c>
      <c r="N70" s="406">
        <f t="shared" si="46"/>
        <v>1.8754977390928984</v>
      </c>
      <c r="O70" s="406">
        <f t="shared" si="5"/>
        <v>7.0748004222934022E-2</v>
      </c>
      <c r="P70">
        <f t="shared" si="6"/>
        <v>0.2</v>
      </c>
      <c r="Q70" s="406">
        <f t="shared" si="34"/>
        <v>0.27074800422293405</v>
      </c>
      <c r="R70" s="9">
        <f t="shared" si="39"/>
        <v>0.41059928073801188</v>
      </c>
      <c r="S70" s="9">
        <f t="shared" si="7"/>
        <v>1.6859176934257269E-4</v>
      </c>
      <c r="T70" s="9">
        <f t="shared" si="40"/>
        <v>1.6859176934257269E-4</v>
      </c>
      <c r="U70" s="406">
        <f t="shared" si="47"/>
        <v>0.86858530290237956</v>
      </c>
      <c r="V70" s="408">
        <f t="shared" si="9"/>
        <v>7.544404284180185E-4</v>
      </c>
      <c r="W70" s="406">
        <f t="shared" si="41"/>
        <v>7.544404284180185E-4</v>
      </c>
      <c r="X70" s="406">
        <f t="shared" si="48"/>
        <v>0.86858530290237956</v>
      </c>
      <c r="Y70" s="406">
        <f t="shared" si="11"/>
        <v>4.5266425705081112E-3</v>
      </c>
      <c r="Z70" s="406">
        <f t="shared" si="12"/>
        <v>0.13558497329171376</v>
      </c>
      <c r="AA70" s="406">
        <f t="shared" si="13"/>
        <v>0.14400000000000002</v>
      </c>
      <c r="AB70" s="406">
        <f t="shared" si="14"/>
        <v>0</v>
      </c>
      <c r="AC70" s="406">
        <f t="shared" si="49"/>
        <v>0.28436906328374101</v>
      </c>
      <c r="AD70" s="406">
        <f t="shared" si="50"/>
        <v>1.662242864603291</v>
      </c>
      <c r="AE70" s="406">
        <f t="shared" si="17"/>
        <v>1.657830804554733E-2</v>
      </c>
      <c r="AF70" s="406">
        <f t="shared" si="18"/>
        <v>2.6352E-2</v>
      </c>
      <c r="AG70" s="406">
        <f t="shared" si="51"/>
        <v>4.3044484802141215E-2</v>
      </c>
      <c r="AH70" s="406">
        <f t="shared" si="52"/>
        <v>0</v>
      </c>
      <c r="AI70">
        <f t="shared" si="21"/>
        <v>0</v>
      </c>
      <c r="AJ70" s="407">
        <f t="shared" si="22"/>
        <v>0.35983529999999997</v>
      </c>
      <c r="AK70">
        <f t="shared" si="23"/>
        <v>4.8000000000000001E-2</v>
      </c>
      <c r="AL70" s="407">
        <f t="shared" si="24"/>
        <v>0.1215</v>
      </c>
      <c r="AM70" s="407">
        <f t="shared" si="25"/>
        <v>0.31645971316818772</v>
      </c>
      <c r="AN70" s="407">
        <f t="shared" si="42"/>
        <v>0.16949999999999998</v>
      </c>
      <c r="AO70" s="407">
        <f t="shared" si="53"/>
        <v>1.1284198845065769</v>
      </c>
      <c r="AP70">
        <f t="shared" si="27"/>
        <v>9.3330000000000002</v>
      </c>
      <c r="AQ70" s="10">
        <f t="shared" si="43"/>
        <v>0.89213511196718398</v>
      </c>
      <c r="AR70" s="63">
        <f t="shared" si="54"/>
        <v>14.21845316418705</v>
      </c>
      <c r="AS70" s="63">
        <f t="shared" si="44"/>
        <v>1.7217793920856486</v>
      </c>
      <c r="AT70" s="10"/>
      <c r="AU70">
        <f t="shared" si="45"/>
        <v>89.2135111967184</v>
      </c>
      <c r="BE70" s="28"/>
      <c r="BF70" s="29"/>
    </row>
    <row r="71" spans="1:58" x14ac:dyDescent="0.25">
      <c r="A71" s="24" t="s">
        <v>129</v>
      </c>
      <c r="B71" s="25" t="s">
        <v>8</v>
      </c>
      <c r="C71" s="27" t="s">
        <v>148</v>
      </c>
      <c r="G71">
        <v>62</v>
      </c>
      <c r="H71">
        <f t="shared" si="0"/>
        <v>1.8599999999999999</v>
      </c>
      <c r="I71" s="406">
        <f t="shared" si="1"/>
        <v>0.21451500000000001</v>
      </c>
      <c r="J71" s="407">
        <f t="shared" si="2"/>
        <v>1.4225731578947369</v>
      </c>
      <c r="K71" s="407">
        <f t="shared" si="31"/>
        <v>2.5712865789473685</v>
      </c>
      <c r="L71" s="407">
        <f t="shared" si="32"/>
        <v>1.1487134210526313</v>
      </c>
      <c r="M71" s="63">
        <f t="shared" si="3"/>
        <v>0</v>
      </c>
      <c r="N71" s="406">
        <f t="shared" si="46"/>
        <v>1.9047947043702329</v>
      </c>
      <c r="O71" s="406">
        <f t="shared" si="5"/>
        <v>7.2988569727776897E-2</v>
      </c>
      <c r="P71">
        <f t="shared" si="6"/>
        <v>0.2</v>
      </c>
      <c r="Q71" s="406">
        <f t="shared" si="34"/>
        <v>0.27298856972777691</v>
      </c>
      <c r="R71" s="9">
        <f t="shared" si="39"/>
        <v>0.41066149782623118</v>
      </c>
      <c r="S71" s="9">
        <f t="shared" si="7"/>
        <v>1.6864286579688367E-4</v>
      </c>
      <c r="T71" s="9">
        <f t="shared" si="40"/>
        <v>1.6864286579688367E-4</v>
      </c>
      <c r="U71" s="406">
        <f t="shared" si="47"/>
        <v>0.88222022100857467</v>
      </c>
      <c r="V71" s="408">
        <f t="shared" si="9"/>
        <v>7.7831251835641841E-4</v>
      </c>
      <c r="W71" s="406">
        <f t="shared" si="41"/>
        <v>7.7831251835641841E-4</v>
      </c>
      <c r="X71" s="406">
        <f t="shared" si="48"/>
        <v>0.88222022100857467</v>
      </c>
      <c r="Y71" s="406">
        <f t="shared" si="11"/>
        <v>4.6698751101385098E-3</v>
      </c>
      <c r="Z71" s="406">
        <f t="shared" si="12"/>
        <v>0.13783307095523784</v>
      </c>
      <c r="AA71" s="406">
        <f t="shared" si="13"/>
        <v>0.14400000000000002</v>
      </c>
      <c r="AB71" s="406">
        <f t="shared" si="14"/>
        <v>0</v>
      </c>
      <c r="AC71" s="406">
        <f t="shared" si="49"/>
        <v>0.28677078281357155</v>
      </c>
      <c r="AD71" s="406">
        <f t="shared" si="50"/>
        <v>1.6881736721796323</v>
      </c>
      <c r="AE71" s="406">
        <f t="shared" si="17"/>
        <v>1.7099582084642791E-2</v>
      </c>
      <c r="AF71" s="406">
        <f t="shared" si="18"/>
        <v>2.6783999999999999E-2</v>
      </c>
      <c r="AG71" s="406">
        <f t="shared" si="51"/>
        <v>4.4003974015158417E-2</v>
      </c>
      <c r="AH71" s="406">
        <f t="shared" si="52"/>
        <v>0</v>
      </c>
      <c r="AI71">
        <f t="shared" si="21"/>
        <v>0</v>
      </c>
      <c r="AJ71" s="407">
        <f t="shared" si="22"/>
        <v>0.3598326</v>
      </c>
      <c r="AK71">
        <f t="shared" si="23"/>
        <v>4.8000000000000001E-2</v>
      </c>
      <c r="AL71" s="407">
        <f t="shared" si="24"/>
        <v>0.1215</v>
      </c>
      <c r="AM71" s="407">
        <f t="shared" si="25"/>
        <v>0.31645971316818772</v>
      </c>
      <c r="AN71" s="407">
        <f t="shared" si="42"/>
        <v>0.16949999999999998</v>
      </c>
      <c r="AO71" s="407">
        <f t="shared" si="53"/>
        <v>1.1340428819406601</v>
      </c>
      <c r="AP71">
        <f t="shared" si="27"/>
        <v>9.4859999999999989</v>
      </c>
      <c r="AQ71" s="10">
        <f t="shared" si="43"/>
        <v>0.89321673231008369</v>
      </c>
      <c r="AR71" s="63">
        <f t="shared" si="54"/>
        <v>14.338539140678577</v>
      </c>
      <c r="AS71" s="63">
        <f t="shared" si="44"/>
        <v>1.7601589606063368</v>
      </c>
      <c r="AT71" s="10"/>
      <c r="AU71">
        <f t="shared" si="45"/>
        <v>89.321673231008376</v>
      </c>
      <c r="BE71" s="28"/>
      <c r="BF71" s="29"/>
    </row>
    <row r="72" spans="1:58" x14ac:dyDescent="0.25">
      <c r="A72" s="42" t="s">
        <v>166</v>
      </c>
      <c r="B72" s="409">
        <f>(QgdTop+QgsTop/2)*(RdsonDRT+RGateTop)/(Vdd-VspTop)*1000000000</f>
        <v>10.714285714285715</v>
      </c>
      <c r="C72" s="31" t="s">
        <v>147</v>
      </c>
      <c r="G72">
        <v>63</v>
      </c>
      <c r="H72">
        <f t="shared" si="0"/>
        <v>1.8900000000000001</v>
      </c>
      <c r="I72" s="406">
        <f t="shared" si="1"/>
        <v>0.21454749999999997</v>
      </c>
      <c r="J72" s="407">
        <f t="shared" si="2"/>
        <v>1.422788684210526</v>
      </c>
      <c r="K72" s="407">
        <f t="shared" si="31"/>
        <v>2.6013943421052632</v>
      </c>
      <c r="L72" s="407">
        <f t="shared" si="32"/>
        <v>1.178605657894737</v>
      </c>
      <c r="M72" s="63">
        <f t="shared" si="3"/>
        <v>0</v>
      </c>
      <c r="N72" s="406">
        <f t="shared" si="46"/>
        <v>1.934113225742776</v>
      </c>
      <c r="O72" s="406">
        <f t="shared" si="5"/>
        <v>7.5266368966539834E-2</v>
      </c>
      <c r="P72">
        <f t="shared" si="6"/>
        <v>0.2</v>
      </c>
      <c r="Q72" s="406">
        <f t="shared" si="34"/>
        <v>0.27526636896653983</v>
      </c>
      <c r="R72" s="9">
        <f t="shared" si="39"/>
        <v>0.41072371491445031</v>
      </c>
      <c r="S72" s="9">
        <f t="shared" si="7"/>
        <v>1.6869396999312668E-4</v>
      </c>
      <c r="T72" s="9">
        <f t="shared" si="40"/>
        <v>1.6869396999312668E-4</v>
      </c>
      <c r="U72" s="406">
        <f t="shared" si="47"/>
        <v>0.89586717446120334</v>
      </c>
      <c r="V72" s="408">
        <f t="shared" si="9"/>
        <v>8.0257799427710017E-4</v>
      </c>
      <c r="W72" s="406">
        <f t="shared" si="41"/>
        <v>8.0257799427710017E-4</v>
      </c>
      <c r="X72" s="406">
        <f t="shared" si="48"/>
        <v>0.89586717446120334</v>
      </c>
      <c r="Y72" s="406">
        <f t="shared" si="11"/>
        <v>4.8154679656626015E-3</v>
      </c>
      <c r="Z72" s="406">
        <f t="shared" si="12"/>
        <v>0.14008116861876196</v>
      </c>
      <c r="AA72" s="406">
        <f t="shared" si="13"/>
        <v>0.14400000000000002</v>
      </c>
      <c r="AB72" s="406">
        <f t="shared" si="14"/>
        <v>0</v>
      </c>
      <c r="AC72" s="406">
        <f t="shared" si="49"/>
        <v>0.28917513930838573</v>
      </c>
      <c r="AD72" s="406">
        <f t="shared" si="50"/>
        <v>1.7141225089578709</v>
      </c>
      <c r="AE72" s="406">
        <f t="shared" si="17"/>
        <v>1.7629295854296158E-2</v>
      </c>
      <c r="AF72" s="406">
        <f t="shared" si="18"/>
        <v>2.7216000000000001E-2</v>
      </c>
      <c r="AG72" s="406">
        <f t="shared" si="51"/>
        <v>4.4972148223293228E-2</v>
      </c>
      <c r="AH72" s="406">
        <f t="shared" si="52"/>
        <v>0</v>
      </c>
      <c r="AI72">
        <f t="shared" si="21"/>
        <v>0</v>
      </c>
      <c r="AJ72" s="407">
        <f t="shared" si="22"/>
        <v>0.35982989999999998</v>
      </c>
      <c r="AK72">
        <f t="shared" si="23"/>
        <v>4.8000000000000001E-2</v>
      </c>
      <c r="AL72" s="407">
        <f t="shared" si="24"/>
        <v>0.1215</v>
      </c>
      <c r="AM72" s="407">
        <f t="shared" si="25"/>
        <v>0.31645971316818772</v>
      </c>
      <c r="AN72" s="407">
        <f t="shared" si="42"/>
        <v>0.16949999999999998</v>
      </c>
      <c r="AO72" s="407">
        <f t="shared" si="53"/>
        <v>1.1397148284624889</v>
      </c>
      <c r="AP72">
        <f t="shared" si="27"/>
        <v>9.6389999999999993</v>
      </c>
      <c r="AQ72" s="10">
        <f t="shared" si="43"/>
        <v>0.89426245646160563</v>
      </c>
      <c r="AR72" s="63">
        <f t="shared" si="54"/>
        <v>14.458756965419287</v>
      </c>
      <c r="AS72" s="63">
        <f t="shared" si="44"/>
        <v>1.7988859289317292</v>
      </c>
      <c r="AT72" s="10"/>
      <c r="AU72">
        <f t="shared" si="45"/>
        <v>89.426245646160567</v>
      </c>
      <c r="BE72" s="28"/>
      <c r="BF72" s="29"/>
    </row>
    <row r="73" spans="1:58" x14ac:dyDescent="0.25">
      <c r="A73" s="43" t="s">
        <v>167</v>
      </c>
      <c r="B73" s="409">
        <f>(QgdTop+QgsTop/2)*(RdsonDRT+RGateTop)/(VspTop)*1000000000</f>
        <v>10.103626943005183</v>
      </c>
      <c r="C73" s="31" t="s">
        <v>147</v>
      </c>
      <c r="G73">
        <v>64</v>
      </c>
      <c r="H73">
        <f t="shared" ref="H73:H136" si="55">Iout*(G73/200)</f>
        <v>1.92</v>
      </c>
      <c r="I73" s="406">
        <f t="shared" si="1"/>
        <v>0.21457999999999999</v>
      </c>
      <c r="J73" s="407">
        <f t="shared" ref="J73:J136" si="56">(Vin-Vout)*I73/(Fsw*Lout2)</f>
        <v>1.4230042105263154</v>
      </c>
      <c r="K73" s="407">
        <f t="shared" si="31"/>
        <v>2.6315021052631575</v>
      </c>
      <c r="L73" s="407">
        <f t="shared" si="32"/>
        <v>1.2084978947368423</v>
      </c>
      <c r="M73" s="63">
        <f t="shared" ref="M73:M136" si="57">IF(MIN(Vin, -L73/(CossTop+CossBot)*0.00000002)&lt;0, 0, MIN(Vin, -L73/(CossTop+CossBot)*0.00000002))</f>
        <v>0</v>
      </c>
      <c r="N73" s="406">
        <f t="shared" ref="N73:N109" si="58">SQRT(H73^2+(J73^2)/12)</f>
        <v>1.9634523375756545</v>
      </c>
      <c r="O73" s="406">
        <f t="shared" si="5"/>
        <v>7.7581441981834698E-2</v>
      </c>
      <c r="P73">
        <f t="shared" ref="P73:P136" si="59">Core_Loss</f>
        <v>0.2</v>
      </c>
      <c r="Q73" s="406">
        <f t="shared" si="34"/>
        <v>0.27758144198183471</v>
      </c>
      <c r="R73" s="9">
        <f t="shared" si="39"/>
        <v>0.41078593200266955</v>
      </c>
      <c r="S73" s="9">
        <f t="shared" si="7"/>
        <v>1.6874508193130187E-4</v>
      </c>
      <c r="T73" s="9">
        <f t="shared" si="40"/>
        <v>1.6874508193130187E-4</v>
      </c>
      <c r="U73" s="406">
        <f t="shared" ref="U73:U109" si="60">SQRT(I73)*SQRT(H73^2+(J73^2)/12)</f>
        <v>0.90952571798757764</v>
      </c>
      <c r="V73" s="408">
        <f t="shared" si="9"/>
        <v>8.2723703168081865E-4</v>
      </c>
      <c r="W73" s="406">
        <f t="shared" si="41"/>
        <v>8.2723703168081865E-4</v>
      </c>
      <c r="X73" s="406">
        <f t="shared" ref="X73:X109" si="61">SQRT(I73)*SQRT(H73^2+(J73^2)/12)</f>
        <v>0.90952571798757764</v>
      </c>
      <c r="Y73" s="406">
        <f t="shared" si="11"/>
        <v>4.9634221900849117E-3</v>
      </c>
      <c r="Z73" s="406">
        <f t="shared" ref="Z73:Z136" si="62">IF(L73&lt;0, (Vin*K73*Tf/2)*Fsw, (Vin*L73*Tr/2+Vin*K73*Tf/2)*Fsw)</f>
        <v>0.14232926628228607</v>
      </c>
      <c r="AA73" s="406">
        <f t="shared" ref="AA73:AA136" si="63">(0.5*CossTop*(Vin-M73)^2-0.5*CossBot*(Vin-M73)^2+(QossBot*(Vin-M73)/Vin)*Vin)*Fsw</f>
        <v>0.14400000000000002</v>
      </c>
      <c r="AB73" s="406">
        <f t="shared" ref="AB73:AB136" si="64">IF(L73&gt;0,0,-L73*VsdTop*Deadtime*Fsw)</f>
        <v>0</v>
      </c>
      <c r="AC73" s="406">
        <f t="shared" ref="AC73:AC104" si="65">(AB73+AA73+Z73+Y73*(1+RdsonTopTc*Ta-RdsonTopTc*25))/(1-Y73*RdsonTopTc*ThetaJaTop)</f>
        <v>0.29158213752269346</v>
      </c>
      <c r="AD73" s="406">
        <f t="shared" ref="AD73:AD109" si="66">SQRT(1-I73)*SQRT(H73^2+(J73^2)/12)</f>
        <v>1.7400885179353616</v>
      </c>
      <c r="AE73" s="406">
        <f t="shared" si="17"/>
        <v>1.8167448301502898E-2</v>
      </c>
      <c r="AF73" s="406">
        <f t="shared" ref="AF73:AF136" si="67">IF(L73&lt;0, Deadtime*Fsw*IF(VfdSky&gt;0,0,VsdBot)*K73, Deadtime*Fsw*IF(VfdSky&gt;0,0,VsdBot)*(K73+L73))</f>
        <v>2.7647999999999999E-2</v>
      </c>
      <c r="AG73" s="406">
        <f t="shared" ref="AG73:AG104" si="68">(AF73+AE73*(1+RdsonBotTc*Ta-RdsonBotTc*25))/(1-AE73*RdsonBotTc*ThetaJaBot)</f>
        <v>4.5949012510990664E-2</v>
      </c>
      <c r="AH73" s="406">
        <f t="shared" ref="AH73:AH109" si="69">IF(RDSON_sense=1, 0, AD73^2*Rshunt)</f>
        <v>0</v>
      </c>
      <c r="AI73">
        <f t="shared" ref="AI73:AI136" si="70">2*Deadtime*Fsw*IF(VfdSky&gt;0,VfdSky,0)*H73</f>
        <v>0</v>
      </c>
      <c r="AJ73" s="407">
        <f t="shared" ref="AJ73:AJ136" si="71">IF(QrrSky&gt;0,QrrSky,QrrBot)*Fsw*(Vin-H73*RdsonTop)</f>
        <v>0.35982719999999996</v>
      </c>
      <c r="AK73">
        <f t="shared" si="23"/>
        <v>4.8000000000000001E-2</v>
      </c>
      <c r="AL73" s="407">
        <f t="shared" ref="AL73:AL136" si="72">IF(Ext_VCC=1, Vdd*(QgTop+QgBot)*Fsw, Vin*(QgTop+QgBot)*Fsw)</f>
        <v>0.1215</v>
      </c>
      <c r="AM73" s="407">
        <f t="shared" si="25"/>
        <v>0.31645971316818772</v>
      </c>
      <c r="AN73" s="407">
        <f t="shared" si="42"/>
        <v>0.16949999999999998</v>
      </c>
      <c r="AO73" s="407">
        <f t="shared" ref="AO73:AO104" si="73">SUM(Q73,T73,W73,AC73,AJ73,AI73,AG73,AN73, AH73)</f>
        <v>1.145435774129131</v>
      </c>
      <c r="AP73">
        <f t="shared" ref="AP73:AP136" si="74">Vout*H73</f>
        <v>9.7919999999999998</v>
      </c>
      <c r="AQ73" s="10">
        <f t="shared" si="43"/>
        <v>0.89527382854777637</v>
      </c>
      <c r="AR73" s="63">
        <f t="shared" ref="AR73:AR109" si="75">ThetaJaTop*AC73</f>
        <v>14.579106876134674</v>
      </c>
      <c r="AS73" s="63">
        <f t="shared" si="44"/>
        <v>1.8379605004396264</v>
      </c>
      <c r="AT73" s="10"/>
      <c r="AU73">
        <f t="shared" si="45"/>
        <v>89.527382854777642</v>
      </c>
      <c r="BE73" s="28"/>
      <c r="BF73" s="29"/>
    </row>
    <row r="74" spans="1:58" x14ac:dyDescent="0.25">
      <c r="A74" s="24" t="s">
        <v>206</v>
      </c>
      <c r="B74" s="25" t="s">
        <v>8</v>
      </c>
      <c r="C74" s="27" t="s">
        <v>148</v>
      </c>
      <c r="G74">
        <v>65</v>
      </c>
      <c r="H74">
        <f t="shared" si="55"/>
        <v>1.9500000000000002</v>
      </c>
      <c r="I74" s="406">
        <f t="shared" ref="I74:I109" si="76">(Vout+Rdcr*H74+RdsonBot*H74)/(Vin-RdsonTop*H74+RdsonBot*H74)</f>
        <v>0.21461249999999998</v>
      </c>
      <c r="J74" s="407">
        <f t="shared" si="56"/>
        <v>1.4232197368421049</v>
      </c>
      <c r="K74" s="407">
        <f t="shared" ref="K74:K137" si="77">H74+J74/2</f>
        <v>2.6616098684210527</v>
      </c>
      <c r="L74" s="407">
        <f t="shared" ref="L74:L109" si="78">H74-J74/2</f>
        <v>1.2383901315789476</v>
      </c>
      <c r="M74" s="63">
        <f t="shared" si="57"/>
        <v>0</v>
      </c>
      <c r="N74" s="406">
        <f t="shared" si="58"/>
        <v>1.9928111304414702</v>
      </c>
      <c r="O74" s="406">
        <f t="shared" ref="O74:O109" si="79">(N74^2*Rdcr*(1+Ltc*Ta-Ltc*25))/(1-N74^2*Rdcr*Ltc*ThetaCa)</f>
        <v>7.993382949374625E-2</v>
      </c>
      <c r="P74">
        <f t="shared" si="59"/>
        <v>0.2</v>
      </c>
      <c r="Q74" s="406">
        <f t="shared" ref="Q74:Q137" si="80">O74+P74</f>
        <v>0.27993382949374623</v>
      </c>
      <c r="R74" s="9">
        <f t="shared" si="39"/>
        <v>0.41084814909088885</v>
      </c>
      <c r="S74" s="9">
        <f t="shared" ref="S74:S109" si="81">RCoutEsr*R74^2</f>
        <v>1.6879620161140924E-4</v>
      </c>
      <c r="T74" s="9">
        <f t="shared" si="40"/>
        <v>1.6879620161140924E-4</v>
      </c>
      <c r="U74" s="406">
        <f t="shared" si="60"/>
        <v>0.92319543221808054</v>
      </c>
      <c r="V74" s="408">
        <f t="shared" ref="V74:V109" si="82">RCinEsr*U74^2</f>
        <v>8.5228980606832851E-4</v>
      </c>
      <c r="W74" s="406">
        <f t="shared" si="41"/>
        <v>8.5228980606832851E-4</v>
      </c>
      <c r="X74" s="406">
        <f t="shared" si="61"/>
        <v>0.92319543221808054</v>
      </c>
      <c r="Y74" s="406">
        <f t="shared" ref="Y74:Y109" si="83">RdsonTop*X74^2</f>
        <v>5.1137388364099713E-3</v>
      </c>
      <c r="Z74" s="406">
        <f t="shared" si="62"/>
        <v>0.14457736394581017</v>
      </c>
      <c r="AA74" s="406">
        <f t="shared" si="63"/>
        <v>0.14400000000000002</v>
      </c>
      <c r="AB74" s="406">
        <f t="shared" si="64"/>
        <v>0</v>
      </c>
      <c r="AC74" s="406">
        <f t="shared" si="65"/>
        <v>0.29399178222108602</v>
      </c>
      <c r="AD74" s="406">
        <f t="shared" si="66"/>
        <v>1.766070891992471</v>
      </c>
      <c r="AE74" s="406">
        <f t="shared" ref="AE74:AE109" si="84">RdsonBot*AD74^2</f>
        <v>1.8714038373258496E-2</v>
      </c>
      <c r="AF74" s="406">
        <f t="shared" si="67"/>
        <v>2.8080000000000001E-2</v>
      </c>
      <c r="AG74" s="406">
        <f t="shared" si="68"/>
        <v>4.6934572034391948E-2</v>
      </c>
      <c r="AH74" s="406">
        <f t="shared" si="69"/>
        <v>0</v>
      </c>
      <c r="AI74">
        <f t="shared" si="70"/>
        <v>0</v>
      </c>
      <c r="AJ74" s="407">
        <f t="shared" si="71"/>
        <v>0.35982449999999999</v>
      </c>
      <c r="AK74">
        <f t="shared" ref="AK74:AK137" si="85">Iq*Vin</f>
        <v>4.8000000000000001E-2</v>
      </c>
      <c r="AL74" s="407">
        <f t="shared" si="72"/>
        <v>0.1215</v>
      </c>
      <c r="AM74" s="407">
        <f t="shared" ref="AM74:AM137" si="86">(Vin-Vdd)*Fsw*(QgTop+QgBot)+(RdsonDRT+RdsonDRT2)*Fsw*QgTop*Vdd/(RdsonDRT+2*RGateTop+RdsonDRT2)+(RdsonDRB+RdsonDRB2)*Fsw*QgBot*Vdd/(RdsonDRB+2*RGateBot+RdsonDRB2)</f>
        <v>0.31645971316818772</v>
      </c>
      <c r="AN74" s="407">
        <f t="shared" si="42"/>
        <v>0.16949999999999998</v>
      </c>
      <c r="AO74" s="407">
        <f t="shared" si="73"/>
        <v>1.151205769756904</v>
      </c>
      <c r="AP74">
        <f t="shared" si="74"/>
        <v>9.9450000000000003</v>
      </c>
      <c r="AQ74" s="10">
        <f t="shared" si="43"/>
        <v>0.89625230518935073</v>
      </c>
      <c r="AR74" s="63">
        <f t="shared" si="75"/>
        <v>14.699589111054301</v>
      </c>
      <c r="AS74" s="63">
        <f t="shared" si="44"/>
        <v>1.8773828813756779</v>
      </c>
      <c r="AT74" s="10"/>
      <c r="AU74">
        <f t="shared" si="45"/>
        <v>89.625230518935069</v>
      </c>
      <c r="BE74" s="28"/>
      <c r="BF74" s="29"/>
    </row>
    <row r="75" spans="1:58" x14ac:dyDescent="0.25">
      <c r="A75" s="44" t="s">
        <v>207</v>
      </c>
      <c r="B75" s="121">
        <f>AN9</f>
        <v>0.16949999999999998</v>
      </c>
      <c r="C75" s="122" t="s">
        <v>208</v>
      </c>
      <c r="G75">
        <v>66</v>
      </c>
      <c r="H75">
        <f t="shared" si="55"/>
        <v>1.98</v>
      </c>
      <c r="I75" s="406">
        <f t="shared" si="76"/>
        <v>0.21464499999999997</v>
      </c>
      <c r="J75" s="407">
        <f t="shared" si="56"/>
        <v>1.4234352631578944</v>
      </c>
      <c r="K75" s="407">
        <f t="shared" si="77"/>
        <v>2.6917176315789471</v>
      </c>
      <c r="L75" s="407">
        <f t="shared" si="78"/>
        <v>1.2682823684210529</v>
      </c>
      <c r="M75" s="63">
        <f t="shared" si="57"/>
        <v>0</v>
      </c>
      <c r="N75" s="406">
        <f t="shared" si="58"/>
        <v>2.0221887471335234</v>
      </c>
      <c r="O75" s="406">
        <f t="shared" si="79"/>
        <v>8.2323572901636194E-2</v>
      </c>
      <c r="P75">
        <f t="shared" si="59"/>
        <v>0.2</v>
      </c>
      <c r="Q75" s="406">
        <f t="shared" si="80"/>
        <v>0.28232357290163623</v>
      </c>
      <c r="R75" s="9">
        <f t="shared" ref="R75:R109" si="87">J75/(2*SQRT(3))</f>
        <v>0.41091036617910809</v>
      </c>
      <c r="S75" s="9">
        <f t="shared" si="81"/>
        <v>1.688473290334487E-4</v>
      </c>
      <c r="T75" s="9">
        <f t="shared" ref="T75:T109" si="88">S75</f>
        <v>1.688473290334487E-4</v>
      </c>
      <c r="U75" s="406">
        <f t="shared" si="60"/>
        <v>0.93687592184898449</v>
      </c>
      <c r="V75" s="408">
        <f t="shared" si="82"/>
        <v>8.7773649294038453E-4</v>
      </c>
      <c r="W75" s="406">
        <f t="shared" ref="W75:W109" si="89">V75</f>
        <v>8.7773649294038453E-4</v>
      </c>
      <c r="X75" s="406">
        <f t="shared" si="61"/>
        <v>0.93687592184898449</v>
      </c>
      <c r="Y75" s="406">
        <f t="shared" si="83"/>
        <v>5.2664189576423067E-3</v>
      </c>
      <c r="Z75" s="406">
        <f t="shared" si="62"/>
        <v>0.14682546160933424</v>
      </c>
      <c r="AA75" s="406">
        <f t="shared" si="63"/>
        <v>0.14400000000000002</v>
      </c>
      <c r="AB75" s="406">
        <f t="shared" si="64"/>
        <v>0</v>
      </c>
      <c r="AC75" s="406">
        <f t="shared" si="65"/>
        <v>0.29640407817826464</v>
      </c>
      <c r="AD75" s="406">
        <f t="shared" si="66"/>
        <v>1.7920688703543355</v>
      </c>
      <c r="AE75" s="406">
        <f t="shared" si="84"/>
        <v>1.9269065016558385E-2</v>
      </c>
      <c r="AF75" s="406">
        <f t="shared" si="67"/>
        <v>2.8511999999999999E-2</v>
      </c>
      <c r="AG75" s="406">
        <f t="shared" si="68"/>
        <v>4.7928832021420537E-2</v>
      </c>
      <c r="AH75" s="406">
        <f t="shared" si="69"/>
        <v>0</v>
      </c>
      <c r="AI75">
        <f t="shared" si="70"/>
        <v>0</v>
      </c>
      <c r="AJ75" s="407">
        <f t="shared" si="71"/>
        <v>0.35982179999999997</v>
      </c>
      <c r="AK75">
        <f t="shared" si="85"/>
        <v>4.8000000000000001E-2</v>
      </c>
      <c r="AL75" s="407">
        <f t="shared" si="72"/>
        <v>0.1215</v>
      </c>
      <c r="AM75" s="407">
        <f t="shared" si="86"/>
        <v>0.31645971316818772</v>
      </c>
      <c r="AN75" s="407">
        <f t="shared" ref="AN75:AN109" si="90">SUM(AK75:AL75)</f>
        <v>0.16949999999999998</v>
      </c>
      <c r="AO75" s="407">
        <f t="shared" si="73"/>
        <v>1.1570248669232952</v>
      </c>
      <c r="AP75">
        <f t="shared" si="74"/>
        <v>10.097999999999999</v>
      </c>
      <c r="AQ75" s="10">
        <f t="shared" ref="AQ75:AQ109" si="91">AP75/(AP75+AO75)</f>
        <v>0.89719926160948738</v>
      </c>
      <c r="AR75" s="63">
        <f t="shared" si="75"/>
        <v>14.820203908913232</v>
      </c>
      <c r="AS75" s="63">
        <f t="shared" ref="AS75:AS109" si="92">AG75*ThetaJaBot</f>
        <v>1.9171532808568215</v>
      </c>
      <c r="AT75" s="10"/>
      <c r="AU75">
        <f t="shared" ref="AU75:AU109" si="93">AQ75*100</f>
        <v>89.719926160948731</v>
      </c>
      <c r="BE75" s="28"/>
      <c r="BF75" s="29"/>
    </row>
    <row r="76" spans="1:58" x14ac:dyDescent="0.25">
      <c r="A76" s="44" t="s">
        <v>211</v>
      </c>
      <c r="B76" s="120">
        <f>B75*B62</f>
        <v>3.3899999999999997</v>
      </c>
      <c r="C76" s="416" t="s">
        <v>441</v>
      </c>
      <c r="G76">
        <v>67</v>
      </c>
      <c r="H76">
        <f t="shared" si="55"/>
        <v>2.0100000000000002</v>
      </c>
      <c r="I76" s="406">
        <f t="shared" si="76"/>
        <v>0.21467749999999997</v>
      </c>
      <c r="J76" s="407">
        <f t="shared" si="56"/>
        <v>1.4236507894736838</v>
      </c>
      <c r="K76" s="407">
        <f t="shared" si="77"/>
        <v>2.7218253947368423</v>
      </c>
      <c r="L76" s="407">
        <f t="shared" si="78"/>
        <v>1.2981746052631582</v>
      </c>
      <c r="M76" s="63">
        <f t="shared" si="57"/>
        <v>0</v>
      </c>
      <c r="N76" s="406">
        <f t="shared" si="58"/>
        <v>2.051584379009896</v>
      </c>
      <c r="O76" s="406">
        <f t="shared" si="79"/>
        <v>8.4750714285979328E-2</v>
      </c>
      <c r="P76">
        <f t="shared" si="59"/>
        <v>0.2</v>
      </c>
      <c r="Q76" s="406">
        <f t="shared" si="80"/>
        <v>0.28475071428597931</v>
      </c>
      <c r="R76" s="9">
        <f t="shared" si="87"/>
        <v>0.41097258326732733</v>
      </c>
      <c r="S76" s="9">
        <f t="shared" si="81"/>
        <v>1.6889846419742031E-4</v>
      </c>
      <c r="T76" s="9">
        <f t="shared" si="88"/>
        <v>1.6889846419742031E-4</v>
      </c>
      <c r="U76" s="406">
        <f t="shared" si="60"/>
        <v>0.9505668139577258</v>
      </c>
      <c r="V76" s="408">
        <f t="shared" si="82"/>
        <v>9.0357726779774169E-4</v>
      </c>
      <c r="W76" s="406">
        <f t="shared" si="89"/>
        <v>9.0357726779774169E-4</v>
      </c>
      <c r="X76" s="406">
        <f t="shared" si="61"/>
        <v>0.9505668139577258</v>
      </c>
      <c r="Y76" s="406">
        <f t="shared" si="83"/>
        <v>5.4214636067864506E-3</v>
      </c>
      <c r="Z76" s="406">
        <f t="shared" si="62"/>
        <v>0.14907355927285837</v>
      </c>
      <c r="AA76" s="406">
        <f t="shared" si="63"/>
        <v>0.14400000000000002</v>
      </c>
      <c r="AB76" s="406">
        <f t="shared" si="64"/>
        <v>0</v>
      </c>
      <c r="AC76" s="406">
        <f t="shared" si="65"/>
        <v>0.29881903017907108</v>
      </c>
      <c r="AD76" s="406">
        <f t="shared" si="66"/>
        <v>1.8180817353462628</v>
      </c>
      <c r="AE76" s="406">
        <f t="shared" si="84"/>
        <v>1.9832527178398073E-2</v>
      </c>
      <c r="AF76" s="406">
        <f t="shared" si="67"/>
        <v>2.8944000000000001E-2</v>
      </c>
      <c r="AG76" s="406">
        <f t="shared" si="68"/>
        <v>4.8931797771869831E-2</v>
      </c>
      <c r="AH76" s="406">
        <f t="shared" si="69"/>
        <v>0</v>
      </c>
      <c r="AI76">
        <f t="shared" si="70"/>
        <v>0</v>
      </c>
      <c r="AJ76" s="407">
        <f t="shared" si="71"/>
        <v>0.35981909999999995</v>
      </c>
      <c r="AK76">
        <f t="shared" si="85"/>
        <v>4.8000000000000001E-2</v>
      </c>
      <c r="AL76" s="407">
        <f t="shared" si="72"/>
        <v>0.1215</v>
      </c>
      <c r="AM76" s="407">
        <f t="shared" si="86"/>
        <v>0.31645971316818772</v>
      </c>
      <c r="AN76" s="407">
        <f t="shared" si="90"/>
        <v>0.16949999999999998</v>
      </c>
      <c r="AO76" s="407">
        <f t="shared" si="73"/>
        <v>1.1628931179689155</v>
      </c>
      <c r="AP76">
        <f t="shared" si="74"/>
        <v>10.251000000000001</v>
      </c>
      <c r="AQ76" s="10">
        <f t="shared" si="91"/>
        <v>0.89811599723689628</v>
      </c>
      <c r="AR76" s="63">
        <f t="shared" si="75"/>
        <v>14.940951508953553</v>
      </c>
      <c r="AS76" s="63">
        <f t="shared" si="92"/>
        <v>1.9572719108747934</v>
      </c>
      <c r="AT76" s="10"/>
      <c r="AU76">
        <f t="shared" si="93"/>
        <v>89.811599723689625</v>
      </c>
      <c r="BE76" s="28"/>
      <c r="BF76" s="29"/>
    </row>
    <row r="77" spans="1:58" x14ac:dyDescent="0.25">
      <c r="A77" s="44" t="s">
        <v>387</v>
      </c>
      <c r="B77" s="120">
        <f>(QgBot+QgTop)*Fsw+Iq</f>
        <v>1.8200000000000001E-2</v>
      </c>
      <c r="C77" s="31" t="s">
        <v>2</v>
      </c>
      <c r="G77">
        <v>68</v>
      </c>
      <c r="H77">
        <f t="shared" si="55"/>
        <v>2.04</v>
      </c>
      <c r="I77" s="406">
        <f t="shared" si="76"/>
        <v>0.21470999999999998</v>
      </c>
      <c r="J77" s="407">
        <f t="shared" si="56"/>
        <v>1.4238663157894735</v>
      </c>
      <c r="K77" s="407">
        <f t="shared" si="77"/>
        <v>2.7519331578947366</v>
      </c>
      <c r="L77" s="407">
        <f t="shared" si="78"/>
        <v>1.3280668421052633</v>
      </c>
      <c r="M77" s="63">
        <f t="shared" si="57"/>
        <v>0</v>
      </c>
      <c r="N77" s="406">
        <f t="shared" si="58"/>
        <v>2.0809972626371529</v>
      </c>
      <c r="O77" s="406">
        <f t="shared" si="79"/>
        <v>8.7215296410230833E-2</v>
      </c>
      <c r="P77">
        <f t="shared" si="59"/>
        <v>0.2</v>
      </c>
      <c r="Q77" s="406">
        <f t="shared" si="80"/>
        <v>0.28721529641023086</v>
      </c>
      <c r="R77" s="9">
        <f t="shared" si="87"/>
        <v>0.41103480035554663</v>
      </c>
      <c r="S77" s="9">
        <f t="shared" si="81"/>
        <v>1.6894960710332407E-4</v>
      </c>
      <c r="T77" s="9">
        <f t="shared" si="88"/>
        <v>1.6894960710332407E-4</v>
      </c>
      <c r="U77" s="406">
        <f t="shared" si="60"/>
        <v>0.96426775645624208</v>
      </c>
      <c r="V77" s="408">
        <f t="shared" si="82"/>
        <v>9.2981230614115466E-4</v>
      </c>
      <c r="W77" s="406">
        <f t="shared" si="89"/>
        <v>9.2981230614115466E-4</v>
      </c>
      <c r="X77" s="406">
        <f t="shared" si="61"/>
        <v>0.96426775645624208</v>
      </c>
      <c r="Y77" s="406">
        <f t="shared" si="83"/>
        <v>5.5788738368469275E-3</v>
      </c>
      <c r="Z77" s="406">
        <f t="shared" si="62"/>
        <v>0.15132165693638241</v>
      </c>
      <c r="AA77" s="406">
        <f t="shared" si="63"/>
        <v>0.14400000000000002</v>
      </c>
      <c r="AB77" s="406">
        <f t="shared" si="64"/>
        <v>0</v>
      </c>
      <c r="AC77" s="406">
        <f t="shared" si="65"/>
        <v>0.30123664301851649</v>
      </c>
      <c r="AD77" s="406">
        <f t="shared" si="66"/>
        <v>1.8441088094150435</v>
      </c>
      <c r="AE77" s="406">
        <f t="shared" si="84"/>
        <v>2.0404423805773016E-2</v>
      </c>
      <c r="AF77" s="406">
        <f t="shared" si="67"/>
        <v>2.9375999999999999E-2</v>
      </c>
      <c r="AG77" s="406">
        <f t="shared" si="68"/>
        <v>4.9943474657492111E-2</v>
      </c>
      <c r="AH77" s="406">
        <f t="shared" si="69"/>
        <v>0</v>
      </c>
      <c r="AI77">
        <f t="shared" si="70"/>
        <v>0</v>
      </c>
      <c r="AJ77" s="407">
        <f t="shared" si="71"/>
        <v>0.35981640000000004</v>
      </c>
      <c r="AK77">
        <f t="shared" si="85"/>
        <v>4.8000000000000001E-2</v>
      </c>
      <c r="AL77" s="407">
        <f t="shared" si="72"/>
        <v>0.1215</v>
      </c>
      <c r="AM77" s="407">
        <f t="shared" si="86"/>
        <v>0.31645971316818772</v>
      </c>
      <c r="AN77" s="407">
        <f t="shared" si="90"/>
        <v>0.16949999999999998</v>
      </c>
      <c r="AO77" s="407">
        <f t="shared" si="73"/>
        <v>1.168810575999484</v>
      </c>
      <c r="AP77">
        <f t="shared" si="74"/>
        <v>10.404</v>
      </c>
      <c r="AQ77" s="10">
        <f t="shared" si="91"/>
        <v>0.8990037408524213</v>
      </c>
      <c r="AR77" s="63">
        <f t="shared" si="75"/>
        <v>15.061832150925824</v>
      </c>
      <c r="AS77" s="63">
        <f t="shared" si="92"/>
        <v>1.9977389862996844</v>
      </c>
      <c r="AT77" s="10"/>
      <c r="AU77">
        <f t="shared" si="93"/>
        <v>89.900374085242134</v>
      </c>
      <c r="BE77" s="28"/>
      <c r="BF77" s="29"/>
    </row>
    <row r="78" spans="1:58" x14ac:dyDescent="0.25">
      <c r="A78" s="44" t="s">
        <v>388</v>
      </c>
      <c r="B78" s="119">
        <f>QrrBot*Fsw</f>
        <v>1.4999999999999999E-2</v>
      </c>
      <c r="C78" s="31" t="s">
        <v>2</v>
      </c>
      <c r="G78">
        <v>69</v>
      </c>
      <c r="H78">
        <f t="shared" si="55"/>
        <v>2.0699999999999998</v>
      </c>
      <c r="I78" s="406">
        <f t="shared" si="76"/>
        <v>0.21474249999999998</v>
      </c>
      <c r="J78" s="407">
        <f t="shared" si="56"/>
        <v>1.4240818421052628</v>
      </c>
      <c r="K78" s="407">
        <f t="shared" si="77"/>
        <v>2.7820409210526313</v>
      </c>
      <c r="L78" s="407">
        <f t="shared" si="78"/>
        <v>1.3579590789473683</v>
      </c>
      <c r="M78" s="63">
        <f t="shared" si="57"/>
        <v>0</v>
      </c>
      <c r="N78" s="406">
        <f t="shared" si="58"/>
        <v>2.1104266767057225</v>
      </c>
      <c r="O78" s="406">
        <f t="shared" si="79"/>
        <v>8.9717362722725916E-2</v>
      </c>
      <c r="P78">
        <f t="shared" si="59"/>
        <v>0.2</v>
      </c>
      <c r="Q78" s="406">
        <f t="shared" si="80"/>
        <v>0.28971736272272591</v>
      </c>
      <c r="R78" s="9">
        <f t="shared" si="87"/>
        <v>0.41109701744376581</v>
      </c>
      <c r="S78" s="9">
        <f t="shared" si="81"/>
        <v>1.690007577511599E-4</v>
      </c>
      <c r="T78" s="9">
        <f t="shared" si="88"/>
        <v>1.690007577511599E-4</v>
      </c>
      <c r="U78" s="406">
        <f t="shared" si="60"/>
        <v>0.97797841666949803</v>
      </c>
      <c r="V78" s="408">
        <f t="shared" si="82"/>
        <v>9.5644178347137831E-4</v>
      </c>
      <c r="W78" s="406">
        <f t="shared" si="89"/>
        <v>9.5644178347137831E-4</v>
      </c>
      <c r="X78" s="406">
        <f t="shared" si="61"/>
        <v>0.97797841666949803</v>
      </c>
      <c r="Y78" s="406">
        <f t="shared" si="83"/>
        <v>5.7386507008282701E-3</v>
      </c>
      <c r="Z78" s="406">
        <f t="shared" si="62"/>
        <v>0.15356975459990652</v>
      </c>
      <c r="AA78" s="406">
        <f t="shared" si="63"/>
        <v>0.14400000000000002</v>
      </c>
      <c r="AB78" s="406">
        <f t="shared" si="64"/>
        <v>0</v>
      </c>
      <c r="AC78" s="406">
        <f t="shared" si="65"/>
        <v>0.30365692150181239</v>
      </c>
      <c r="AD78" s="406">
        <f t="shared" si="66"/>
        <v>1.8701494523913809</v>
      </c>
      <c r="AE78" s="406">
        <f t="shared" si="84"/>
        <v>2.0984753845678692E-2</v>
      </c>
      <c r="AF78" s="406">
        <f t="shared" si="67"/>
        <v>2.9807999999999998E-2</v>
      </c>
      <c r="AG78" s="406">
        <f t="shared" si="68"/>
        <v>5.0963868122089195E-2</v>
      </c>
      <c r="AH78" s="406">
        <f t="shared" si="69"/>
        <v>0</v>
      </c>
      <c r="AI78">
        <f t="shared" si="70"/>
        <v>0</v>
      </c>
      <c r="AJ78" s="407">
        <f t="shared" si="71"/>
        <v>0.35981370000000001</v>
      </c>
      <c r="AK78">
        <f t="shared" si="85"/>
        <v>4.8000000000000001E-2</v>
      </c>
      <c r="AL78" s="407">
        <f t="shared" si="72"/>
        <v>0.1215</v>
      </c>
      <c r="AM78" s="407">
        <f t="shared" si="86"/>
        <v>0.31645971316818772</v>
      </c>
      <c r="AN78" s="407">
        <f t="shared" si="90"/>
        <v>0.16949999999999998</v>
      </c>
      <c r="AO78" s="407">
        <f t="shared" si="73"/>
        <v>1.1747772948878501</v>
      </c>
      <c r="AP78">
        <f t="shared" si="74"/>
        <v>10.556999999999999</v>
      </c>
      <c r="AQ78" s="10">
        <f t="shared" si="91"/>
        <v>0.89986365532187851</v>
      </c>
      <c r="AR78" s="63">
        <f t="shared" si="75"/>
        <v>15.18284607509062</v>
      </c>
      <c r="AS78" s="63">
        <f t="shared" si="92"/>
        <v>2.0385547248835678</v>
      </c>
      <c r="AT78" s="10"/>
      <c r="AU78">
        <f t="shared" si="93"/>
        <v>89.986365532187847</v>
      </c>
      <c r="BE78" s="28"/>
      <c r="BF78" s="29"/>
    </row>
    <row r="79" spans="1:58" x14ac:dyDescent="0.25">
      <c r="A79" s="44" t="s">
        <v>389</v>
      </c>
      <c r="B79" s="475">
        <f>C79/Vin</f>
        <v>2.3527499999999999E-4</v>
      </c>
      <c r="C79" s="474">
        <f>Deadtime*Fsw*(Ipp/2)*(VsdTop+VsdBot)</f>
        <v>5.6465999999999999E-3</v>
      </c>
      <c r="G79">
        <v>70</v>
      </c>
      <c r="H79">
        <f t="shared" si="55"/>
        <v>2.0999999999999996</v>
      </c>
      <c r="I79" s="406">
        <f t="shared" si="76"/>
        <v>0.21477499999999997</v>
      </c>
      <c r="J79" s="407">
        <f t="shared" si="56"/>
        <v>1.4242973684210523</v>
      </c>
      <c r="K79" s="407">
        <f t="shared" si="77"/>
        <v>2.8121486842105257</v>
      </c>
      <c r="L79" s="407">
        <f t="shared" si="78"/>
        <v>1.3878513157894736</v>
      </c>
      <c r="M79" s="63">
        <f t="shared" si="57"/>
        <v>0</v>
      </c>
      <c r="N79" s="406">
        <f t="shared" si="58"/>
        <v>2.1398719391919054</v>
      </c>
      <c r="O79" s="406">
        <f t="shared" si="79"/>
        <v>9.2256957358610961E-2</v>
      </c>
      <c r="P79">
        <f t="shared" si="59"/>
        <v>0.2</v>
      </c>
      <c r="Q79" s="406">
        <f t="shared" si="80"/>
        <v>0.29225695735861096</v>
      </c>
      <c r="R79" s="9">
        <f t="shared" si="87"/>
        <v>0.41115923453198505</v>
      </c>
      <c r="S79" s="9">
        <f t="shared" si="81"/>
        <v>1.6905191614092788E-4</v>
      </c>
      <c r="T79" s="9">
        <f t="shared" si="88"/>
        <v>1.6905191614092788E-4</v>
      </c>
      <c r="U79" s="406">
        <f t="shared" si="60"/>
        <v>0.99169848002765804</v>
      </c>
      <c r="V79" s="408">
        <f t="shared" si="82"/>
        <v>9.8346587528916731E-4</v>
      </c>
      <c r="W79" s="406">
        <f t="shared" si="89"/>
        <v>9.8346587528916731E-4</v>
      </c>
      <c r="X79" s="406">
        <f t="shared" si="61"/>
        <v>0.99169848002765804</v>
      </c>
      <c r="Y79" s="406">
        <f t="shared" si="83"/>
        <v>5.9007952517350038E-3</v>
      </c>
      <c r="Z79" s="406">
        <f t="shared" si="62"/>
        <v>0.15581785226343062</v>
      </c>
      <c r="AA79" s="406">
        <f t="shared" si="63"/>
        <v>0.14400000000000002</v>
      </c>
      <c r="AB79" s="406">
        <f t="shared" si="64"/>
        <v>0</v>
      </c>
      <c r="AC79" s="406">
        <f t="shared" si="65"/>
        <v>0.30607987044439955</v>
      </c>
      <c r="AD79" s="406">
        <f t="shared" si="66"/>
        <v>1.896203058971206</v>
      </c>
      <c r="AE79" s="406">
        <f t="shared" si="84"/>
        <v>2.1573516245110554E-2</v>
      </c>
      <c r="AF79" s="406">
        <f t="shared" si="67"/>
        <v>3.0239999999999993E-2</v>
      </c>
      <c r="AG79" s="406">
        <f t="shared" si="68"/>
        <v>5.1992983681604439E-2</v>
      </c>
      <c r="AH79" s="406">
        <f t="shared" si="69"/>
        <v>0</v>
      </c>
      <c r="AI79">
        <f t="shared" si="70"/>
        <v>0</v>
      </c>
      <c r="AJ79" s="407">
        <f t="shared" si="71"/>
        <v>0.35981099999999999</v>
      </c>
      <c r="AK79">
        <f t="shared" si="85"/>
        <v>4.8000000000000001E-2</v>
      </c>
      <c r="AL79" s="407">
        <f t="shared" si="72"/>
        <v>0.1215</v>
      </c>
      <c r="AM79" s="407">
        <f t="shared" si="86"/>
        <v>0.31645971316818772</v>
      </c>
      <c r="AN79" s="407">
        <f t="shared" si="90"/>
        <v>0.16949999999999998</v>
      </c>
      <c r="AO79" s="407">
        <f t="shared" si="73"/>
        <v>1.1807933292760451</v>
      </c>
      <c r="AP79">
        <f t="shared" si="74"/>
        <v>10.709999999999997</v>
      </c>
      <c r="AQ79" s="10">
        <f t="shared" si="91"/>
        <v>0.90069684195344291</v>
      </c>
      <c r="AR79" s="63">
        <f t="shared" si="75"/>
        <v>15.303993522219978</v>
      </c>
      <c r="AS79" s="63">
        <f t="shared" si="92"/>
        <v>2.0797193472641777</v>
      </c>
      <c r="AT79" s="10"/>
      <c r="AU79">
        <f t="shared" si="93"/>
        <v>90.069684195344294</v>
      </c>
      <c r="BE79" s="28"/>
      <c r="BF79" s="29"/>
    </row>
    <row r="80" spans="1:58" x14ac:dyDescent="0.25">
      <c r="A80" s="44" t="s">
        <v>92</v>
      </c>
      <c r="B80" s="475">
        <f>SUM(B77:B79)</f>
        <v>3.3435275E-2</v>
      </c>
      <c r="C80" s="31" t="s">
        <v>2</v>
      </c>
      <c r="G80">
        <v>71</v>
      </c>
      <c r="H80">
        <f t="shared" si="55"/>
        <v>2.13</v>
      </c>
      <c r="I80" s="406">
        <f t="shared" si="76"/>
        <v>0.21480750000000001</v>
      </c>
      <c r="J80" s="407">
        <f t="shared" si="56"/>
        <v>1.424512894736842</v>
      </c>
      <c r="K80" s="407">
        <f t="shared" si="77"/>
        <v>2.8422564473684209</v>
      </c>
      <c r="L80" s="407">
        <f t="shared" si="78"/>
        <v>1.4177435526315789</v>
      </c>
      <c r="M80" s="63">
        <f t="shared" si="57"/>
        <v>0</v>
      </c>
      <c r="N80" s="406">
        <f t="shared" si="58"/>
        <v>2.1693324047440559</v>
      </c>
      <c r="O80" s="406">
        <f t="shared" si="79"/>
        <v>9.4834125141807737E-2</v>
      </c>
      <c r="P80">
        <f t="shared" si="59"/>
        <v>0.2</v>
      </c>
      <c r="Q80" s="406">
        <f t="shared" si="80"/>
        <v>0.29483412514180773</v>
      </c>
      <c r="R80" s="9">
        <f t="shared" si="87"/>
        <v>0.4112214516202044</v>
      </c>
      <c r="S80" s="9">
        <f t="shared" si="81"/>
        <v>1.6910308227262809E-4</v>
      </c>
      <c r="T80" s="9">
        <f t="shared" si="88"/>
        <v>1.6910308227262809E-4</v>
      </c>
      <c r="U80" s="406">
        <f t="shared" si="60"/>
        <v>1.0054276488615566</v>
      </c>
      <c r="V80" s="408">
        <f t="shared" si="82"/>
        <v>1.0108847570952774E-3</v>
      </c>
      <c r="W80" s="406">
        <f t="shared" si="89"/>
        <v>1.0108847570952774E-3</v>
      </c>
      <c r="X80" s="406">
        <f t="shared" si="61"/>
        <v>1.0054276488615566</v>
      </c>
      <c r="Y80" s="406">
        <f t="shared" si="83"/>
        <v>6.0653085425716648E-3</v>
      </c>
      <c r="Z80" s="406">
        <f t="shared" si="62"/>
        <v>0.15806594992695469</v>
      </c>
      <c r="AA80" s="406">
        <f t="shared" si="63"/>
        <v>0.14400000000000002</v>
      </c>
      <c r="AB80" s="406">
        <f t="shared" si="64"/>
        <v>0</v>
      </c>
      <c r="AC80" s="406">
        <f t="shared" si="65"/>
        <v>0.30850549467197919</v>
      </c>
      <c r="AD80" s="406">
        <f t="shared" si="66"/>
        <v>1.9222690563959433</v>
      </c>
      <c r="AE80" s="406">
        <f t="shared" si="84"/>
        <v>2.2170709951064103E-2</v>
      </c>
      <c r="AF80" s="406">
        <f t="shared" si="67"/>
        <v>3.0671999999999998E-2</v>
      </c>
      <c r="AG80" s="406">
        <f t="shared" si="68"/>
        <v>5.3030826924216408E-2</v>
      </c>
      <c r="AH80" s="406">
        <f t="shared" si="69"/>
        <v>0</v>
      </c>
      <c r="AI80">
        <f t="shared" si="70"/>
        <v>0</v>
      </c>
      <c r="AJ80" s="407">
        <f t="shared" si="71"/>
        <v>0.35980829999999997</v>
      </c>
      <c r="AK80">
        <f t="shared" si="85"/>
        <v>4.8000000000000001E-2</v>
      </c>
      <c r="AL80" s="407">
        <f t="shared" si="72"/>
        <v>0.1215</v>
      </c>
      <c r="AM80" s="407">
        <f t="shared" si="86"/>
        <v>0.31645971316818772</v>
      </c>
      <c r="AN80" s="407">
        <f t="shared" si="90"/>
        <v>0.16949999999999998</v>
      </c>
      <c r="AO80" s="407">
        <f t="shared" si="73"/>
        <v>1.1868587345773711</v>
      </c>
      <c r="AP80">
        <f t="shared" si="74"/>
        <v>10.863</v>
      </c>
      <c r="AQ80" s="10">
        <f t="shared" si="91"/>
        <v>0.90150434451387806</v>
      </c>
      <c r="AR80" s="63">
        <f t="shared" si="75"/>
        <v>15.425274733598959</v>
      </c>
      <c r="AS80" s="63">
        <f t="shared" si="92"/>
        <v>2.1212330769686565</v>
      </c>
      <c r="AT80" s="10"/>
      <c r="AU80">
        <f t="shared" si="93"/>
        <v>90.15043445138781</v>
      </c>
      <c r="BE80" s="28"/>
      <c r="BF80" s="29"/>
    </row>
    <row r="81" spans="1:58" x14ac:dyDescent="0.25">
      <c r="A81" s="2"/>
      <c r="G81">
        <v>72</v>
      </c>
      <c r="H81">
        <f t="shared" si="55"/>
        <v>2.16</v>
      </c>
      <c r="I81" s="406">
        <f t="shared" si="76"/>
        <v>0.21483999999999995</v>
      </c>
      <c r="J81" s="407">
        <f t="shared" si="56"/>
        <v>1.424728421052631</v>
      </c>
      <c r="K81" s="407">
        <f t="shared" si="77"/>
        <v>2.8723642105263156</v>
      </c>
      <c r="L81" s="407">
        <f t="shared" si="78"/>
        <v>1.4476357894736847</v>
      </c>
      <c r="M81" s="63">
        <f t="shared" si="57"/>
        <v>0</v>
      </c>
      <c r="N81" s="406">
        <f t="shared" si="58"/>
        <v>2.1988074622727343</v>
      </c>
      <c r="O81" s="406">
        <f t="shared" si="79"/>
        <v>9.7448911587008608E-2</v>
      </c>
      <c r="P81">
        <f t="shared" si="59"/>
        <v>0.2</v>
      </c>
      <c r="Q81" s="406">
        <f t="shared" si="80"/>
        <v>0.29744891158700859</v>
      </c>
      <c r="R81" s="9">
        <f t="shared" si="87"/>
        <v>0.41128366870842353</v>
      </c>
      <c r="S81" s="9">
        <f t="shared" si="81"/>
        <v>1.6915425614626029E-4</v>
      </c>
      <c r="T81" s="9">
        <f t="shared" si="88"/>
        <v>1.6915425614626029E-4</v>
      </c>
      <c r="U81" s="406">
        <f t="shared" si="60"/>
        <v>1.0191656412921615</v>
      </c>
      <c r="V81" s="408">
        <f t="shared" si="82"/>
        <v>1.0386986043904628E-3</v>
      </c>
      <c r="W81" s="406">
        <f t="shared" si="89"/>
        <v>1.0386986043904628E-3</v>
      </c>
      <c r="X81" s="406">
        <f t="shared" si="61"/>
        <v>1.0191656412921615</v>
      </c>
      <c r="Y81" s="406">
        <f t="shared" si="83"/>
        <v>6.232191626342776E-3</v>
      </c>
      <c r="Z81" s="406">
        <f t="shared" si="62"/>
        <v>0.16031404759047882</v>
      </c>
      <c r="AA81" s="406">
        <f t="shared" si="63"/>
        <v>0.14400000000000002</v>
      </c>
      <c r="AB81" s="406">
        <f t="shared" si="64"/>
        <v>0</v>
      </c>
      <c r="AC81" s="406">
        <f t="shared" si="65"/>
        <v>0.31093379902054219</v>
      </c>
      <c r="AD81" s="406">
        <f t="shared" si="66"/>
        <v>1.9483469023138049</v>
      </c>
      <c r="AE81" s="406">
        <f t="shared" si="84"/>
        <v>2.2776333910534796E-2</v>
      </c>
      <c r="AF81" s="406">
        <f t="shared" si="67"/>
        <v>3.1104E-2</v>
      </c>
      <c r="AG81" s="406">
        <f t="shared" si="68"/>
        <v>5.4077403510433733E-2</v>
      </c>
      <c r="AH81" s="406">
        <f t="shared" si="69"/>
        <v>0</v>
      </c>
      <c r="AI81">
        <f t="shared" si="70"/>
        <v>0</v>
      </c>
      <c r="AJ81" s="407">
        <f t="shared" si="71"/>
        <v>0.3598056</v>
      </c>
      <c r="AK81">
        <f t="shared" si="85"/>
        <v>4.8000000000000001E-2</v>
      </c>
      <c r="AL81" s="407">
        <f t="shared" si="72"/>
        <v>0.1215</v>
      </c>
      <c r="AM81" s="407">
        <f t="shared" si="86"/>
        <v>0.31645971316818772</v>
      </c>
      <c r="AN81" s="407">
        <f t="shared" si="90"/>
        <v>0.16949999999999998</v>
      </c>
      <c r="AO81" s="407">
        <f t="shared" si="73"/>
        <v>1.1929735669785213</v>
      </c>
      <c r="AP81">
        <f t="shared" si="74"/>
        <v>11.016</v>
      </c>
      <c r="AQ81" s="10">
        <f t="shared" si="91"/>
        <v>0.90228715293436756</v>
      </c>
      <c r="AR81" s="63">
        <f t="shared" si="75"/>
        <v>15.54668995102711</v>
      </c>
      <c r="AS81" s="63">
        <f t="shared" si="92"/>
        <v>2.1630961404173492</v>
      </c>
      <c r="AT81" s="10"/>
      <c r="AU81">
        <f t="shared" si="93"/>
        <v>90.22871529343675</v>
      </c>
      <c r="BE81" s="28"/>
      <c r="BF81" s="29"/>
    </row>
    <row r="82" spans="1:58" x14ac:dyDescent="0.25">
      <c r="A82" s="2"/>
      <c r="G82">
        <v>73</v>
      </c>
      <c r="H82">
        <f t="shared" si="55"/>
        <v>2.19</v>
      </c>
      <c r="I82" s="406">
        <f t="shared" si="76"/>
        <v>0.21487249999999999</v>
      </c>
      <c r="J82" s="407">
        <f t="shared" si="56"/>
        <v>1.4249439473684209</v>
      </c>
      <c r="K82" s="407">
        <f t="shared" si="77"/>
        <v>2.9024719736842104</v>
      </c>
      <c r="L82" s="407">
        <f t="shared" si="78"/>
        <v>1.4775280263157895</v>
      </c>
      <c r="M82" s="63">
        <f t="shared" si="57"/>
        <v>0</v>
      </c>
      <c r="N82" s="406">
        <f t="shared" si="58"/>
        <v>2.2282965327266981</v>
      </c>
      <c r="O82" s="406">
        <f t="shared" si="79"/>
        <v>0.10010136290170564</v>
      </c>
      <c r="P82">
        <f t="shared" si="59"/>
        <v>0.2</v>
      </c>
      <c r="Q82" s="406">
        <f t="shared" si="80"/>
        <v>0.30010136290170564</v>
      </c>
      <c r="R82" s="9">
        <f t="shared" si="87"/>
        <v>0.41134588579664288</v>
      </c>
      <c r="S82" s="9">
        <f t="shared" si="81"/>
        <v>1.692054377618248E-4</v>
      </c>
      <c r="T82" s="9">
        <f t="shared" si="88"/>
        <v>1.692054377618248E-4</v>
      </c>
      <c r="U82" s="406">
        <f t="shared" si="60"/>
        <v>1.0329121902056717</v>
      </c>
      <c r="V82" s="408">
        <f t="shared" si="82"/>
        <v>1.0669075926754777E-3</v>
      </c>
      <c r="W82" s="406">
        <f t="shared" si="89"/>
        <v>1.0669075926754777E-3</v>
      </c>
      <c r="X82" s="406">
        <f t="shared" si="61"/>
        <v>1.0329121902056717</v>
      </c>
      <c r="Y82" s="406">
        <f t="shared" si="83"/>
        <v>6.4014455560528656E-3</v>
      </c>
      <c r="Z82" s="406">
        <f t="shared" si="62"/>
        <v>0.16256214525400289</v>
      </c>
      <c r="AA82" s="406">
        <f t="shared" si="63"/>
        <v>0.14400000000000002</v>
      </c>
      <c r="AB82" s="406">
        <f t="shared" si="64"/>
        <v>0</v>
      </c>
      <c r="AC82" s="406">
        <f t="shared" si="65"/>
        <v>0.31336478833639969</v>
      </c>
      <c r="AD82" s="406">
        <f t="shared" si="66"/>
        <v>1.9744360828060115</v>
      </c>
      <c r="AE82" s="406">
        <f t="shared" si="84"/>
        <v>2.339038707051808E-2</v>
      </c>
      <c r="AF82" s="406">
        <f t="shared" si="67"/>
        <v>3.1536000000000002E-2</v>
      </c>
      <c r="AG82" s="406">
        <f t="shared" si="68"/>
        <v>5.5132719173191867E-2</v>
      </c>
      <c r="AH82" s="406">
        <f t="shared" si="69"/>
        <v>0</v>
      </c>
      <c r="AI82">
        <f t="shared" si="70"/>
        <v>0</v>
      </c>
      <c r="AJ82" s="407">
        <f t="shared" si="71"/>
        <v>0.35980289999999998</v>
      </c>
      <c r="AK82">
        <f t="shared" si="85"/>
        <v>4.8000000000000001E-2</v>
      </c>
      <c r="AL82" s="407">
        <f t="shared" si="72"/>
        <v>0.1215</v>
      </c>
      <c r="AM82" s="407">
        <f t="shared" si="86"/>
        <v>0.31645971316818772</v>
      </c>
      <c r="AN82" s="407">
        <f t="shared" si="90"/>
        <v>0.16949999999999998</v>
      </c>
      <c r="AO82" s="407">
        <f t="shared" si="73"/>
        <v>1.1991378834417346</v>
      </c>
      <c r="AP82">
        <f t="shared" si="74"/>
        <v>11.168999999999999</v>
      </c>
      <c r="AQ82" s="10">
        <f t="shared" si="91"/>
        <v>0.90304620673358427</v>
      </c>
      <c r="AR82" s="63">
        <f t="shared" si="75"/>
        <v>15.668239416819985</v>
      </c>
      <c r="AS82" s="63">
        <f t="shared" si="92"/>
        <v>2.2053087669276747</v>
      </c>
      <c r="AT82" s="10"/>
      <c r="AU82">
        <f t="shared" si="93"/>
        <v>90.304620673358428</v>
      </c>
      <c r="BE82" s="28"/>
      <c r="BF82" s="29"/>
    </row>
    <row r="83" spans="1:58" x14ac:dyDescent="0.25">
      <c r="A83" s="2"/>
      <c r="G83">
        <v>74</v>
      </c>
      <c r="H83">
        <f t="shared" si="55"/>
        <v>2.2199999999999998</v>
      </c>
      <c r="I83" s="406">
        <f t="shared" si="76"/>
        <v>0.21490499999999998</v>
      </c>
      <c r="J83" s="407">
        <f t="shared" si="56"/>
        <v>1.4251594736842104</v>
      </c>
      <c r="K83" s="407">
        <f t="shared" si="77"/>
        <v>2.9325797368421052</v>
      </c>
      <c r="L83" s="407">
        <f t="shared" si="78"/>
        <v>1.5074202631578946</v>
      </c>
      <c r="M83" s="63">
        <f t="shared" si="57"/>
        <v>0</v>
      </c>
      <c r="N83" s="406">
        <f t="shared" si="58"/>
        <v>2.2577990670383672</v>
      </c>
      <c r="O83" s="406">
        <f t="shared" si="79"/>
        <v>0.10279152598825157</v>
      </c>
      <c r="P83">
        <f t="shared" si="59"/>
        <v>0.2</v>
      </c>
      <c r="Q83" s="406">
        <f t="shared" si="80"/>
        <v>0.3027915259882516</v>
      </c>
      <c r="R83" s="9">
        <f t="shared" si="87"/>
        <v>0.41140810288486213</v>
      </c>
      <c r="S83" s="9">
        <f t="shared" si="81"/>
        <v>1.692566271193213E-4</v>
      </c>
      <c r="T83" s="9">
        <f t="shared" si="88"/>
        <v>1.692566271193213E-4</v>
      </c>
      <c r="U83" s="406">
        <f t="shared" si="60"/>
        <v>1.0466670423067106</v>
      </c>
      <c r="V83" s="408">
        <f t="shared" si="82"/>
        <v>1.0955118974510776E-3</v>
      </c>
      <c r="W83" s="406">
        <f t="shared" si="89"/>
        <v>1.0955118974510776E-3</v>
      </c>
      <c r="X83" s="406">
        <f t="shared" si="61"/>
        <v>1.0466670423067106</v>
      </c>
      <c r="Y83" s="406">
        <f t="shared" si="83"/>
        <v>6.5730713847064652E-3</v>
      </c>
      <c r="Z83" s="406">
        <f t="shared" si="62"/>
        <v>0.16481024291752702</v>
      </c>
      <c r="AA83" s="406">
        <f t="shared" si="63"/>
        <v>0.14400000000000002</v>
      </c>
      <c r="AB83" s="406">
        <f t="shared" si="64"/>
        <v>0</v>
      </c>
      <c r="AC83" s="406">
        <f t="shared" si="65"/>
        <v>0.31579846747621387</v>
      </c>
      <c r="AD83" s="406">
        <f t="shared" si="66"/>
        <v>2.0005361105634267</v>
      </c>
      <c r="AE83" s="406">
        <f t="shared" si="84"/>
        <v>2.401286837800946E-2</v>
      </c>
      <c r="AF83" s="406">
        <f t="shared" si="67"/>
        <v>3.1967999999999996E-2</v>
      </c>
      <c r="AG83" s="406">
        <f t="shared" si="68"/>
        <v>5.6196779717951083E-2</v>
      </c>
      <c r="AH83" s="406">
        <f t="shared" si="69"/>
        <v>0</v>
      </c>
      <c r="AI83">
        <f t="shared" si="70"/>
        <v>0</v>
      </c>
      <c r="AJ83" s="407">
        <f t="shared" si="71"/>
        <v>0.35980019999999996</v>
      </c>
      <c r="AK83">
        <f t="shared" si="85"/>
        <v>4.8000000000000001E-2</v>
      </c>
      <c r="AL83" s="407">
        <f t="shared" si="72"/>
        <v>0.1215</v>
      </c>
      <c r="AM83" s="407">
        <f t="shared" si="86"/>
        <v>0.31645971316818772</v>
      </c>
      <c r="AN83" s="407">
        <f t="shared" si="90"/>
        <v>0.16949999999999998</v>
      </c>
      <c r="AO83" s="407">
        <f t="shared" si="73"/>
        <v>1.2053517417069868</v>
      </c>
      <c r="AP83">
        <f t="shared" si="74"/>
        <v>11.321999999999997</v>
      </c>
      <c r="AQ83" s="10">
        <f t="shared" si="91"/>
        <v>0.90378239818284656</v>
      </c>
      <c r="AR83" s="63">
        <f t="shared" si="75"/>
        <v>15.789923373810694</v>
      </c>
      <c r="AS83" s="63">
        <f t="shared" si="92"/>
        <v>2.2478711887180434</v>
      </c>
      <c r="AT83" s="10"/>
      <c r="AU83">
        <f t="shared" si="93"/>
        <v>90.378239818284655</v>
      </c>
      <c r="BE83" s="28"/>
      <c r="BF83" s="29"/>
    </row>
    <row r="84" spans="1:58" x14ac:dyDescent="0.25">
      <c r="G84">
        <v>75</v>
      </c>
      <c r="H84">
        <f t="shared" si="55"/>
        <v>2.25</v>
      </c>
      <c r="I84" s="406">
        <f t="shared" si="76"/>
        <v>0.21493749999999998</v>
      </c>
      <c r="J84" s="407">
        <f t="shared" si="56"/>
        <v>1.4253749999999996</v>
      </c>
      <c r="K84" s="407">
        <f t="shared" si="77"/>
        <v>2.9626874999999999</v>
      </c>
      <c r="L84" s="407">
        <f t="shared" si="78"/>
        <v>1.5373125000000001</v>
      </c>
      <c r="M84" s="63">
        <f t="shared" si="57"/>
        <v>0</v>
      </c>
      <c r="N84" s="406">
        <f t="shared" si="58"/>
        <v>2.287314544224023</v>
      </c>
      <c r="O84" s="406">
        <f t="shared" si="79"/>
        <v>0.10551944844595387</v>
      </c>
      <c r="P84">
        <f t="shared" si="59"/>
        <v>0.2</v>
      </c>
      <c r="Q84" s="406">
        <f t="shared" si="80"/>
        <v>0.30551944844595391</v>
      </c>
      <c r="R84" s="9">
        <f t="shared" si="87"/>
        <v>0.41147031997308131</v>
      </c>
      <c r="S84" s="9">
        <f t="shared" si="81"/>
        <v>1.6930782421874994E-4</v>
      </c>
      <c r="T84" s="9">
        <f t="shared" si="88"/>
        <v>1.6930782421874994E-4</v>
      </c>
      <c r="U84" s="406">
        <f t="shared" si="60"/>
        <v>1.060429957242824</v>
      </c>
      <c r="V84" s="408">
        <f t="shared" si="82"/>
        <v>1.1245116942180176E-3</v>
      </c>
      <c r="W84" s="406">
        <f t="shared" si="89"/>
        <v>1.1245116942180176E-3</v>
      </c>
      <c r="X84" s="406">
        <f t="shared" si="61"/>
        <v>1.060429957242824</v>
      </c>
      <c r="Y84" s="406">
        <f t="shared" si="83"/>
        <v>6.7470701653081057E-3</v>
      </c>
      <c r="Z84" s="406">
        <f t="shared" si="62"/>
        <v>0.1670583405810511</v>
      </c>
      <c r="AA84" s="406">
        <f t="shared" si="63"/>
        <v>0.14400000000000002</v>
      </c>
      <c r="AB84" s="406">
        <f t="shared" si="64"/>
        <v>0</v>
      </c>
      <c r="AC84" s="406">
        <f t="shared" si="65"/>
        <v>0.31823484130702806</v>
      </c>
      <c r="AD84" s="406">
        <f t="shared" si="66"/>
        <v>2.0266465232005144</v>
      </c>
      <c r="AE84" s="406">
        <f t="shared" si="84"/>
        <v>2.4643776780004401E-2</v>
      </c>
      <c r="AF84" s="406">
        <f t="shared" si="67"/>
        <v>3.2399999999999998E-2</v>
      </c>
      <c r="AG84" s="406">
        <f t="shared" si="68"/>
        <v>5.7269591022796065E-2</v>
      </c>
      <c r="AH84" s="406">
        <f t="shared" si="69"/>
        <v>0</v>
      </c>
      <c r="AI84">
        <f t="shared" si="70"/>
        <v>0</v>
      </c>
      <c r="AJ84" s="407">
        <f t="shared" si="71"/>
        <v>0.35979749999999999</v>
      </c>
      <c r="AK84">
        <f t="shared" si="85"/>
        <v>4.8000000000000001E-2</v>
      </c>
      <c r="AL84" s="407">
        <f t="shared" si="72"/>
        <v>0.1215</v>
      </c>
      <c r="AM84" s="407">
        <f t="shared" si="86"/>
        <v>0.31645971316818772</v>
      </c>
      <c r="AN84" s="407">
        <f t="shared" si="90"/>
        <v>0.16949999999999998</v>
      </c>
      <c r="AO84" s="407">
        <f t="shared" si="73"/>
        <v>1.2116152002942149</v>
      </c>
      <c r="AP84">
        <f t="shared" si="74"/>
        <v>11.475</v>
      </c>
      <c r="AQ84" s="10">
        <f t="shared" si="91"/>
        <v>0.90449657523575577</v>
      </c>
      <c r="AR84" s="63">
        <f t="shared" si="75"/>
        <v>15.911742065351403</v>
      </c>
      <c r="AS84" s="63">
        <f t="shared" si="92"/>
        <v>2.2907836409118425</v>
      </c>
      <c r="AT84" s="10"/>
      <c r="AU84">
        <f t="shared" si="93"/>
        <v>90.449657523575581</v>
      </c>
      <c r="BE84" s="28"/>
      <c r="BF84" s="29"/>
    </row>
    <row r="85" spans="1:58" x14ac:dyDescent="0.25">
      <c r="G85">
        <v>76</v>
      </c>
      <c r="H85">
        <f t="shared" si="55"/>
        <v>2.2800000000000002</v>
      </c>
      <c r="I85" s="406">
        <f t="shared" si="76"/>
        <v>0.21496999999999999</v>
      </c>
      <c r="J85" s="407">
        <f t="shared" si="56"/>
        <v>1.4255905263157891</v>
      </c>
      <c r="K85" s="407">
        <f t="shared" si="77"/>
        <v>2.9927952631578947</v>
      </c>
      <c r="L85" s="407">
        <f t="shared" si="78"/>
        <v>1.5672047368421058</v>
      </c>
      <c r="M85" s="63">
        <f t="shared" si="57"/>
        <v>0</v>
      </c>
      <c r="N85" s="406">
        <f t="shared" si="58"/>
        <v>2.316842469625441</v>
      </c>
      <c r="O85" s="406">
        <f t="shared" si="79"/>
        <v>0.10828517857320176</v>
      </c>
      <c r="P85">
        <f t="shared" si="59"/>
        <v>0.2</v>
      </c>
      <c r="Q85" s="406">
        <f t="shared" si="80"/>
        <v>0.30828517857320176</v>
      </c>
      <c r="R85" s="9">
        <f t="shared" si="87"/>
        <v>0.41153253706130055</v>
      </c>
      <c r="S85" s="9">
        <f t="shared" si="81"/>
        <v>1.6935902906011071E-4</v>
      </c>
      <c r="T85" s="9">
        <f t="shared" si="88"/>
        <v>1.6935902906011071E-4</v>
      </c>
      <c r="U85" s="406">
        <f t="shared" si="60"/>
        <v>1.0742007067941504</v>
      </c>
      <c r="V85" s="408">
        <f t="shared" si="82"/>
        <v>1.1539071584770523E-3</v>
      </c>
      <c r="W85" s="406">
        <f t="shared" si="89"/>
        <v>1.1539071584770523E-3</v>
      </c>
      <c r="X85" s="406">
        <f t="shared" si="61"/>
        <v>1.0742007067941504</v>
      </c>
      <c r="Y85" s="406">
        <f t="shared" si="83"/>
        <v>6.9234429508623135E-3</v>
      </c>
      <c r="Z85" s="406">
        <f t="shared" si="62"/>
        <v>0.16930643824457522</v>
      </c>
      <c r="AA85" s="406">
        <f t="shared" si="63"/>
        <v>0.14400000000000002</v>
      </c>
      <c r="AB85" s="406">
        <f t="shared" si="64"/>
        <v>0</v>
      </c>
      <c r="AC85" s="406">
        <f t="shared" si="65"/>
        <v>0.32067391470629736</v>
      </c>
      <c r="AD85" s="406">
        <f t="shared" si="66"/>
        <v>2.0527668816948164</v>
      </c>
      <c r="AE85" s="406">
        <f t="shared" si="84"/>
        <v>2.5283111223498359E-2</v>
      </c>
      <c r="AF85" s="406">
        <f t="shared" si="67"/>
        <v>3.2832E-2</v>
      </c>
      <c r="AG85" s="406">
        <f t="shared" si="68"/>
        <v>5.8351159038536972E-2</v>
      </c>
      <c r="AH85" s="406">
        <f t="shared" si="69"/>
        <v>0</v>
      </c>
      <c r="AI85">
        <f t="shared" si="70"/>
        <v>0</v>
      </c>
      <c r="AJ85" s="407">
        <f t="shared" si="71"/>
        <v>0.35979479999999997</v>
      </c>
      <c r="AK85">
        <f t="shared" si="85"/>
        <v>4.8000000000000001E-2</v>
      </c>
      <c r="AL85" s="407">
        <f t="shared" si="72"/>
        <v>0.1215</v>
      </c>
      <c r="AM85" s="407">
        <f t="shared" si="86"/>
        <v>0.31645971316818772</v>
      </c>
      <c r="AN85" s="407">
        <f t="shared" si="90"/>
        <v>0.16949999999999998</v>
      </c>
      <c r="AO85" s="407">
        <f t="shared" si="73"/>
        <v>1.2179283185055734</v>
      </c>
      <c r="AP85">
        <f t="shared" si="74"/>
        <v>11.628</v>
      </c>
      <c r="AQ85" s="10">
        <f t="shared" si="91"/>
        <v>0.90518954424250908</v>
      </c>
      <c r="AR85" s="63">
        <f t="shared" si="75"/>
        <v>16.033695735314868</v>
      </c>
      <c r="AS85" s="63">
        <f t="shared" si="92"/>
        <v>2.3340463615414788</v>
      </c>
      <c r="AT85" s="10"/>
      <c r="AU85">
        <f t="shared" si="93"/>
        <v>90.518954424250907</v>
      </c>
      <c r="BE85" s="28"/>
      <c r="BF85" s="29"/>
    </row>
    <row r="86" spans="1:58" x14ac:dyDescent="0.25">
      <c r="G86">
        <v>77</v>
      </c>
      <c r="H86">
        <f t="shared" si="55"/>
        <v>2.31</v>
      </c>
      <c r="I86" s="406">
        <f t="shared" si="76"/>
        <v>0.21500249999999999</v>
      </c>
      <c r="J86" s="407">
        <f t="shared" si="56"/>
        <v>1.4258060526315786</v>
      </c>
      <c r="K86" s="407">
        <f t="shared" si="77"/>
        <v>3.0229030263157894</v>
      </c>
      <c r="L86" s="407">
        <f t="shared" si="78"/>
        <v>1.5970969736842107</v>
      </c>
      <c r="M86" s="63">
        <f t="shared" si="57"/>
        <v>0</v>
      </c>
      <c r="N86" s="406">
        <f t="shared" si="58"/>
        <v>2.3463823732809201</v>
      </c>
      <c r="O86" s="406">
        <f t="shared" si="79"/>
        <v>0.11108876536962647</v>
      </c>
      <c r="P86">
        <f t="shared" si="59"/>
        <v>0.2</v>
      </c>
      <c r="Q86" s="406">
        <f t="shared" si="80"/>
        <v>0.31108876536962649</v>
      </c>
      <c r="R86" s="9">
        <f t="shared" si="87"/>
        <v>0.41159475414951985</v>
      </c>
      <c r="S86" s="9">
        <f t="shared" si="81"/>
        <v>1.6941024164340368E-4</v>
      </c>
      <c r="T86" s="9">
        <f t="shared" si="88"/>
        <v>1.6941024164340368E-4</v>
      </c>
      <c r="U86" s="406">
        <f t="shared" si="60"/>
        <v>1.087979074122722</v>
      </c>
      <c r="V86" s="408">
        <f t="shared" si="82"/>
        <v>1.1836984657289354E-3</v>
      </c>
      <c r="W86" s="406">
        <f t="shared" si="89"/>
        <v>1.1836984657289354E-3</v>
      </c>
      <c r="X86" s="406">
        <f t="shared" si="61"/>
        <v>1.087979074122722</v>
      </c>
      <c r="Y86" s="406">
        <f t="shared" si="83"/>
        <v>7.1021907943736124E-3</v>
      </c>
      <c r="Z86" s="406">
        <f t="shared" si="62"/>
        <v>0.1715545359080993</v>
      </c>
      <c r="AA86" s="406">
        <f t="shared" si="63"/>
        <v>0.14400000000000002</v>
      </c>
      <c r="AB86" s="406">
        <f t="shared" si="64"/>
        <v>0</v>
      </c>
      <c r="AC86" s="406">
        <f t="shared" si="65"/>
        <v>0.32311569256191913</v>
      </c>
      <c r="AD86" s="406">
        <f t="shared" si="66"/>
        <v>2.0788967689412736</v>
      </c>
      <c r="AE86" s="406">
        <f t="shared" si="84"/>
        <v>2.5930870655486802E-2</v>
      </c>
      <c r="AF86" s="406">
        <f t="shared" si="67"/>
        <v>3.3264000000000002E-2</v>
      </c>
      <c r="AG86" s="406">
        <f t="shared" si="68"/>
        <v>5.9441489788812099E-2</v>
      </c>
      <c r="AH86" s="406">
        <f t="shared" si="69"/>
        <v>0</v>
      </c>
      <c r="AI86">
        <f t="shared" si="70"/>
        <v>0</v>
      </c>
      <c r="AJ86" s="407">
        <f t="shared" si="71"/>
        <v>0.35979209999999995</v>
      </c>
      <c r="AK86">
        <f t="shared" si="85"/>
        <v>4.8000000000000001E-2</v>
      </c>
      <c r="AL86" s="407">
        <f t="shared" si="72"/>
        <v>0.1215</v>
      </c>
      <c r="AM86" s="407">
        <f t="shared" si="86"/>
        <v>0.31645971316818772</v>
      </c>
      <c r="AN86" s="407">
        <f t="shared" si="90"/>
        <v>0.16949999999999998</v>
      </c>
      <c r="AO86" s="407">
        <f t="shared" si="73"/>
        <v>1.2242911564277299</v>
      </c>
      <c r="AP86">
        <f t="shared" si="74"/>
        <v>11.780999999999999</v>
      </c>
      <c r="AQ86" s="10">
        <f t="shared" si="91"/>
        <v>0.90586207246712525</v>
      </c>
      <c r="AR86" s="63">
        <f t="shared" si="75"/>
        <v>16.155784628095958</v>
      </c>
      <c r="AS86" s="63">
        <f t="shared" si="92"/>
        <v>2.3776595915524839</v>
      </c>
      <c r="AT86" s="10"/>
      <c r="AU86">
        <f t="shared" si="93"/>
        <v>90.586207246712519</v>
      </c>
      <c r="BE86" s="28"/>
      <c r="BF86" s="29"/>
    </row>
    <row r="87" spans="1:58" x14ac:dyDescent="0.25">
      <c r="G87">
        <v>78</v>
      </c>
      <c r="H87">
        <f t="shared" si="55"/>
        <v>2.34</v>
      </c>
      <c r="I87" s="406">
        <f t="shared" si="76"/>
        <v>0.21503499999999998</v>
      </c>
      <c r="J87" s="407">
        <f t="shared" si="56"/>
        <v>1.426021578947368</v>
      </c>
      <c r="K87" s="407">
        <f t="shared" si="77"/>
        <v>3.0530107894736838</v>
      </c>
      <c r="L87" s="407">
        <f t="shared" si="78"/>
        <v>1.626989210526316</v>
      </c>
      <c r="M87" s="63">
        <f t="shared" si="57"/>
        <v>0</v>
      </c>
      <c r="N87" s="406">
        <f t="shared" si="58"/>
        <v>2.3759338084148363</v>
      </c>
      <c r="O87" s="406">
        <f t="shared" si="79"/>
        <v>0.11393025853829519</v>
      </c>
      <c r="P87">
        <f t="shared" si="59"/>
        <v>0.2</v>
      </c>
      <c r="Q87" s="406">
        <f t="shared" si="80"/>
        <v>0.3139302585382952</v>
      </c>
      <c r="R87" s="9">
        <f t="shared" si="87"/>
        <v>0.41165697123773909</v>
      </c>
      <c r="S87" s="9">
        <f t="shared" si="81"/>
        <v>1.6946146196862875E-4</v>
      </c>
      <c r="T87" s="9">
        <f t="shared" si="88"/>
        <v>1.6946146196862875E-4</v>
      </c>
      <c r="U87" s="406">
        <f t="shared" si="60"/>
        <v>1.1017648530763831</v>
      </c>
      <c r="V87" s="408">
        <f t="shared" si="82"/>
        <v>1.2138857914744238E-3</v>
      </c>
      <c r="W87" s="406">
        <f t="shared" si="89"/>
        <v>1.2138857914744238E-3</v>
      </c>
      <c r="X87" s="406">
        <f t="shared" si="61"/>
        <v>1.1017648530763831</v>
      </c>
      <c r="Y87" s="406">
        <f t="shared" si="83"/>
        <v>7.2833147488465437E-3</v>
      </c>
      <c r="Z87" s="406">
        <f t="shared" si="62"/>
        <v>0.17380263357162337</v>
      </c>
      <c r="AA87" s="406">
        <f t="shared" si="63"/>
        <v>0.14400000000000002</v>
      </c>
      <c r="AB87" s="406">
        <f t="shared" si="64"/>
        <v>0</v>
      </c>
      <c r="AC87" s="406">
        <f t="shared" si="65"/>
        <v>0.32556017977226442</v>
      </c>
      <c r="AD87" s="406">
        <f t="shared" si="66"/>
        <v>2.1050357884117323</v>
      </c>
      <c r="AE87" s="406">
        <f t="shared" si="84"/>
        <v>2.6587054022965222E-2</v>
      </c>
      <c r="AF87" s="406">
        <f t="shared" si="67"/>
        <v>3.3695999999999997E-2</v>
      </c>
      <c r="AG87" s="406">
        <f t="shared" si="68"/>
        <v>6.0540589370192008E-2</v>
      </c>
      <c r="AH87" s="406">
        <f t="shared" si="69"/>
        <v>0</v>
      </c>
      <c r="AI87">
        <f t="shared" si="70"/>
        <v>0</v>
      </c>
      <c r="AJ87" s="407">
        <f t="shared" si="71"/>
        <v>0.35978939999999998</v>
      </c>
      <c r="AK87">
        <f t="shared" si="85"/>
        <v>4.8000000000000001E-2</v>
      </c>
      <c r="AL87" s="407">
        <f t="shared" si="72"/>
        <v>0.1215</v>
      </c>
      <c r="AM87" s="407">
        <f t="shared" si="86"/>
        <v>0.31645971316818772</v>
      </c>
      <c r="AN87" s="407">
        <f t="shared" si="90"/>
        <v>0.16949999999999998</v>
      </c>
      <c r="AO87" s="407">
        <f t="shared" si="73"/>
        <v>1.2307037749341947</v>
      </c>
      <c r="AP87">
        <f t="shared" si="74"/>
        <v>11.933999999999999</v>
      </c>
      <c r="AQ87" s="10">
        <f t="shared" si="91"/>
        <v>0.90651489042408429</v>
      </c>
      <c r="AR87" s="63">
        <f t="shared" si="75"/>
        <v>16.27800898861322</v>
      </c>
      <c r="AS87" s="63">
        <f t="shared" si="92"/>
        <v>2.4216235748076804</v>
      </c>
      <c r="AT87" s="10"/>
      <c r="AU87">
        <f t="shared" si="93"/>
        <v>90.651489042408429</v>
      </c>
      <c r="BE87" s="28"/>
      <c r="BF87" s="29"/>
    </row>
    <row r="88" spans="1:58" x14ac:dyDescent="0.25">
      <c r="G88">
        <v>79</v>
      </c>
      <c r="H88">
        <f t="shared" si="55"/>
        <v>2.37</v>
      </c>
      <c r="I88" s="406">
        <f t="shared" si="76"/>
        <v>0.21506749999999997</v>
      </c>
      <c r="J88" s="407">
        <f t="shared" si="56"/>
        <v>1.4262371052631575</v>
      </c>
      <c r="K88" s="407">
        <f t="shared" si="77"/>
        <v>3.083118552631579</v>
      </c>
      <c r="L88" s="407">
        <f t="shared" si="78"/>
        <v>1.6568814473684212</v>
      </c>
      <c r="M88" s="63">
        <f t="shared" si="57"/>
        <v>0</v>
      </c>
      <c r="N88" s="406">
        <f t="shared" si="58"/>
        <v>2.4054963500358477</v>
      </c>
      <c r="O88" s="406">
        <f t="shared" si="79"/>
        <v>0.11680970848793809</v>
      </c>
      <c r="P88">
        <f t="shared" si="59"/>
        <v>0.2</v>
      </c>
      <c r="Q88" s="406">
        <f t="shared" si="80"/>
        <v>0.3168097084879381</v>
      </c>
      <c r="R88" s="9">
        <f t="shared" si="87"/>
        <v>0.41171918832595833</v>
      </c>
      <c r="S88" s="9">
        <f t="shared" si="81"/>
        <v>1.6951269003578594E-4</v>
      </c>
      <c r="T88" s="9">
        <f t="shared" si="88"/>
        <v>1.6951269003578594E-4</v>
      </c>
      <c r="U88" s="406">
        <f t="shared" si="60"/>
        <v>1.1155578475427759</v>
      </c>
      <c r="V88" s="408">
        <f t="shared" si="82"/>
        <v>1.2444693112142712E-3</v>
      </c>
      <c r="W88" s="406">
        <f t="shared" si="89"/>
        <v>1.2444693112142712E-3</v>
      </c>
      <c r="X88" s="406">
        <f t="shared" si="61"/>
        <v>1.1155578475427759</v>
      </c>
      <c r="Y88" s="406">
        <f t="shared" si="83"/>
        <v>7.4668158672856269E-3</v>
      </c>
      <c r="Z88" s="406">
        <f t="shared" si="62"/>
        <v>0.1760507312351475</v>
      </c>
      <c r="AA88" s="406">
        <f t="shared" si="63"/>
        <v>0.14400000000000002</v>
      </c>
      <c r="AB88" s="406">
        <f t="shared" si="64"/>
        <v>0</v>
      </c>
      <c r="AC88" s="406">
        <f t="shared" si="65"/>
        <v>0.32800738124620837</v>
      </c>
      <c r="AD88" s="406">
        <f t="shared" si="66"/>
        <v>2.1311835629108802</v>
      </c>
      <c r="AE88" s="406">
        <f t="shared" si="84"/>
        <v>2.7251660272929083E-2</v>
      </c>
      <c r="AF88" s="406">
        <f t="shared" si="67"/>
        <v>3.4127999999999999E-2</v>
      </c>
      <c r="AG88" s="406">
        <f t="shared" si="68"/>
        <v>6.1648463952285182E-2</v>
      </c>
      <c r="AH88" s="406">
        <f t="shared" si="69"/>
        <v>0</v>
      </c>
      <c r="AI88">
        <f t="shared" si="70"/>
        <v>0</v>
      </c>
      <c r="AJ88" s="407">
        <f t="shared" si="71"/>
        <v>0.35978669999999996</v>
      </c>
      <c r="AK88">
        <f t="shared" si="85"/>
        <v>4.8000000000000001E-2</v>
      </c>
      <c r="AL88" s="407">
        <f t="shared" si="72"/>
        <v>0.1215</v>
      </c>
      <c r="AM88" s="407">
        <f t="shared" si="86"/>
        <v>0.31645971316818772</v>
      </c>
      <c r="AN88" s="407">
        <f t="shared" si="90"/>
        <v>0.16949999999999998</v>
      </c>
      <c r="AO88" s="407">
        <f t="shared" si="73"/>
        <v>1.2371662356876816</v>
      </c>
      <c r="AP88">
        <f t="shared" si="74"/>
        <v>12.087</v>
      </c>
      <c r="AQ88" s="10">
        <f t="shared" si="91"/>
        <v>0.90714869404931064</v>
      </c>
      <c r="AR88" s="63">
        <f t="shared" si="75"/>
        <v>16.400369062310418</v>
      </c>
      <c r="AS88" s="63">
        <f t="shared" si="92"/>
        <v>2.4659385580914073</v>
      </c>
      <c r="AT88" s="10"/>
      <c r="AU88">
        <f t="shared" si="93"/>
        <v>90.714869404931065</v>
      </c>
      <c r="BE88" s="28"/>
      <c r="BF88" s="29"/>
    </row>
    <row r="89" spans="1:58" x14ac:dyDescent="0.25">
      <c r="G89">
        <v>80</v>
      </c>
      <c r="H89">
        <f t="shared" si="55"/>
        <v>2.4000000000000004</v>
      </c>
      <c r="I89" s="406">
        <f t="shared" si="76"/>
        <v>0.21509999999999999</v>
      </c>
      <c r="J89" s="407">
        <f t="shared" si="56"/>
        <v>1.4264526315789472</v>
      </c>
      <c r="K89" s="407">
        <f t="shared" si="77"/>
        <v>3.1132263157894737</v>
      </c>
      <c r="L89" s="407">
        <f t="shared" si="78"/>
        <v>1.6867736842105268</v>
      </c>
      <c r="M89" s="63">
        <f t="shared" si="57"/>
        <v>0</v>
      </c>
      <c r="N89" s="406">
        <f t="shared" si="58"/>
        <v>2.4350695936348261</v>
      </c>
      <c r="O89" s="406">
        <f t="shared" si="79"/>
        <v>0.11972716633520936</v>
      </c>
      <c r="P89">
        <f t="shared" si="59"/>
        <v>0.2</v>
      </c>
      <c r="Q89" s="406">
        <f t="shared" si="80"/>
        <v>0.31972716633520937</v>
      </c>
      <c r="R89" s="9">
        <f t="shared" si="87"/>
        <v>0.41178140541417763</v>
      </c>
      <c r="S89" s="9">
        <f t="shared" si="81"/>
        <v>1.6956392584487531E-4</v>
      </c>
      <c r="T89" s="9">
        <f t="shared" si="88"/>
        <v>1.6956392584487531E-4</v>
      </c>
      <c r="U89" s="406">
        <f t="shared" si="60"/>
        <v>1.1293578708492862</v>
      </c>
      <c r="V89" s="408">
        <f t="shared" si="82"/>
        <v>1.2754492004492331E-3</v>
      </c>
      <c r="W89" s="406">
        <f t="shared" si="89"/>
        <v>1.2754492004492331E-3</v>
      </c>
      <c r="X89" s="406">
        <f t="shared" si="61"/>
        <v>1.1293578708492862</v>
      </c>
      <c r="Y89" s="406">
        <f t="shared" si="83"/>
        <v>7.6526952026953988E-3</v>
      </c>
      <c r="Z89" s="406">
        <f t="shared" si="62"/>
        <v>0.17829882889867157</v>
      </c>
      <c r="AA89" s="406">
        <f t="shared" si="63"/>
        <v>0.14400000000000002</v>
      </c>
      <c r="AB89" s="406">
        <f t="shared" si="64"/>
        <v>0</v>
      </c>
      <c r="AC89" s="406">
        <f t="shared" si="65"/>
        <v>0.33045730190316097</v>
      </c>
      <c r="AD89" s="406">
        <f t="shared" si="66"/>
        <v>2.1573397334206876</v>
      </c>
      <c r="AE89" s="406">
        <f t="shared" si="84"/>
        <v>2.7924688352373862E-2</v>
      </c>
      <c r="AF89" s="406">
        <f t="shared" si="67"/>
        <v>3.4560000000000007E-2</v>
      </c>
      <c r="AG89" s="406">
        <f t="shared" si="68"/>
        <v>6.2765119777845185E-2</v>
      </c>
      <c r="AH89" s="406">
        <f t="shared" si="69"/>
        <v>0</v>
      </c>
      <c r="AI89">
        <f t="shared" si="70"/>
        <v>0</v>
      </c>
      <c r="AJ89" s="407">
        <f t="shared" si="71"/>
        <v>0.35978399999999999</v>
      </c>
      <c r="AK89">
        <f t="shared" si="85"/>
        <v>4.8000000000000001E-2</v>
      </c>
      <c r="AL89" s="407">
        <f t="shared" si="72"/>
        <v>0.1215</v>
      </c>
      <c r="AM89" s="407">
        <f t="shared" si="86"/>
        <v>0.31645971316818772</v>
      </c>
      <c r="AN89" s="407">
        <f t="shared" si="90"/>
        <v>0.16949999999999998</v>
      </c>
      <c r="AO89" s="407">
        <f t="shared" si="73"/>
        <v>1.2436786011425096</v>
      </c>
      <c r="AP89">
        <f t="shared" si="74"/>
        <v>12.24</v>
      </c>
      <c r="AQ89" s="10">
        <f t="shared" si="91"/>
        <v>0.90776414671904682</v>
      </c>
      <c r="AR89" s="63">
        <f t="shared" si="75"/>
        <v>16.52286509515805</v>
      </c>
      <c r="AS89" s="63">
        <f t="shared" si="92"/>
        <v>2.5106047911138072</v>
      </c>
      <c r="AT89" s="10"/>
      <c r="AU89">
        <f t="shared" si="93"/>
        <v>90.776414671904675</v>
      </c>
      <c r="BE89" s="28"/>
      <c r="BF89" s="29"/>
    </row>
    <row r="90" spans="1:58" x14ac:dyDescent="0.25">
      <c r="G90">
        <v>81</v>
      </c>
      <c r="H90">
        <f t="shared" si="55"/>
        <v>2.4300000000000002</v>
      </c>
      <c r="I90" s="406">
        <f t="shared" si="76"/>
        <v>0.21513249999999998</v>
      </c>
      <c r="J90" s="407">
        <f t="shared" si="56"/>
        <v>1.4266681578947364</v>
      </c>
      <c r="K90" s="407">
        <f t="shared" si="77"/>
        <v>3.1433340789473685</v>
      </c>
      <c r="L90" s="407">
        <f t="shared" si="78"/>
        <v>1.7166659210526318</v>
      </c>
      <c r="M90" s="63">
        <f t="shared" si="57"/>
        <v>0</v>
      </c>
      <c r="N90" s="406">
        <f t="shared" si="58"/>
        <v>2.4646531539743877</v>
      </c>
      <c r="O90" s="406">
        <f t="shared" si="79"/>
        <v>0.1226826839069822</v>
      </c>
      <c r="P90">
        <f t="shared" si="59"/>
        <v>0.2</v>
      </c>
      <c r="Q90" s="406">
        <f t="shared" si="80"/>
        <v>0.32268268390698218</v>
      </c>
      <c r="R90" s="9">
        <f t="shared" si="87"/>
        <v>0.41184362250239681</v>
      </c>
      <c r="S90" s="9">
        <f t="shared" si="81"/>
        <v>1.6961516939589675E-4</v>
      </c>
      <c r="T90" s="9">
        <f t="shared" si="88"/>
        <v>1.6961516939589675E-4</v>
      </c>
      <c r="U90" s="406">
        <f t="shared" si="60"/>
        <v>1.143164745205197</v>
      </c>
      <c r="V90" s="408">
        <f t="shared" si="82"/>
        <v>1.3068256346800628E-3</v>
      </c>
      <c r="W90" s="406">
        <f t="shared" si="89"/>
        <v>1.3068256346800628E-3</v>
      </c>
      <c r="X90" s="406">
        <f t="shared" si="61"/>
        <v>1.143164745205197</v>
      </c>
      <c r="Y90" s="406">
        <f t="shared" si="83"/>
        <v>7.8409538080803781E-3</v>
      </c>
      <c r="Z90" s="406">
        <f t="shared" si="62"/>
        <v>0.18054692656219568</v>
      </c>
      <c r="AA90" s="406">
        <f t="shared" si="63"/>
        <v>0.14400000000000002</v>
      </c>
      <c r="AB90" s="406">
        <f t="shared" si="64"/>
        <v>0</v>
      </c>
      <c r="AC90" s="406">
        <f t="shared" si="65"/>
        <v>0.33290994667309892</v>
      </c>
      <c r="AD90" s="406">
        <f t="shared" si="66"/>
        <v>2.1835039580261433</v>
      </c>
      <c r="AE90" s="406">
        <f t="shared" si="84"/>
        <v>2.8606137208295E-2</v>
      </c>
      <c r="AF90" s="406">
        <f t="shared" si="67"/>
        <v>3.4992000000000002E-2</v>
      </c>
      <c r="AG90" s="406">
        <f t="shared" si="68"/>
        <v>6.3890563162879416E-2</v>
      </c>
      <c r="AH90" s="406">
        <f t="shared" si="69"/>
        <v>0</v>
      </c>
      <c r="AI90">
        <f t="shared" si="70"/>
        <v>0</v>
      </c>
      <c r="AJ90" s="407">
        <f t="shared" si="71"/>
        <v>0.35978130000000003</v>
      </c>
      <c r="AK90">
        <f t="shared" si="85"/>
        <v>4.8000000000000001E-2</v>
      </c>
      <c r="AL90" s="407">
        <f t="shared" si="72"/>
        <v>0.1215</v>
      </c>
      <c r="AM90" s="407">
        <f t="shared" si="86"/>
        <v>0.31645971316818772</v>
      </c>
      <c r="AN90" s="407">
        <f t="shared" si="90"/>
        <v>0.16949999999999998</v>
      </c>
      <c r="AO90" s="407">
        <f t="shared" si="73"/>
        <v>1.2502409345470364</v>
      </c>
      <c r="AP90">
        <f t="shared" si="74"/>
        <v>12.393000000000001</v>
      </c>
      <c r="AQ90" s="10">
        <f t="shared" si="91"/>
        <v>0.90836188112890304</v>
      </c>
      <c r="AR90" s="63">
        <f t="shared" si="75"/>
        <v>16.645497333654944</v>
      </c>
      <c r="AS90" s="63">
        <f t="shared" si="92"/>
        <v>2.5556225265151769</v>
      </c>
      <c r="AT90" s="10"/>
      <c r="AU90">
        <f t="shared" si="93"/>
        <v>90.836188112890298</v>
      </c>
      <c r="BE90" s="28"/>
      <c r="BF90" s="29"/>
    </row>
    <row r="91" spans="1:58" x14ac:dyDescent="0.25">
      <c r="G91">
        <v>82</v>
      </c>
      <c r="H91">
        <f t="shared" si="55"/>
        <v>2.46</v>
      </c>
      <c r="I91" s="406">
        <f t="shared" si="76"/>
        <v>0.21516499999999997</v>
      </c>
      <c r="J91" s="407">
        <f t="shared" si="56"/>
        <v>1.4268836842105259</v>
      </c>
      <c r="K91" s="407">
        <f t="shared" si="77"/>
        <v>3.1734418421052628</v>
      </c>
      <c r="L91" s="407">
        <f t="shared" si="78"/>
        <v>1.7465581578947371</v>
      </c>
      <c r="M91" s="63">
        <f t="shared" si="57"/>
        <v>0</v>
      </c>
      <c r="N91" s="406">
        <f t="shared" si="58"/>
        <v>2.4942466639626582</v>
      </c>
      <c r="O91" s="406">
        <f t="shared" si="79"/>
        <v>0.12567631374267824</v>
      </c>
      <c r="P91">
        <f t="shared" si="59"/>
        <v>0.2</v>
      </c>
      <c r="Q91" s="406">
        <f t="shared" si="80"/>
        <v>0.32567631374267825</v>
      </c>
      <c r="R91" s="9">
        <f t="shared" si="87"/>
        <v>0.41190583959061605</v>
      </c>
      <c r="S91" s="9">
        <f t="shared" si="81"/>
        <v>1.6966642068885033E-4</v>
      </c>
      <c r="T91" s="9">
        <f t="shared" si="88"/>
        <v>1.6966642068885033E-4</v>
      </c>
      <c r="U91" s="406">
        <f t="shared" si="60"/>
        <v>1.1569783011826609</v>
      </c>
      <c r="V91" s="408">
        <f t="shared" si="82"/>
        <v>1.338598789407516E-3</v>
      </c>
      <c r="W91" s="406">
        <f t="shared" si="89"/>
        <v>1.338598789407516E-3</v>
      </c>
      <c r="X91" s="406">
        <f t="shared" si="61"/>
        <v>1.1569783011826609</v>
      </c>
      <c r="Y91" s="406">
        <f t="shared" si="83"/>
        <v>8.0315927364450965E-3</v>
      </c>
      <c r="Z91" s="406">
        <f t="shared" si="62"/>
        <v>0.18279502422571975</v>
      </c>
      <c r="AA91" s="406">
        <f t="shared" si="63"/>
        <v>0.14400000000000002</v>
      </c>
      <c r="AB91" s="406">
        <f t="shared" si="64"/>
        <v>0</v>
      </c>
      <c r="AC91" s="406">
        <f t="shared" si="65"/>
        <v>0.33536532049659606</v>
      </c>
      <c r="AD91" s="406">
        <f t="shared" si="66"/>
        <v>2.2096759109157462</v>
      </c>
      <c r="AE91" s="406">
        <f t="shared" si="84"/>
        <v>2.9296005787687998E-2</v>
      </c>
      <c r="AF91" s="406">
        <f t="shared" si="67"/>
        <v>3.5423999999999997E-2</v>
      </c>
      <c r="AG91" s="406">
        <f t="shared" si="68"/>
        <v>6.5024800496759405E-2</v>
      </c>
      <c r="AH91" s="406">
        <f t="shared" si="69"/>
        <v>0</v>
      </c>
      <c r="AI91">
        <f t="shared" si="70"/>
        <v>0</v>
      </c>
      <c r="AJ91" s="407">
        <f t="shared" si="71"/>
        <v>0.3597786</v>
      </c>
      <c r="AK91">
        <f t="shared" si="85"/>
        <v>4.8000000000000001E-2</v>
      </c>
      <c r="AL91" s="407">
        <f t="shared" si="72"/>
        <v>0.1215</v>
      </c>
      <c r="AM91" s="407">
        <f t="shared" si="86"/>
        <v>0.31645971316818772</v>
      </c>
      <c r="AN91" s="407">
        <f t="shared" si="90"/>
        <v>0.16949999999999998</v>
      </c>
      <c r="AO91" s="407">
        <f t="shared" si="73"/>
        <v>1.2568532999461299</v>
      </c>
      <c r="AP91">
        <f t="shared" si="74"/>
        <v>12.545999999999999</v>
      </c>
      <c r="AQ91" s="10">
        <f t="shared" si="91"/>
        <v>0.90894250104425622</v>
      </c>
      <c r="AR91" s="63">
        <f t="shared" si="75"/>
        <v>16.768266024829803</v>
      </c>
      <c r="AS91" s="63">
        <f t="shared" si="92"/>
        <v>2.6009920198703762</v>
      </c>
      <c r="AT91" s="10"/>
      <c r="AU91">
        <f t="shared" si="93"/>
        <v>90.894250104425623</v>
      </c>
      <c r="BE91" s="28"/>
      <c r="BF91" s="29"/>
    </row>
    <row r="92" spans="1:58" x14ac:dyDescent="0.25">
      <c r="G92">
        <v>83</v>
      </c>
      <c r="H92">
        <f t="shared" si="55"/>
        <v>2.4899999999999998</v>
      </c>
      <c r="I92" s="406">
        <f t="shared" si="76"/>
        <v>0.21519750000000001</v>
      </c>
      <c r="J92" s="407">
        <f t="shared" si="56"/>
        <v>1.4270992105263156</v>
      </c>
      <c r="K92" s="407">
        <f t="shared" si="77"/>
        <v>3.2035496052631576</v>
      </c>
      <c r="L92" s="407">
        <f t="shared" si="78"/>
        <v>1.776450394736842</v>
      </c>
      <c r="M92" s="63">
        <f t="shared" si="57"/>
        <v>0</v>
      </c>
      <c r="N92" s="406">
        <f t="shared" si="58"/>
        <v>2.5238497736045495</v>
      </c>
      <c r="O92" s="406">
        <f t="shared" si="79"/>
        <v>0.1287081090966308</v>
      </c>
      <c r="P92">
        <f t="shared" si="59"/>
        <v>0.2</v>
      </c>
      <c r="Q92" s="406">
        <f t="shared" si="80"/>
        <v>0.32870810909663084</v>
      </c>
      <c r="R92" s="9">
        <f t="shared" si="87"/>
        <v>0.4119680566788354</v>
      </c>
      <c r="S92" s="9">
        <f t="shared" si="81"/>
        <v>1.6971767972373615E-4</v>
      </c>
      <c r="T92" s="9">
        <f t="shared" si="88"/>
        <v>1.6971767972373615E-4</v>
      </c>
      <c r="U92" s="406">
        <f t="shared" si="60"/>
        <v>1.1707983772333941</v>
      </c>
      <c r="V92" s="408">
        <f t="shared" si="82"/>
        <v>1.370768840132349E-3</v>
      </c>
      <c r="W92" s="406">
        <f t="shared" si="89"/>
        <v>1.370768840132349E-3</v>
      </c>
      <c r="X92" s="406">
        <f t="shared" si="61"/>
        <v>1.1707983772333941</v>
      </c>
      <c r="Y92" s="406">
        <f t="shared" si="83"/>
        <v>8.2246130407940942E-3</v>
      </c>
      <c r="Z92" s="406">
        <f t="shared" si="62"/>
        <v>0.18504312188924385</v>
      </c>
      <c r="AA92" s="406">
        <f t="shared" si="63"/>
        <v>0.14400000000000002</v>
      </c>
      <c r="AB92" s="406">
        <f t="shared" si="64"/>
        <v>0</v>
      </c>
      <c r="AC92" s="406">
        <f t="shared" si="65"/>
        <v>0.33782342832485523</v>
      </c>
      <c r="AD92" s="406">
        <f t="shared" si="66"/>
        <v>2.2358552814507888</v>
      </c>
      <c r="AE92" s="406">
        <f t="shared" si="84"/>
        <v>2.9994293037548317E-2</v>
      </c>
      <c r="AF92" s="406">
        <f t="shared" si="67"/>
        <v>3.5855999999999999E-2</v>
      </c>
      <c r="AG92" s="406">
        <f t="shared" si="68"/>
        <v>6.6167838242332577E-2</v>
      </c>
      <c r="AH92" s="406">
        <f t="shared" si="69"/>
        <v>0</v>
      </c>
      <c r="AI92">
        <f t="shared" si="70"/>
        <v>0</v>
      </c>
      <c r="AJ92" s="407">
        <f t="shared" si="71"/>
        <v>0.35977589999999998</v>
      </c>
      <c r="AK92">
        <f t="shared" si="85"/>
        <v>4.8000000000000001E-2</v>
      </c>
      <c r="AL92" s="407">
        <f t="shared" si="72"/>
        <v>0.1215</v>
      </c>
      <c r="AM92" s="407">
        <f t="shared" si="86"/>
        <v>0.31645971316818772</v>
      </c>
      <c r="AN92" s="407">
        <f t="shared" si="90"/>
        <v>0.16949999999999998</v>
      </c>
      <c r="AO92" s="407">
        <f t="shared" si="73"/>
        <v>1.2635157621836748</v>
      </c>
      <c r="AP92">
        <f t="shared" si="74"/>
        <v>12.698999999999998</v>
      </c>
      <c r="AQ92" s="10">
        <f t="shared" si="91"/>
        <v>0.90950658293215303</v>
      </c>
      <c r="AR92" s="63">
        <f t="shared" si="75"/>
        <v>16.891171416242763</v>
      </c>
      <c r="AS92" s="63">
        <f t="shared" si="92"/>
        <v>2.6467135296933031</v>
      </c>
      <c r="AT92" s="10"/>
      <c r="AU92">
        <f t="shared" si="93"/>
        <v>90.950658293215298</v>
      </c>
      <c r="BE92" s="28"/>
      <c r="BF92" s="29"/>
    </row>
    <row r="93" spans="1:58" x14ac:dyDescent="0.25">
      <c r="G93">
        <v>84</v>
      </c>
      <c r="H93">
        <f t="shared" si="55"/>
        <v>2.52</v>
      </c>
      <c r="I93" s="406">
        <f t="shared" si="76"/>
        <v>0.21522999999999995</v>
      </c>
      <c r="J93" s="407">
        <f t="shared" si="56"/>
        <v>1.4273147368421049</v>
      </c>
      <c r="K93" s="407">
        <f t="shared" si="77"/>
        <v>3.2336573684210523</v>
      </c>
      <c r="L93" s="407">
        <f t="shared" si="78"/>
        <v>1.8063426315789477</v>
      </c>
      <c r="M93" s="63">
        <f t="shared" si="57"/>
        <v>0</v>
      </c>
      <c r="N93" s="406">
        <f t="shared" si="58"/>
        <v>2.5534621490244485</v>
      </c>
      <c r="O93" s="406">
        <f t="shared" si="79"/>
        <v>0.13177812394048283</v>
      </c>
      <c r="P93">
        <f t="shared" si="59"/>
        <v>0.2</v>
      </c>
      <c r="Q93" s="406">
        <f t="shared" si="80"/>
        <v>0.33177812394048284</v>
      </c>
      <c r="R93" s="9">
        <f t="shared" si="87"/>
        <v>0.41203027376705459</v>
      </c>
      <c r="S93" s="9">
        <f t="shared" si="81"/>
        <v>1.6976894650055398E-4</v>
      </c>
      <c r="T93" s="9">
        <f t="shared" si="88"/>
        <v>1.6976894650055398E-4</v>
      </c>
      <c r="U93" s="406">
        <f t="shared" si="60"/>
        <v>1.1846248192382742</v>
      </c>
      <c r="V93" s="408">
        <f t="shared" si="82"/>
        <v>1.4033359623553138E-3</v>
      </c>
      <c r="W93" s="406">
        <f t="shared" si="89"/>
        <v>1.4033359623553138E-3</v>
      </c>
      <c r="X93" s="406">
        <f t="shared" si="61"/>
        <v>1.1846248192382742</v>
      </c>
      <c r="Y93" s="406">
        <f t="shared" si="83"/>
        <v>8.420015774131883E-3</v>
      </c>
      <c r="Z93" s="406">
        <f t="shared" si="62"/>
        <v>0.18729121955276795</v>
      </c>
      <c r="AA93" s="406">
        <f t="shared" si="63"/>
        <v>0.14400000000000002</v>
      </c>
      <c r="AB93" s="406">
        <f t="shared" si="64"/>
        <v>0</v>
      </c>
      <c r="AC93" s="406">
        <f t="shared" si="65"/>
        <v>0.3402842751197393</v>
      </c>
      <c r="AD93" s="406">
        <f t="shared" si="66"/>
        <v>2.262041773298018</v>
      </c>
      <c r="AE93" s="406">
        <f t="shared" si="84"/>
        <v>3.0700997904871453E-2</v>
      </c>
      <c r="AF93" s="406">
        <f t="shared" si="67"/>
        <v>3.6288000000000001E-2</v>
      </c>
      <c r="AG93" s="406">
        <f t="shared" si="68"/>
        <v>6.7319682936035588E-2</v>
      </c>
      <c r="AH93" s="406">
        <f t="shared" si="69"/>
        <v>0</v>
      </c>
      <c r="AI93">
        <f t="shared" si="70"/>
        <v>0</v>
      </c>
      <c r="AJ93" s="407">
        <f t="shared" si="71"/>
        <v>0.35977320000000002</v>
      </c>
      <c r="AK93">
        <f t="shared" si="85"/>
        <v>4.8000000000000001E-2</v>
      </c>
      <c r="AL93" s="407">
        <f t="shared" si="72"/>
        <v>0.1215</v>
      </c>
      <c r="AM93" s="407">
        <f t="shared" si="86"/>
        <v>0.31645971316818772</v>
      </c>
      <c r="AN93" s="407">
        <f t="shared" si="90"/>
        <v>0.16949999999999998</v>
      </c>
      <c r="AO93" s="407">
        <f t="shared" si="73"/>
        <v>1.2702283869051136</v>
      </c>
      <c r="AP93">
        <f t="shared" si="74"/>
        <v>12.851999999999999</v>
      </c>
      <c r="AQ93" s="10">
        <f t="shared" si="91"/>
        <v>0.91005467748397717</v>
      </c>
      <c r="AR93" s="63">
        <f t="shared" si="75"/>
        <v>17.014213755986965</v>
      </c>
      <c r="AS93" s="63">
        <f t="shared" si="92"/>
        <v>2.6927873174414234</v>
      </c>
      <c r="AT93" s="10"/>
      <c r="AU93">
        <f t="shared" si="93"/>
        <v>91.00546774839772</v>
      </c>
      <c r="BE93" s="28"/>
      <c r="BF93" s="29"/>
    </row>
    <row r="94" spans="1:58" x14ac:dyDescent="0.25">
      <c r="G94">
        <v>85</v>
      </c>
      <c r="H94">
        <f t="shared" si="55"/>
        <v>2.5499999999999998</v>
      </c>
      <c r="I94" s="406">
        <f t="shared" si="76"/>
        <v>0.2152625</v>
      </c>
      <c r="J94" s="407">
        <f t="shared" si="56"/>
        <v>1.4275302631578946</v>
      </c>
      <c r="K94" s="407">
        <f t="shared" si="77"/>
        <v>3.2637651315789471</v>
      </c>
      <c r="L94" s="407">
        <f t="shared" si="78"/>
        <v>1.8362348684210525</v>
      </c>
      <c r="M94" s="63">
        <f t="shared" si="57"/>
        <v>0</v>
      </c>
      <c r="N94" s="406">
        <f t="shared" si="58"/>
        <v>2.583083471554743</v>
      </c>
      <c r="O94" s="406">
        <f t="shared" si="79"/>
        <v>0.13488641296562009</v>
      </c>
      <c r="P94">
        <f t="shared" si="59"/>
        <v>0.2</v>
      </c>
      <c r="Q94" s="406">
        <f t="shared" si="80"/>
        <v>0.33488641296562011</v>
      </c>
      <c r="R94" s="9">
        <f t="shared" si="87"/>
        <v>0.41209249085527389</v>
      </c>
      <c r="S94" s="9">
        <f t="shared" si="81"/>
        <v>1.6982022101930401E-4</v>
      </c>
      <c r="T94" s="9">
        <f t="shared" si="88"/>
        <v>1.6982022101930401E-4</v>
      </c>
      <c r="U94" s="406">
        <f t="shared" si="60"/>
        <v>1.198457480087286</v>
      </c>
      <c r="V94" s="408">
        <f t="shared" si="82"/>
        <v>1.4363003315771676E-3</v>
      </c>
      <c r="W94" s="406">
        <f t="shared" si="89"/>
        <v>1.4363003315771676E-3</v>
      </c>
      <c r="X94" s="406">
        <f t="shared" si="61"/>
        <v>1.198457480087286</v>
      </c>
      <c r="Y94" s="406">
        <f t="shared" si="83"/>
        <v>8.6178019894630059E-3</v>
      </c>
      <c r="Z94" s="406">
        <f t="shared" si="62"/>
        <v>0.18953931721629208</v>
      </c>
      <c r="AA94" s="406">
        <f t="shared" si="63"/>
        <v>0.14400000000000002</v>
      </c>
      <c r="AB94" s="406">
        <f t="shared" si="64"/>
        <v>0</v>
      </c>
      <c r="AC94" s="406">
        <f t="shared" si="65"/>
        <v>0.3427478658538029</v>
      </c>
      <c r="AD94" s="406">
        <f t="shared" si="66"/>
        <v>2.2882351036207216</v>
      </c>
      <c r="AE94" s="406">
        <f t="shared" si="84"/>
        <v>3.1416119336652809E-2</v>
      </c>
      <c r="AF94" s="406">
        <f t="shared" si="67"/>
        <v>3.6719999999999996E-2</v>
      </c>
      <c r="AG94" s="406">
        <f t="shared" si="68"/>
        <v>6.8480341188009164E-2</v>
      </c>
      <c r="AH94" s="406">
        <f t="shared" si="69"/>
        <v>0</v>
      </c>
      <c r="AI94">
        <f t="shared" si="70"/>
        <v>0</v>
      </c>
      <c r="AJ94" s="407">
        <f t="shared" si="71"/>
        <v>0.35977049999999999</v>
      </c>
      <c r="AK94">
        <f t="shared" si="85"/>
        <v>4.8000000000000001E-2</v>
      </c>
      <c r="AL94" s="407">
        <f t="shared" si="72"/>
        <v>0.1215</v>
      </c>
      <c r="AM94" s="407">
        <f t="shared" si="86"/>
        <v>0.31645971316818772</v>
      </c>
      <c r="AN94" s="407">
        <f t="shared" si="90"/>
        <v>0.16949999999999998</v>
      </c>
      <c r="AO94" s="407">
        <f t="shared" si="73"/>
        <v>1.2769912405600288</v>
      </c>
      <c r="AP94">
        <f t="shared" si="74"/>
        <v>13.004999999999999</v>
      </c>
      <c r="AQ94" s="10">
        <f t="shared" si="91"/>
        <v>0.91058731103731194</v>
      </c>
      <c r="AR94" s="63">
        <f t="shared" si="75"/>
        <v>17.137393292690145</v>
      </c>
      <c r="AS94" s="63">
        <f t="shared" si="92"/>
        <v>2.7392136475203666</v>
      </c>
      <c r="AT94" s="10"/>
      <c r="AU94">
        <f t="shared" si="93"/>
        <v>91.058731103731191</v>
      </c>
      <c r="BE94" s="28"/>
      <c r="BF94" s="29"/>
    </row>
    <row r="95" spans="1:58" x14ac:dyDescent="0.25">
      <c r="G95">
        <v>86</v>
      </c>
      <c r="H95">
        <f t="shared" si="55"/>
        <v>2.58</v>
      </c>
      <c r="I95" s="406">
        <f t="shared" si="76"/>
        <v>0.21529499999999999</v>
      </c>
      <c r="J95" s="407">
        <f t="shared" si="56"/>
        <v>1.427745789473684</v>
      </c>
      <c r="K95" s="407">
        <f t="shared" si="77"/>
        <v>3.2938728947368423</v>
      </c>
      <c r="L95" s="407">
        <f t="shared" si="78"/>
        <v>1.8661271052631581</v>
      </c>
      <c r="M95" s="63">
        <f t="shared" si="57"/>
        <v>0</v>
      </c>
      <c r="N95" s="406">
        <f t="shared" si="58"/>
        <v>2.6127134368851066</v>
      </c>
      <c r="O95" s="406">
        <f t="shared" si="79"/>
        <v>0.13803303158563876</v>
      </c>
      <c r="P95">
        <f t="shared" si="59"/>
        <v>0.2</v>
      </c>
      <c r="Q95" s="406">
        <f t="shared" si="80"/>
        <v>0.3380330315856388</v>
      </c>
      <c r="R95" s="9">
        <f t="shared" si="87"/>
        <v>0.41215470794349313</v>
      </c>
      <c r="S95" s="9">
        <f t="shared" si="81"/>
        <v>1.6987150327998614E-4</v>
      </c>
      <c r="T95" s="9">
        <f t="shared" si="88"/>
        <v>1.6987150327998614E-4</v>
      </c>
      <c r="U95" s="406">
        <f t="shared" si="60"/>
        <v>1.212296219287458</v>
      </c>
      <c r="V95" s="408">
        <f t="shared" si="82"/>
        <v>1.4696621232986645E-3</v>
      </c>
      <c r="W95" s="406">
        <f t="shared" si="89"/>
        <v>1.4696621232986645E-3</v>
      </c>
      <c r="X95" s="406">
        <f t="shared" si="61"/>
        <v>1.212296219287458</v>
      </c>
      <c r="Y95" s="406">
        <f t="shared" si="83"/>
        <v>8.8179727397919867E-3</v>
      </c>
      <c r="Z95" s="406">
        <f t="shared" si="62"/>
        <v>0.19178741487981615</v>
      </c>
      <c r="AA95" s="406">
        <f t="shared" si="63"/>
        <v>0.14400000000000002</v>
      </c>
      <c r="AB95" s="406">
        <f t="shared" si="64"/>
        <v>0</v>
      </c>
      <c r="AC95" s="406">
        <f t="shared" si="65"/>
        <v>0.345214205510324</v>
      </c>
      <c r="AD95" s="406">
        <f t="shared" si="66"/>
        <v>2.3144350023237465</v>
      </c>
      <c r="AE95" s="406">
        <f t="shared" si="84"/>
        <v>3.2139656279887928E-2</v>
      </c>
      <c r="AF95" s="406">
        <f t="shared" si="67"/>
        <v>3.7151999999999998E-2</v>
      </c>
      <c r="AG95" s="406">
        <f t="shared" si="68"/>
        <v>6.9649819682214731E-2</v>
      </c>
      <c r="AH95" s="406">
        <f t="shared" si="69"/>
        <v>0</v>
      </c>
      <c r="AI95">
        <f t="shared" si="70"/>
        <v>0</v>
      </c>
      <c r="AJ95" s="407">
        <f t="shared" si="71"/>
        <v>0.35976779999999997</v>
      </c>
      <c r="AK95">
        <f t="shared" si="85"/>
        <v>4.8000000000000001E-2</v>
      </c>
      <c r="AL95" s="407">
        <f t="shared" si="72"/>
        <v>0.1215</v>
      </c>
      <c r="AM95" s="407">
        <f t="shared" si="86"/>
        <v>0.31645971316818772</v>
      </c>
      <c r="AN95" s="407">
        <f t="shared" si="90"/>
        <v>0.16949999999999998</v>
      </c>
      <c r="AO95" s="407">
        <f t="shared" si="73"/>
        <v>1.2838043904047562</v>
      </c>
      <c r="AP95">
        <f t="shared" si="74"/>
        <v>13.157999999999999</v>
      </c>
      <c r="AQ95" s="10">
        <f t="shared" si="91"/>
        <v>0.91110498690470254</v>
      </c>
      <c r="AR95" s="63">
        <f t="shared" si="75"/>
        <v>17.2607102755162</v>
      </c>
      <c r="AS95" s="63">
        <f t="shared" si="92"/>
        <v>2.7859927872885892</v>
      </c>
      <c r="AT95" s="10"/>
      <c r="AU95">
        <f t="shared" si="93"/>
        <v>91.110498690470251</v>
      </c>
      <c r="BE95" s="28"/>
      <c r="BF95" s="29"/>
    </row>
    <row r="96" spans="1:58" x14ac:dyDescent="0.25">
      <c r="G96">
        <v>87</v>
      </c>
      <c r="H96">
        <f t="shared" si="55"/>
        <v>2.61</v>
      </c>
      <c r="I96" s="406">
        <f t="shared" si="76"/>
        <v>0.21532749999999998</v>
      </c>
      <c r="J96" s="407">
        <f t="shared" si="56"/>
        <v>1.4279613157894735</v>
      </c>
      <c r="K96" s="407">
        <f t="shared" si="77"/>
        <v>3.3239806578947366</v>
      </c>
      <c r="L96" s="407">
        <f t="shared" si="78"/>
        <v>1.8960193421052631</v>
      </c>
      <c r="M96" s="63">
        <f t="shared" si="57"/>
        <v>0</v>
      </c>
      <c r="N96" s="406">
        <f t="shared" si="58"/>
        <v>2.6423517542678905</v>
      </c>
      <c r="O96" s="406">
        <f t="shared" si="79"/>
        <v>0.14121803593884819</v>
      </c>
      <c r="P96">
        <f t="shared" si="59"/>
        <v>0.2</v>
      </c>
      <c r="Q96" s="406">
        <f t="shared" si="80"/>
        <v>0.3412180359388482</v>
      </c>
      <c r="R96" s="9">
        <f t="shared" si="87"/>
        <v>0.41221692503171237</v>
      </c>
      <c r="S96" s="9">
        <f t="shared" si="81"/>
        <v>1.6992279328260039E-4</v>
      </c>
      <c r="T96" s="9">
        <f t="shared" si="88"/>
        <v>1.6992279328260039E-4</v>
      </c>
      <c r="U96" s="406">
        <f t="shared" si="60"/>
        <v>1.2261409025966628</v>
      </c>
      <c r="V96" s="408">
        <f t="shared" si="82"/>
        <v>1.5034215130205588E-3</v>
      </c>
      <c r="W96" s="406">
        <f t="shared" si="89"/>
        <v>1.5034215130205588E-3</v>
      </c>
      <c r="X96" s="406">
        <f t="shared" si="61"/>
        <v>1.2261409025966628</v>
      </c>
      <c r="Y96" s="406">
        <f t="shared" si="83"/>
        <v>9.0205290781233526E-3</v>
      </c>
      <c r="Z96" s="406">
        <f t="shared" si="62"/>
        <v>0.19403551254334025</v>
      </c>
      <c r="AA96" s="406">
        <f t="shared" si="63"/>
        <v>0.14400000000000002</v>
      </c>
      <c r="AB96" s="406">
        <f t="shared" si="64"/>
        <v>0</v>
      </c>
      <c r="AC96" s="406">
        <f t="shared" si="65"/>
        <v>0.34768329908333545</v>
      </c>
      <c r="AD96" s="406">
        <f t="shared" si="66"/>
        <v>2.3406412113483004</v>
      </c>
      <c r="AE96" s="406">
        <f t="shared" si="84"/>
        <v>3.2871607681572233E-2</v>
      </c>
      <c r="AF96" s="406">
        <f t="shared" si="67"/>
        <v>3.7583999999999999E-2</v>
      </c>
      <c r="AG96" s="406">
        <f t="shared" si="68"/>
        <v>7.0828125176552223E-2</v>
      </c>
      <c r="AH96" s="406">
        <f t="shared" si="69"/>
        <v>0</v>
      </c>
      <c r="AI96">
        <f t="shared" si="70"/>
        <v>0</v>
      </c>
      <c r="AJ96" s="407">
        <f t="shared" si="71"/>
        <v>0.3597651</v>
      </c>
      <c r="AK96">
        <f t="shared" si="85"/>
        <v>4.8000000000000001E-2</v>
      </c>
      <c r="AL96" s="407">
        <f t="shared" si="72"/>
        <v>0.1215</v>
      </c>
      <c r="AM96" s="407">
        <f t="shared" si="86"/>
        <v>0.31645971316818772</v>
      </c>
      <c r="AN96" s="407">
        <f t="shared" si="90"/>
        <v>0.16949999999999998</v>
      </c>
      <c r="AO96" s="407">
        <f t="shared" si="73"/>
        <v>1.2906679045050389</v>
      </c>
      <c r="AP96">
        <f t="shared" si="74"/>
        <v>13.310999999999998</v>
      </c>
      <c r="AQ96" s="10">
        <f t="shared" si="91"/>
        <v>0.91160818661635012</v>
      </c>
      <c r="AR96" s="63">
        <f t="shared" si="75"/>
        <v>17.384164954166774</v>
      </c>
      <c r="AS96" s="63">
        <f t="shared" si="92"/>
        <v>2.833125007062089</v>
      </c>
      <c r="AT96" s="10"/>
      <c r="AU96">
        <f t="shared" si="93"/>
        <v>91.160818661635005</v>
      </c>
      <c r="BE96" s="28"/>
      <c r="BF96" s="29"/>
    </row>
    <row r="97" spans="7:58" x14ac:dyDescent="0.25">
      <c r="G97">
        <v>88</v>
      </c>
      <c r="H97">
        <f t="shared" si="55"/>
        <v>2.64</v>
      </c>
      <c r="I97" s="406">
        <f t="shared" si="76"/>
        <v>0.21536</v>
      </c>
      <c r="J97" s="407">
        <f t="shared" si="56"/>
        <v>1.4281768421052627</v>
      </c>
      <c r="K97" s="407">
        <f t="shared" si="77"/>
        <v>3.3540884210526314</v>
      </c>
      <c r="L97" s="407">
        <f t="shared" si="78"/>
        <v>1.9259115789473689</v>
      </c>
      <c r="M97" s="63">
        <f t="shared" si="57"/>
        <v>0</v>
      </c>
      <c r="N97" s="406">
        <f t="shared" si="58"/>
        <v>2.6719981457753947</v>
      </c>
      <c r="O97" s="406">
        <f t="shared" si="79"/>
        <v>0.14444148289080974</v>
      </c>
      <c r="P97">
        <f t="shared" si="59"/>
        <v>0.2</v>
      </c>
      <c r="Q97" s="406">
        <f t="shared" si="80"/>
        <v>0.34444148289080978</v>
      </c>
      <c r="R97" s="9">
        <f t="shared" si="87"/>
        <v>0.41227914211993155</v>
      </c>
      <c r="S97" s="9">
        <f t="shared" si="81"/>
        <v>1.6997409102714674E-4</v>
      </c>
      <c r="T97" s="9">
        <f t="shared" si="88"/>
        <v>1.6997409102714674E-4</v>
      </c>
      <c r="U97" s="406">
        <f t="shared" si="60"/>
        <v>1.2399914016813207</v>
      </c>
      <c r="V97" s="408">
        <f t="shared" si="82"/>
        <v>1.5375786762436066E-3</v>
      </c>
      <c r="W97" s="406">
        <f t="shared" si="89"/>
        <v>1.5375786762436066E-3</v>
      </c>
      <c r="X97" s="406">
        <f t="shared" si="61"/>
        <v>1.2399914016813207</v>
      </c>
      <c r="Y97" s="406">
        <f t="shared" si="83"/>
        <v>9.2254720574616398E-3</v>
      </c>
      <c r="Z97" s="406">
        <f t="shared" si="62"/>
        <v>0.19628361020686433</v>
      </c>
      <c r="AA97" s="406">
        <f t="shared" si="63"/>
        <v>0.14400000000000002</v>
      </c>
      <c r="AB97" s="406">
        <f t="shared" si="64"/>
        <v>0</v>
      </c>
      <c r="AC97" s="406">
        <f t="shared" si="65"/>
        <v>0.3501551515776572</v>
      </c>
      <c r="AD97" s="406">
        <f t="shared" si="66"/>
        <v>2.3668534840128022</v>
      </c>
      <c r="AE97" s="406">
        <f t="shared" si="84"/>
        <v>3.3611972488701236E-2</v>
      </c>
      <c r="AF97" s="406">
        <f t="shared" si="67"/>
        <v>3.8016000000000001E-2</v>
      </c>
      <c r="AG97" s="406">
        <f t="shared" si="68"/>
        <v>7.2015264502979751E-2</v>
      </c>
      <c r="AH97" s="406">
        <f t="shared" si="69"/>
        <v>0</v>
      </c>
      <c r="AI97">
        <f t="shared" si="70"/>
        <v>0</v>
      </c>
      <c r="AJ97" s="407">
        <f t="shared" si="71"/>
        <v>0.35976239999999998</v>
      </c>
      <c r="AK97">
        <f t="shared" si="85"/>
        <v>4.8000000000000001E-2</v>
      </c>
      <c r="AL97" s="407">
        <f t="shared" si="72"/>
        <v>0.1215</v>
      </c>
      <c r="AM97" s="407">
        <f t="shared" si="86"/>
        <v>0.31645971316818772</v>
      </c>
      <c r="AN97" s="407">
        <f t="shared" si="90"/>
        <v>0.16949999999999998</v>
      </c>
      <c r="AO97" s="407">
        <f t="shared" si="73"/>
        <v>1.2975818517387174</v>
      </c>
      <c r="AP97">
        <f t="shared" si="74"/>
        <v>13.464</v>
      </c>
      <c r="AQ97" s="10">
        <f t="shared" si="91"/>
        <v>0.91209737108317557</v>
      </c>
      <c r="AR97" s="63">
        <f t="shared" si="75"/>
        <v>17.50775757888286</v>
      </c>
      <c r="AS97" s="63">
        <f t="shared" si="92"/>
        <v>2.8806105801191899</v>
      </c>
      <c r="AT97" s="10"/>
      <c r="AU97">
        <f t="shared" si="93"/>
        <v>91.209737108317555</v>
      </c>
      <c r="BE97" s="28"/>
      <c r="BF97" s="29"/>
    </row>
    <row r="98" spans="7:58" x14ac:dyDescent="0.25">
      <c r="G98">
        <v>89</v>
      </c>
      <c r="H98">
        <f t="shared" si="55"/>
        <v>2.67</v>
      </c>
      <c r="I98" s="406">
        <f t="shared" si="76"/>
        <v>0.21539249999999999</v>
      </c>
      <c r="J98" s="407">
        <f t="shared" si="56"/>
        <v>1.4283923684210522</v>
      </c>
      <c r="K98" s="407">
        <f t="shared" si="77"/>
        <v>3.3841961842105261</v>
      </c>
      <c r="L98" s="407">
        <f t="shared" si="78"/>
        <v>1.9558038157894737</v>
      </c>
      <c r="M98" s="63">
        <f t="shared" si="57"/>
        <v>0</v>
      </c>
      <c r="N98" s="406">
        <f t="shared" si="58"/>
        <v>2.7016523456051158</v>
      </c>
      <c r="O98" s="406">
        <f t="shared" si="79"/>
        <v>0.14770343003691019</v>
      </c>
      <c r="P98">
        <f t="shared" si="59"/>
        <v>0.2</v>
      </c>
      <c r="Q98" s="406">
        <f t="shared" si="80"/>
        <v>0.34770343003691018</v>
      </c>
      <c r="R98" s="9">
        <f t="shared" si="87"/>
        <v>0.41234135920815085</v>
      </c>
      <c r="S98" s="9">
        <f t="shared" si="81"/>
        <v>1.7002539651362529E-4</v>
      </c>
      <c r="T98" s="9">
        <f t="shared" si="88"/>
        <v>1.7002539651362529E-4</v>
      </c>
      <c r="U98" s="406">
        <f t="shared" si="60"/>
        <v>1.2538475937962161</v>
      </c>
      <c r="V98" s="408">
        <f t="shared" si="82"/>
        <v>1.5721337884685611E-3</v>
      </c>
      <c r="W98" s="406">
        <f t="shared" si="89"/>
        <v>1.5721337884685611E-3</v>
      </c>
      <c r="X98" s="406">
        <f t="shared" si="61"/>
        <v>1.2538475937962161</v>
      </c>
      <c r="Y98" s="406">
        <f t="shared" si="83"/>
        <v>9.4328027308113668E-3</v>
      </c>
      <c r="Z98" s="406">
        <f t="shared" si="62"/>
        <v>0.1985317078703884</v>
      </c>
      <c r="AA98" s="406">
        <f t="shared" si="63"/>
        <v>0.14400000000000002</v>
      </c>
      <c r="AB98" s="406">
        <f t="shared" si="64"/>
        <v>0</v>
      </c>
      <c r="AC98" s="406">
        <f t="shared" si="65"/>
        <v>0.35262976800892781</v>
      </c>
      <c r="AD98" s="406">
        <f t="shared" si="66"/>
        <v>2.3930715843963095</v>
      </c>
      <c r="AE98" s="406">
        <f t="shared" si="84"/>
        <v>3.4360749648270378E-2</v>
      </c>
      <c r="AF98" s="406">
        <f t="shared" si="67"/>
        <v>3.8447999999999996E-2</v>
      </c>
      <c r="AG98" s="406">
        <f t="shared" si="68"/>
        <v>7.3211244567634656E-2</v>
      </c>
      <c r="AH98" s="406">
        <f t="shared" si="69"/>
        <v>0</v>
      </c>
      <c r="AI98">
        <f t="shared" si="70"/>
        <v>0</v>
      </c>
      <c r="AJ98" s="407">
        <f t="shared" si="71"/>
        <v>0.35975969999999996</v>
      </c>
      <c r="AK98">
        <f t="shared" si="85"/>
        <v>4.8000000000000001E-2</v>
      </c>
      <c r="AL98" s="407">
        <f t="shared" si="72"/>
        <v>0.1215</v>
      </c>
      <c r="AM98" s="407">
        <f t="shared" si="86"/>
        <v>0.31645971316818772</v>
      </c>
      <c r="AN98" s="407">
        <f t="shared" si="90"/>
        <v>0.16949999999999998</v>
      </c>
      <c r="AO98" s="407">
        <f t="shared" si="73"/>
        <v>1.3045463017984549</v>
      </c>
      <c r="AP98">
        <f t="shared" si="74"/>
        <v>13.616999999999999</v>
      </c>
      <c r="AQ98" s="10">
        <f t="shared" si="91"/>
        <v>0.91257298168613921</v>
      </c>
      <c r="AR98" s="63">
        <f t="shared" si="75"/>
        <v>17.63148840044639</v>
      </c>
      <c r="AS98" s="63">
        <f t="shared" si="92"/>
        <v>2.9284497827053864</v>
      </c>
      <c r="AT98" s="10"/>
      <c r="AU98">
        <f t="shared" si="93"/>
        <v>91.257298168613914</v>
      </c>
      <c r="BE98" s="28"/>
      <c r="BF98" s="29"/>
    </row>
    <row r="99" spans="7:58" x14ac:dyDescent="0.25">
      <c r="G99">
        <v>90</v>
      </c>
      <c r="H99">
        <f t="shared" si="55"/>
        <v>2.7</v>
      </c>
      <c r="I99" s="406">
        <f t="shared" si="76"/>
        <v>0.21542500000000001</v>
      </c>
      <c r="J99" s="407">
        <f t="shared" si="56"/>
        <v>1.4286078947368421</v>
      </c>
      <c r="K99" s="407">
        <f t="shared" si="77"/>
        <v>3.4143039473684214</v>
      </c>
      <c r="L99" s="407">
        <f t="shared" si="78"/>
        <v>1.985696052631579</v>
      </c>
      <c r="M99" s="63">
        <f t="shared" si="57"/>
        <v>0</v>
      </c>
      <c r="N99" s="406">
        <f t="shared" si="58"/>
        <v>2.7313140994294369</v>
      </c>
      <c r="O99" s="406">
        <f t="shared" si="79"/>
        <v>0.151003935704972</v>
      </c>
      <c r="P99">
        <f t="shared" si="59"/>
        <v>0.2</v>
      </c>
      <c r="Q99" s="406">
        <f t="shared" si="80"/>
        <v>0.35100393570497201</v>
      </c>
      <c r="R99" s="9">
        <f t="shared" si="87"/>
        <v>0.4124035762963702</v>
      </c>
      <c r="S99" s="9">
        <f t="shared" si="81"/>
        <v>1.7007670974203605E-4</v>
      </c>
      <c r="T99" s="9">
        <f t="shared" si="88"/>
        <v>1.7007670974203605E-4</v>
      </c>
      <c r="U99" s="406">
        <f t="shared" si="60"/>
        <v>1.2677093614847916</v>
      </c>
      <c r="V99" s="408">
        <f t="shared" si="82"/>
        <v>1.6070870251961781E-3</v>
      </c>
      <c r="W99" s="406">
        <f t="shared" si="89"/>
        <v>1.6070870251961781E-3</v>
      </c>
      <c r="X99" s="406">
        <f t="shared" si="61"/>
        <v>1.2677093614847916</v>
      </c>
      <c r="Y99" s="406">
        <f t="shared" si="83"/>
        <v>9.6425221511770697E-3</v>
      </c>
      <c r="Z99" s="406">
        <f t="shared" si="62"/>
        <v>0.20077980553391256</v>
      </c>
      <c r="AA99" s="406">
        <f t="shared" si="63"/>
        <v>0.14400000000000002</v>
      </c>
      <c r="AB99" s="406">
        <f t="shared" si="64"/>
        <v>0</v>
      </c>
      <c r="AC99" s="406">
        <f t="shared" si="65"/>
        <v>0.35510715340363685</v>
      </c>
      <c r="AD99" s="406">
        <f t="shared" si="66"/>
        <v>2.4192952867613862</v>
      </c>
      <c r="AE99" s="406">
        <f t="shared" si="84"/>
        <v>3.5117938107275141E-2</v>
      </c>
      <c r="AF99" s="406">
        <f t="shared" si="67"/>
        <v>3.8880000000000005E-2</v>
      </c>
      <c r="AG99" s="406">
        <f t="shared" si="68"/>
        <v>7.4416072350956333E-2</v>
      </c>
      <c r="AH99" s="406">
        <f t="shared" si="69"/>
        <v>0</v>
      </c>
      <c r="AI99">
        <f t="shared" si="70"/>
        <v>0</v>
      </c>
      <c r="AJ99" s="407">
        <f t="shared" si="71"/>
        <v>0.35975699999999999</v>
      </c>
      <c r="AK99">
        <f t="shared" si="85"/>
        <v>4.8000000000000001E-2</v>
      </c>
      <c r="AL99" s="407">
        <f t="shared" si="72"/>
        <v>0.1215</v>
      </c>
      <c r="AM99" s="407">
        <f t="shared" si="86"/>
        <v>0.31645971316818772</v>
      </c>
      <c r="AN99" s="407">
        <f t="shared" si="90"/>
        <v>0.16949999999999998</v>
      </c>
      <c r="AO99" s="407">
        <f t="shared" si="73"/>
        <v>1.3115613251945035</v>
      </c>
      <c r="AP99">
        <f t="shared" si="74"/>
        <v>13.77</v>
      </c>
      <c r="AQ99" s="10">
        <f t="shared" si="91"/>
        <v>0.9130354412972167</v>
      </c>
      <c r="AR99" s="63">
        <f t="shared" si="75"/>
        <v>17.755357670181844</v>
      </c>
      <c r="AS99" s="63">
        <f t="shared" si="92"/>
        <v>2.9766428940382532</v>
      </c>
      <c r="AT99" s="10"/>
      <c r="AU99">
        <f t="shared" si="93"/>
        <v>91.303544129721672</v>
      </c>
      <c r="BE99" s="28"/>
      <c r="BF99" s="29"/>
    </row>
    <row r="100" spans="7:58" x14ac:dyDescent="0.25">
      <c r="G100">
        <v>91</v>
      </c>
      <c r="H100">
        <f t="shared" si="55"/>
        <v>2.73</v>
      </c>
      <c r="I100" s="406">
        <f t="shared" si="76"/>
        <v>0.21545749999999997</v>
      </c>
      <c r="J100" s="407">
        <f t="shared" si="56"/>
        <v>1.4288234210526312</v>
      </c>
      <c r="K100" s="407">
        <f t="shared" si="77"/>
        <v>3.4444117105263157</v>
      </c>
      <c r="L100" s="407">
        <f t="shared" si="78"/>
        <v>2.0155882894736843</v>
      </c>
      <c r="M100" s="63">
        <f t="shared" si="57"/>
        <v>0</v>
      </c>
      <c r="N100" s="406">
        <f t="shared" si="58"/>
        <v>2.7609831637864759</v>
      </c>
      <c r="O100" s="406">
        <f t="shared" si="79"/>
        <v>0.15434305895789871</v>
      </c>
      <c r="P100">
        <f t="shared" si="59"/>
        <v>0.2</v>
      </c>
      <c r="Q100" s="406">
        <f t="shared" si="80"/>
        <v>0.35434305895789875</v>
      </c>
      <c r="R100" s="9">
        <f t="shared" si="87"/>
        <v>0.41246579338458933</v>
      </c>
      <c r="S100" s="9">
        <f t="shared" si="81"/>
        <v>1.7012803071237873E-4</v>
      </c>
      <c r="T100" s="9">
        <f t="shared" si="88"/>
        <v>1.7012803071237873E-4</v>
      </c>
      <c r="U100" s="406">
        <f t="shared" si="60"/>
        <v>1.2815765922984126</v>
      </c>
      <c r="V100" s="408">
        <f t="shared" si="82"/>
        <v>1.6424385619272118E-3</v>
      </c>
      <c r="W100" s="406">
        <f t="shared" si="89"/>
        <v>1.6424385619272118E-3</v>
      </c>
      <c r="X100" s="406">
        <f t="shared" si="61"/>
        <v>1.2815765922984126</v>
      </c>
      <c r="Y100" s="406">
        <f t="shared" si="83"/>
        <v>9.8546313715632706E-3</v>
      </c>
      <c r="Z100" s="406">
        <f t="shared" si="62"/>
        <v>0.20302790319743666</v>
      </c>
      <c r="AA100" s="406">
        <f t="shared" si="63"/>
        <v>0.14400000000000002</v>
      </c>
      <c r="AB100" s="406">
        <f t="shared" si="64"/>
        <v>0</v>
      </c>
      <c r="AC100" s="406">
        <f t="shared" si="65"/>
        <v>0.35758731279915668</v>
      </c>
      <c r="AD100" s="406">
        <f t="shared" si="66"/>
        <v>2.4455243750134992</v>
      </c>
      <c r="AE100" s="406">
        <f t="shared" si="84"/>
        <v>3.5883536812710996E-2</v>
      </c>
      <c r="AF100" s="406">
        <f t="shared" si="67"/>
        <v>3.9312E-2</v>
      </c>
      <c r="AG100" s="406">
        <f t="shared" si="68"/>
        <v>7.5629754907810307E-2</v>
      </c>
      <c r="AH100" s="406">
        <f t="shared" si="69"/>
        <v>0</v>
      </c>
      <c r="AI100">
        <f t="shared" si="70"/>
        <v>0</v>
      </c>
      <c r="AJ100" s="407">
        <f t="shared" si="71"/>
        <v>0.35975429999999997</v>
      </c>
      <c r="AK100">
        <f t="shared" si="85"/>
        <v>4.8000000000000001E-2</v>
      </c>
      <c r="AL100" s="407">
        <f t="shared" si="72"/>
        <v>0.1215</v>
      </c>
      <c r="AM100" s="407">
        <f t="shared" si="86"/>
        <v>0.31645971316818772</v>
      </c>
      <c r="AN100" s="407">
        <f t="shared" si="90"/>
        <v>0.16949999999999998</v>
      </c>
      <c r="AO100" s="407">
        <f t="shared" si="73"/>
        <v>1.318626993257505</v>
      </c>
      <c r="AP100">
        <f t="shared" si="74"/>
        <v>13.922999999999998</v>
      </c>
      <c r="AQ100" s="10">
        <f t="shared" si="91"/>
        <v>0.91348515523698148</v>
      </c>
      <c r="AR100" s="63">
        <f t="shared" si="75"/>
        <v>17.879365639957832</v>
      </c>
      <c r="AS100" s="63">
        <f t="shared" si="92"/>
        <v>3.0251901963124124</v>
      </c>
      <c r="AT100" s="10"/>
      <c r="AU100">
        <f t="shared" si="93"/>
        <v>91.348515523698154</v>
      </c>
      <c r="BE100" s="28"/>
      <c r="BF100" s="29"/>
    </row>
    <row r="101" spans="7:58" x14ac:dyDescent="0.25">
      <c r="G101">
        <v>92</v>
      </c>
      <c r="H101">
        <f t="shared" si="55"/>
        <v>2.7600000000000002</v>
      </c>
      <c r="I101" s="406">
        <f t="shared" si="76"/>
        <v>0.21548999999999999</v>
      </c>
      <c r="J101" s="407">
        <f t="shared" si="56"/>
        <v>1.4290389473684209</v>
      </c>
      <c r="K101" s="407">
        <f t="shared" si="77"/>
        <v>3.4745194736842109</v>
      </c>
      <c r="L101" s="407">
        <f t="shared" si="78"/>
        <v>2.0454805263157896</v>
      </c>
      <c r="M101" s="63">
        <f t="shared" si="57"/>
        <v>0</v>
      </c>
      <c r="N101" s="406">
        <f t="shared" si="58"/>
        <v>2.7906593055091218</v>
      </c>
      <c r="O101" s="406">
        <f t="shared" si="79"/>
        <v>0.15772085959635745</v>
      </c>
      <c r="P101">
        <f t="shared" si="59"/>
        <v>0.2</v>
      </c>
      <c r="Q101" s="406">
        <f t="shared" si="80"/>
        <v>0.35772085959635747</v>
      </c>
      <c r="R101" s="9">
        <f t="shared" si="87"/>
        <v>0.41252801047280863</v>
      </c>
      <c r="S101" s="9">
        <f t="shared" si="81"/>
        <v>1.7017935942465371E-4</v>
      </c>
      <c r="T101" s="9">
        <f t="shared" si="88"/>
        <v>1.7017935942465371E-4</v>
      </c>
      <c r="U101" s="406">
        <f t="shared" si="60"/>
        <v>1.2954491785332292</v>
      </c>
      <c r="V101" s="408">
        <f t="shared" si="82"/>
        <v>1.6781885741624183E-3</v>
      </c>
      <c r="W101" s="406">
        <f t="shared" si="89"/>
        <v>1.6781885741624183E-3</v>
      </c>
      <c r="X101" s="406">
        <f t="shared" si="61"/>
        <v>1.2954491785332292</v>
      </c>
      <c r="Y101" s="406">
        <f t="shared" si="83"/>
        <v>1.0069131444974511E-2</v>
      </c>
      <c r="Z101" s="406">
        <f t="shared" si="62"/>
        <v>0.20527600086096073</v>
      </c>
      <c r="AA101" s="406">
        <f t="shared" si="63"/>
        <v>0.14400000000000002</v>
      </c>
      <c r="AB101" s="406">
        <f t="shared" si="64"/>
        <v>0</v>
      </c>
      <c r="AC101" s="406">
        <f t="shared" si="65"/>
        <v>0.36007025124377501</v>
      </c>
      <c r="AD101" s="406">
        <f t="shared" si="66"/>
        <v>2.4717586421943052</v>
      </c>
      <c r="AE101" s="406">
        <f t="shared" si="84"/>
        <v>3.6657544711573412E-2</v>
      </c>
      <c r="AF101" s="406">
        <f t="shared" si="67"/>
        <v>3.9744000000000002E-2</v>
      </c>
      <c r="AG101" s="406">
        <f t="shared" si="68"/>
        <v>7.6852299367614299E-2</v>
      </c>
      <c r="AH101" s="406">
        <f t="shared" si="69"/>
        <v>0</v>
      </c>
      <c r="AI101">
        <f t="shared" si="70"/>
        <v>0</v>
      </c>
      <c r="AJ101" s="407">
        <f t="shared" si="71"/>
        <v>0.3597516</v>
      </c>
      <c r="AK101">
        <f t="shared" si="85"/>
        <v>4.8000000000000001E-2</v>
      </c>
      <c r="AL101" s="407">
        <f t="shared" si="72"/>
        <v>0.1215</v>
      </c>
      <c r="AM101" s="407">
        <f t="shared" si="86"/>
        <v>0.31645971316818772</v>
      </c>
      <c r="AN101" s="407">
        <f t="shared" si="90"/>
        <v>0.16949999999999998</v>
      </c>
      <c r="AO101" s="407">
        <f t="shared" si="73"/>
        <v>1.3257433781413339</v>
      </c>
      <c r="AP101">
        <f t="shared" si="74"/>
        <v>14.076000000000001</v>
      </c>
      <c r="AQ101" s="10">
        <f t="shared" si="91"/>
        <v>0.91392251217333786</v>
      </c>
      <c r="AR101" s="63">
        <f t="shared" si="75"/>
        <v>18.00351256218875</v>
      </c>
      <c r="AS101" s="63">
        <f t="shared" si="92"/>
        <v>3.0740919747045719</v>
      </c>
      <c r="AT101" s="10"/>
      <c r="AU101">
        <f t="shared" si="93"/>
        <v>91.392251217333779</v>
      </c>
      <c r="BE101" s="28"/>
      <c r="BF101" s="29"/>
    </row>
    <row r="102" spans="7:58" x14ac:dyDescent="0.25">
      <c r="G102">
        <v>93</v>
      </c>
      <c r="H102">
        <f t="shared" si="55"/>
        <v>2.79</v>
      </c>
      <c r="I102" s="406">
        <f t="shared" si="76"/>
        <v>0.21552249999999998</v>
      </c>
      <c r="J102" s="407">
        <f t="shared" si="56"/>
        <v>1.4292544736842101</v>
      </c>
      <c r="K102" s="407">
        <f t="shared" si="77"/>
        <v>3.5046272368421052</v>
      </c>
      <c r="L102" s="407">
        <f t="shared" si="78"/>
        <v>2.0753727631578949</v>
      </c>
      <c r="M102" s="63">
        <f t="shared" si="57"/>
        <v>0</v>
      </c>
      <c r="N102" s="406">
        <f t="shared" si="58"/>
        <v>2.8203423011894957</v>
      </c>
      <c r="O102" s="406">
        <f t="shared" si="79"/>
        <v>0.16113739816149728</v>
      </c>
      <c r="P102">
        <f t="shared" si="59"/>
        <v>0.2</v>
      </c>
      <c r="Q102" s="406">
        <f t="shared" si="80"/>
        <v>0.36113739816149726</v>
      </c>
      <c r="R102" s="9">
        <f t="shared" si="87"/>
        <v>0.41259022756102781</v>
      </c>
      <c r="S102" s="9">
        <f t="shared" si="81"/>
        <v>1.7023069587886072E-4</v>
      </c>
      <c r="T102" s="9">
        <f t="shared" si="88"/>
        <v>1.7023069587886072E-4</v>
      </c>
      <c r="U102" s="406">
        <f t="shared" si="60"/>
        <v>1.3093270169833628</v>
      </c>
      <c r="V102" s="408">
        <f t="shared" si="82"/>
        <v>1.7143372374025514E-3</v>
      </c>
      <c r="W102" s="406">
        <f t="shared" si="89"/>
        <v>1.7143372374025514E-3</v>
      </c>
      <c r="X102" s="406">
        <f t="shared" si="61"/>
        <v>1.3093270169833628</v>
      </c>
      <c r="Y102" s="406">
        <f t="shared" si="83"/>
        <v>1.0286023424415308E-2</v>
      </c>
      <c r="Z102" s="406">
        <f t="shared" si="62"/>
        <v>0.20752409852448481</v>
      </c>
      <c r="AA102" s="406">
        <f t="shared" si="63"/>
        <v>0.14400000000000002</v>
      </c>
      <c r="AB102" s="406">
        <f t="shared" si="64"/>
        <v>0</v>
      </c>
      <c r="AC102" s="406">
        <f t="shared" si="65"/>
        <v>0.3625559737967271</v>
      </c>
      <c r="AD102" s="406">
        <f t="shared" si="66"/>
        <v>2.4979978900063764</v>
      </c>
      <c r="AE102" s="406">
        <f t="shared" si="84"/>
        <v>3.7439960750857849E-2</v>
      </c>
      <c r="AF102" s="406">
        <f t="shared" si="67"/>
        <v>4.0175999999999996E-2</v>
      </c>
      <c r="AG102" s="406">
        <f t="shared" si="68"/>
        <v>7.8083712934465463E-2</v>
      </c>
      <c r="AH102" s="406">
        <f t="shared" si="69"/>
        <v>0</v>
      </c>
      <c r="AI102">
        <f t="shared" si="70"/>
        <v>0</v>
      </c>
      <c r="AJ102" s="407">
        <f t="shared" si="71"/>
        <v>0.35974889999999998</v>
      </c>
      <c r="AK102">
        <f t="shared" si="85"/>
        <v>4.8000000000000001E-2</v>
      </c>
      <c r="AL102" s="407">
        <f t="shared" si="72"/>
        <v>0.1215</v>
      </c>
      <c r="AM102" s="407">
        <f t="shared" si="86"/>
        <v>0.31645971316818772</v>
      </c>
      <c r="AN102" s="407">
        <f t="shared" si="90"/>
        <v>0.16949999999999998</v>
      </c>
      <c r="AO102" s="407">
        <f t="shared" si="73"/>
        <v>1.332910552825971</v>
      </c>
      <c r="AP102">
        <f t="shared" si="74"/>
        <v>14.228999999999999</v>
      </c>
      <c r="AQ102" s="10">
        <f t="shared" si="91"/>
        <v>0.91434788496558206</v>
      </c>
      <c r="AR102" s="63">
        <f t="shared" si="75"/>
        <v>18.127798689836354</v>
      </c>
      <c r="AS102" s="63">
        <f t="shared" si="92"/>
        <v>3.1233485173786186</v>
      </c>
      <c r="AT102" s="10"/>
      <c r="AU102">
        <f t="shared" si="93"/>
        <v>91.434788496558213</v>
      </c>
      <c r="BE102" s="28"/>
      <c r="BF102" s="29"/>
    </row>
    <row r="103" spans="7:58" x14ac:dyDescent="0.25">
      <c r="G103">
        <v>94</v>
      </c>
      <c r="H103">
        <f t="shared" si="55"/>
        <v>2.82</v>
      </c>
      <c r="I103" s="406">
        <f t="shared" si="76"/>
        <v>0.21555499999999997</v>
      </c>
      <c r="J103" s="407">
        <f t="shared" si="56"/>
        <v>1.4294699999999996</v>
      </c>
      <c r="K103" s="407">
        <f t="shared" si="77"/>
        <v>3.5347349999999995</v>
      </c>
      <c r="L103" s="407">
        <f t="shared" si="78"/>
        <v>2.1052650000000002</v>
      </c>
      <c r="M103" s="63">
        <f t="shared" si="57"/>
        <v>0</v>
      </c>
      <c r="N103" s="406">
        <f t="shared" si="58"/>
        <v>2.850031936676324</v>
      </c>
      <c r="O103" s="406">
        <f t="shared" si="79"/>
        <v>0.16459273593770479</v>
      </c>
      <c r="P103">
        <f t="shared" si="59"/>
        <v>0.2</v>
      </c>
      <c r="Q103" s="406">
        <f t="shared" si="80"/>
        <v>0.3645927359377048</v>
      </c>
      <c r="R103" s="9">
        <f t="shared" si="87"/>
        <v>0.41265244464924705</v>
      </c>
      <c r="S103" s="9">
        <f t="shared" si="81"/>
        <v>1.7028204007499988E-4</v>
      </c>
      <c r="T103" s="9">
        <f t="shared" si="88"/>
        <v>1.7028204007499988E-4</v>
      </c>
      <c r="U103" s="406">
        <f t="shared" si="60"/>
        <v>1.3232100087092622</v>
      </c>
      <c r="V103" s="408">
        <f t="shared" si="82"/>
        <v>1.7508847271483659E-3</v>
      </c>
      <c r="W103" s="406">
        <f t="shared" si="89"/>
        <v>1.7508847271483659E-3</v>
      </c>
      <c r="X103" s="406">
        <f t="shared" si="61"/>
        <v>1.3232100087092622</v>
      </c>
      <c r="Y103" s="406">
        <f t="shared" si="83"/>
        <v>1.0505308362890195E-2</v>
      </c>
      <c r="Z103" s="406">
        <f t="shared" si="62"/>
        <v>0.20977219618800891</v>
      </c>
      <c r="AA103" s="406">
        <f t="shared" si="63"/>
        <v>0.14400000000000002</v>
      </c>
      <c r="AB103" s="406">
        <f t="shared" si="64"/>
        <v>0</v>
      </c>
      <c r="AC103" s="406">
        <f t="shared" si="65"/>
        <v>0.36504448552822849</v>
      </c>
      <c r="AD103" s="406">
        <f t="shared" si="66"/>
        <v>2.5242419283671351</v>
      </c>
      <c r="AE103" s="406">
        <f t="shared" si="84"/>
        <v>3.82307838775598E-2</v>
      </c>
      <c r="AF103" s="406">
        <f t="shared" si="67"/>
        <v>4.0607999999999998E-2</v>
      </c>
      <c r="AG103" s="406">
        <f t="shared" si="68"/>
        <v>7.9324002887269582E-2</v>
      </c>
      <c r="AH103" s="406">
        <f t="shared" si="69"/>
        <v>0</v>
      </c>
      <c r="AI103">
        <f t="shared" si="70"/>
        <v>0</v>
      </c>
      <c r="AJ103" s="407">
        <f t="shared" si="71"/>
        <v>0.35974620000000002</v>
      </c>
      <c r="AK103">
        <f t="shared" si="85"/>
        <v>4.8000000000000001E-2</v>
      </c>
      <c r="AL103" s="407">
        <f t="shared" si="72"/>
        <v>0.1215</v>
      </c>
      <c r="AM103" s="407">
        <f t="shared" si="86"/>
        <v>0.31645971316818772</v>
      </c>
      <c r="AN103" s="407">
        <f t="shared" si="90"/>
        <v>0.16949999999999998</v>
      </c>
      <c r="AO103" s="407">
        <f t="shared" si="73"/>
        <v>1.3401285911204261</v>
      </c>
      <c r="AP103">
        <f t="shared" si="74"/>
        <v>14.381999999999998</v>
      </c>
      <c r="AQ103" s="10">
        <f t="shared" si="91"/>
        <v>0.9147616314576319</v>
      </c>
      <c r="AR103" s="63">
        <f t="shared" si="75"/>
        <v>18.252224276411425</v>
      </c>
      <c r="AS103" s="63">
        <f t="shared" si="92"/>
        <v>3.1729601154907834</v>
      </c>
      <c r="AT103" s="10"/>
      <c r="AU103">
        <f t="shared" si="93"/>
        <v>91.476163145763195</v>
      </c>
      <c r="BE103" s="28"/>
      <c r="BF103" s="29"/>
    </row>
    <row r="104" spans="7:58" x14ac:dyDescent="0.25">
      <c r="G104">
        <v>95</v>
      </c>
      <c r="H104">
        <f t="shared" si="55"/>
        <v>2.8499999999999996</v>
      </c>
      <c r="I104" s="406">
        <f t="shared" si="76"/>
        <v>0.21558750000000002</v>
      </c>
      <c r="J104" s="407">
        <f t="shared" si="56"/>
        <v>1.4296855263157893</v>
      </c>
      <c r="K104" s="407">
        <f t="shared" si="77"/>
        <v>3.5648427631578943</v>
      </c>
      <c r="L104" s="407">
        <f t="shared" si="78"/>
        <v>2.135157236842105</v>
      </c>
      <c r="M104" s="63">
        <f t="shared" si="57"/>
        <v>0</v>
      </c>
      <c r="N104" s="406">
        <f t="shared" si="58"/>
        <v>2.879728006602893</v>
      </c>
      <c r="O104" s="406">
        <f t="shared" si="79"/>
        <v>0.1680869349553962</v>
      </c>
      <c r="P104">
        <f t="shared" si="59"/>
        <v>0.2</v>
      </c>
      <c r="Q104" s="406">
        <f t="shared" si="80"/>
        <v>0.36808693495539624</v>
      </c>
      <c r="R104" s="9">
        <f t="shared" si="87"/>
        <v>0.4127146617374664</v>
      </c>
      <c r="S104" s="9">
        <f t="shared" si="81"/>
        <v>1.7033339201307133E-4</v>
      </c>
      <c r="T104" s="9">
        <f t="shared" si="88"/>
        <v>1.7033339201307133E-4</v>
      </c>
      <c r="U104" s="406">
        <f t="shared" si="60"/>
        <v>1.3370980588201518</v>
      </c>
      <c r="V104" s="408">
        <f t="shared" si="82"/>
        <v>1.787831218900618E-3</v>
      </c>
      <c r="W104" s="406">
        <f t="shared" si="89"/>
        <v>1.787831218900618E-3</v>
      </c>
      <c r="X104" s="406">
        <f t="shared" si="61"/>
        <v>1.3370980588201518</v>
      </c>
      <c r="Y104" s="406">
        <f t="shared" si="83"/>
        <v>1.0726987313403708E-2</v>
      </c>
      <c r="Z104" s="406">
        <f t="shared" si="62"/>
        <v>0.21202029385153298</v>
      </c>
      <c r="AA104" s="406">
        <f t="shared" si="63"/>
        <v>0.14400000000000002</v>
      </c>
      <c r="AB104" s="406">
        <f t="shared" si="64"/>
        <v>0</v>
      </c>
      <c r="AC104" s="406">
        <f t="shared" si="65"/>
        <v>0.36753579151950699</v>
      </c>
      <c r="AD104" s="406">
        <f t="shared" si="66"/>
        <v>2.550490574989928</v>
      </c>
      <c r="AE104" s="406">
        <f t="shared" si="84"/>
        <v>3.9030013038674718E-2</v>
      </c>
      <c r="AF104" s="406">
        <f t="shared" si="67"/>
        <v>4.1039999999999993E-2</v>
      </c>
      <c r="AG104" s="406">
        <f t="shared" si="68"/>
        <v>8.0573176579871481E-2</v>
      </c>
      <c r="AH104" s="406">
        <f t="shared" si="69"/>
        <v>0</v>
      </c>
      <c r="AI104">
        <f t="shared" si="70"/>
        <v>0</v>
      </c>
      <c r="AJ104" s="407">
        <f t="shared" si="71"/>
        <v>0.35974349999999999</v>
      </c>
      <c r="AK104">
        <f t="shared" si="85"/>
        <v>4.8000000000000001E-2</v>
      </c>
      <c r="AL104" s="407">
        <f t="shared" si="72"/>
        <v>0.1215</v>
      </c>
      <c r="AM104" s="407">
        <f t="shared" si="86"/>
        <v>0.31645971316818772</v>
      </c>
      <c r="AN104" s="407">
        <f t="shared" si="90"/>
        <v>0.16949999999999998</v>
      </c>
      <c r="AO104" s="407">
        <f t="shared" si="73"/>
        <v>1.3473975676656884</v>
      </c>
      <c r="AP104">
        <f t="shared" si="74"/>
        <v>14.534999999999997</v>
      </c>
      <c r="AQ104" s="10">
        <f t="shared" si="91"/>
        <v>0.91516409522396047</v>
      </c>
      <c r="AR104" s="63">
        <f t="shared" si="75"/>
        <v>18.376789575975351</v>
      </c>
      <c r="AS104" s="63">
        <f t="shared" si="92"/>
        <v>3.2229270631948594</v>
      </c>
      <c r="AT104" s="10"/>
      <c r="AU104">
        <f t="shared" si="93"/>
        <v>91.516409522396046</v>
      </c>
      <c r="BE104" s="28"/>
      <c r="BF104" s="29"/>
    </row>
    <row r="105" spans="7:58" x14ac:dyDescent="0.25">
      <c r="G105">
        <v>96</v>
      </c>
      <c r="H105">
        <f t="shared" si="55"/>
        <v>2.88</v>
      </c>
      <c r="I105" s="406">
        <f t="shared" si="76"/>
        <v>0.21562000000000001</v>
      </c>
      <c r="J105" s="407">
        <f t="shared" si="56"/>
        <v>1.4299010526315787</v>
      </c>
      <c r="K105" s="407">
        <f t="shared" si="77"/>
        <v>3.594950526315789</v>
      </c>
      <c r="L105" s="407">
        <f t="shared" si="78"/>
        <v>2.1650494736842107</v>
      </c>
      <c r="M105" s="63">
        <f t="shared" si="57"/>
        <v>0</v>
      </c>
      <c r="N105" s="406">
        <f t="shared" si="58"/>
        <v>2.9094303139434485</v>
      </c>
      <c r="O105" s="406">
        <f t="shared" si="79"/>
        <v>0.17162005799384708</v>
      </c>
      <c r="P105">
        <f t="shared" si="59"/>
        <v>0.2</v>
      </c>
      <c r="Q105" s="406">
        <f t="shared" si="80"/>
        <v>0.37162005799384712</v>
      </c>
      <c r="R105" s="9">
        <f t="shared" si="87"/>
        <v>0.41277687882568564</v>
      </c>
      <c r="S105" s="9">
        <f t="shared" si="81"/>
        <v>1.7038475169307477E-4</v>
      </c>
      <c r="T105" s="9">
        <f t="shared" si="88"/>
        <v>1.7038475169307477E-4</v>
      </c>
      <c r="U105" s="406">
        <f t="shared" si="60"/>
        <v>1.3509910762695883</v>
      </c>
      <c r="V105" s="408">
        <f t="shared" si="82"/>
        <v>1.8251768881600607E-3</v>
      </c>
      <c r="W105" s="406">
        <f t="shared" si="89"/>
        <v>1.8251768881600607E-3</v>
      </c>
      <c r="X105" s="406">
        <f t="shared" si="61"/>
        <v>1.3509910762695883</v>
      </c>
      <c r="Y105" s="406">
        <f t="shared" si="83"/>
        <v>1.0951061328960364E-2</v>
      </c>
      <c r="Z105" s="406">
        <f t="shared" si="62"/>
        <v>0.21426839151505711</v>
      </c>
      <c r="AA105" s="406">
        <f t="shared" si="63"/>
        <v>0.14400000000000002</v>
      </c>
      <c r="AB105" s="406">
        <f t="shared" si="64"/>
        <v>0</v>
      </c>
      <c r="AC105" s="406">
        <f t="shared" ref="AC105:AC109" si="94">(AB105+AA105+Z105+Y105*(1+RdsonTopTc*Ta-RdsonTopTc*25))/(1-Y105*RdsonTopTc*ThetaJaTop)</f>
        <v>0.37002989686283622</v>
      </c>
      <c r="AD105" s="406">
        <f t="shared" si="66"/>
        <v>2.5767436549903473</v>
      </c>
      <c r="AE105" s="406">
        <f t="shared" si="84"/>
        <v>3.9837647181198081E-2</v>
      </c>
      <c r="AF105" s="406">
        <f t="shared" si="67"/>
        <v>4.1471999999999995E-2</v>
      </c>
      <c r="AG105" s="406">
        <f t="shared" ref="AG105:AG109" si="95">(AF105+AE105*(1+RdsonBotTc*Ta-RdsonBotTc*25))/(1-AE105*RdsonBotTc*ThetaJaBot)</f>
        <v>8.1831241441187433E-2</v>
      </c>
      <c r="AH105" s="406">
        <f t="shared" si="69"/>
        <v>0</v>
      </c>
      <c r="AI105">
        <f t="shared" si="70"/>
        <v>0</v>
      </c>
      <c r="AJ105" s="407">
        <f t="shared" si="71"/>
        <v>0.35974079999999997</v>
      </c>
      <c r="AK105">
        <f t="shared" si="85"/>
        <v>4.8000000000000001E-2</v>
      </c>
      <c r="AL105" s="407">
        <f t="shared" si="72"/>
        <v>0.1215</v>
      </c>
      <c r="AM105" s="407">
        <f t="shared" si="86"/>
        <v>0.31645971316818772</v>
      </c>
      <c r="AN105" s="407">
        <f t="shared" si="90"/>
        <v>0.16949999999999998</v>
      </c>
      <c r="AO105" s="407">
        <f t="shared" ref="AO105:AO109" si="96">SUM(Q105,T105,W105,AC105,AJ105,AI105,AG105,AN105, AH105)</f>
        <v>1.354717557937724</v>
      </c>
      <c r="AP105">
        <f t="shared" si="74"/>
        <v>14.687999999999999</v>
      </c>
      <c r="AQ105" s="10">
        <f t="shared" si="91"/>
        <v>0.91555560627149302</v>
      </c>
      <c r="AR105" s="63">
        <f t="shared" si="75"/>
        <v>18.50149484314181</v>
      </c>
      <c r="AS105" s="63">
        <f t="shared" si="92"/>
        <v>3.2732496576474972</v>
      </c>
      <c r="AT105" s="10"/>
      <c r="AU105">
        <f t="shared" si="93"/>
        <v>91.555560627149305</v>
      </c>
      <c r="BE105" s="28"/>
      <c r="BF105" s="29"/>
    </row>
    <row r="106" spans="7:58" x14ac:dyDescent="0.25">
      <c r="G106">
        <v>97</v>
      </c>
      <c r="H106">
        <f t="shared" si="55"/>
        <v>2.91</v>
      </c>
      <c r="I106" s="406">
        <f t="shared" si="76"/>
        <v>0.2156525</v>
      </c>
      <c r="J106" s="407">
        <f t="shared" si="56"/>
        <v>1.4301165789473682</v>
      </c>
      <c r="K106" s="407">
        <f t="shared" si="77"/>
        <v>3.6250582894736842</v>
      </c>
      <c r="L106" s="407">
        <f t="shared" si="78"/>
        <v>2.194941710526316</v>
      </c>
      <c r="M106" s="63">
        <f t="shared" si="57"/>
        <v>0</v>
      </c>
      <c r="N106" s="406">
        <f t="shared" si="58"/>
        <v>2.9391386695960793</v>
      </c>
      <c r="O106" s="406">
        <f t="shared" si="79"/>
        <v>0.17519216858405939</v>
      </c>
      <c r="P106">
        <f t="shared" si="59"/>
        <v>0.2</v>
      </c>
      <c r="Q106" s="406">
        <f t="shared" si="80"/>
        <v>0.3751921685840594</v>
      </c>
      <c r="R106" s="9">
        <f t="shared" si="87"/>
        <v>0.41283909591390489</v>
      </c>
      <c r="S106" s="9">
        <f t="shared" si="81"/>
        <v>1.7043611911501036E-4</v>
      </c>
      <c r="T106" s="9">
        <f t="shared" si="88"/>
        <v>1.7043611911501036E-4</v>
      </c>
      <c r="U106" s="406">
        <f t="shared" si="60"/>
        <v>1.3648889736632244</v>
      </c>
      <c r="V106" s="408">
        <f t="shared" si="82"/>
        <v>1.86292191042745E-3</v>
      </c>
      <c r="W106" s="406">
        <f t="shared" si="89"/>
        <v>1.86292191042745E-3</v>
      </c>
      <c r="X106" s="406">
        <f t="shared" si="61"/>
        <v>1.3648889736632244</v>
      </c>
      <c r="Y106" s="406">
        <f t="shared" si="83"/>
        <v>1.1177531462564699E-2</v>
      </c>
      <c r="Z106" s="406">
        <f t="shared" si="62"/>
        <v>0.21651648917858121</v>
      </c>
      <c r="AA106" s="406">
        <f t="shared" si="63"/>
        <v>0.14400000000000002</v>
      </c>
      <c r="AB106" s="406">
        <f t="shared" si="64"/>
        <v>0</v>
      </c>
      <c r="AC106" s="406">
        <f t="shared" si="94"/>
        <v>0.37252680666156768</v>
      </c>
      <c r="AD106" s="406">
        <f t="shared" si="66"/>
        <v>2.6030010005160507</v>
      </c>
      <c r="AE106" s="406">
        <f t="shared" si="84"/>
        <v>4.0653685252125364E-2</v>
      </c>
      <c r="AF106" s="406">
        <f t="shared" si="67"/>
        <v>4.1904000000000004E-2</v>
      </c>
      <c r="AG106" s="406">
        <f t="shared" si="95"/>
        <v>8.3098204975338819E-2</v>
      </c>
      <c r="AH106" s="406">
        <f t="shared" si="69"/>
        <v>0</v>
      </c>
      <c r="AI106">
        <f t="shared" si="70"/>
        <v>0</v>
      </c>
      <c r="AJ106" s="407">
        <f t="shared" si="71"/>
        <v>0.35973810000000001</v>
      </c>
      <c r="AK106">
        <f t="shared" si="85"/>
        <v>4.8000000000000001E-2</v>
      </c>
      <c r="AL106" s="407">
        <f t="shared" si="72"/>
        <v>0.1215</v>
      </c>
      <c r="AM106" s="407">
        <f t="shared" si="86"/>
        <v>0.31645971316818772</v>
      </c>
      <c r="AN106" s="407">
        <f t="shared" si="90"/>
        <v>0.16949999999999998</v>
      </c>
      <c r="AO106" s="407">
        <f t="shared" si="96"/>
        <v>1.3620886382505084</v>
      </c>
      <c r="AP106">
        <f t="shared" si="74"/>
        <v>14.840999999999999</v>
      </c>
      <c r="AQ106" s="10">
        <f t="shared" si="91"/>
        <v>0.91593648170046826</v>
      </c>
      <c r="AR106" s="63">
        <f t="shared" si="75"/>
        <v>18.626340333078385</v>
      </c>
      <c r="AS106" s="63">
        <f t="shared" si="92"/>
        <v>3.3239281990135527</v>
      </c>
      <c r="AT106" s="10"/>
      <c r="AU106">
        <f t="shared" si="93"/>
        <v>91.593648170046833</v>
      </c>
      <c r="BE106" s="28"/>
      <c r="BF106" s="29"/>
    </row>
    <row r="107" spans="7:58" x14ac:dyDescent="0.25">
      <c r="G107">
        <v>98</v>
      </c>
      <c r="H107">
        <f t="shared" si="55"/>
        <v>2.94</v>
      </c>
      <c r="I107" s="406">
        <f t="shared" si="76"/>
        <v>0.21568499999999999</v>
      </c>
      <c r="J107" s="407">
        <f t="shared" si="56"/>
        <v>1.4303321052631577</v>
      </c>
      <c r="K107" s="407">
        <f t="shared" si="77"/>
        <v>3.6551660526315786</v>
      </c>
      <c r="L107" s="407">
        <f t="shared" si="78"/>
        <v>2.2248339473684213</v>
      </c>
      <c r="M107" s="63">
        <f t="shared" si="57"/>
        <v>0</v>
      </c>
      <c r="N107" s="406">
        <f t="shared" si="58"/>
        <v>2.968852891990251</v>
      </c>
      <c r="O107" s="406">
        <f t="shared" si="79"/>
        <v>0.17880333101166609</v>
      </c>
      <c r="P107">
        <f t="shared" si="59"/>
        <v>0.2</v>
      </c>
      <c r="Q107" s="406">
        <f t="shared" si="80"/>
        <v>0.37880333101166608</v>
      </c>
      <c r="R107" s="9">
        <f t="shared" si="87"/>
        <v>0.41290131300212413</v>
      </c>
      <c r="S107" s="9">
        <f t="shared" si="81"/>
        <v>1.7048749427887809E-4</v>
      </c>
      <c r="T107" s="9">
        <f t="shared" si="88"/>
        <v>1.7048749427887809E-4</v>
      </c>
      <c r="U107" s="406">
        <f t="shared" si="60"/>
        <v>1.3787916670779308</v>
      </c>
      <c r="V107" s="408">
        <f t="shared" si="82"/>
        <v>1.9010664612035396E-3</v>
      </c>
      <c r="W107" s="406">
        <f t="shared" si="89"/>
        <v>1.9010664612035396E-3</v>
      </c>
      <c r="X107" s="406">
        <f t="shared" si="61"/>
        <v>1.3787916670779308</v>
      </c>
      <c r="Y107" s="406">
        <f t="shared" si="83"/>
        <v>1.1406398767221238E-2</v>
      </c>
      <c r="Z107" s="406">
        <f t="shared" si="62"/>
        <v>0.21876458684210531</v>
      </c>
      <c r="AA107" s="406">
        <f t="shared" si="63"/>
        <v>0.14400000000000002</v>
      </c>
      <c r="AB107" s="406">
        <f t="shared" si="64"/>
        <v>0</v>
      </c>
      <c r="AC107" s="406">
        <f t="shared" si="94"/>
        <v>0.37502652603016368</v>
      </c>
      <c r="AD107" s="406">
        <f t="shared" si="66"/>
        <v>2.6292624503984641</v>
      </c>
      <c r="AE107" s="406">
        <f t="shared" si="84"/>
        <v>4.1478126198452016E-2</v>
      </c>
      <c r="AF107" s="406">
        <f t="shared" si="67"/>
        <v>4.2335999999999999E-2</v>
      </c>
      <c r="AG107" s="406">
        <f t="shared" si="95"/>
        <v>8.4374074761787543E-2</v>
      </c>
      <c r="AH107" s="406">
        <f t="shared" si="69"/>
        <v>0</v>
      </c>
      <c r="AI107">
        <f t="shared" si="70"/>
        <v>0</v>
      </c>
      <c r="AJ107" s="407">
        <f t="shared" si="71"/>
        <v>0.35973539999999998</v>
      </c>
      <c r="AK107">
        <f t="shared" si="85"/>
        <v>4.8000000000000001E-2</v>
      </c>
      <c r="AL107" s="407">
        <f t="shared" si="72"/>
        <v>0.1215</v>
      </c>
      <c r="AM107" s="407">
        <f t="shared" si="86"/>
        <v>0.31645971316818772</v>
      </c>
      <c r="AN107" s="407">
        <f t="shared" si="90"/>
        <v>0.16949999999999998</v>
      </c>
      <c r="AO107" s="407">
        <f t="shared" si="96"/>
        <v>1.3695108857590996</v>
      </c>
      <c r="AP107">
        <f t="shared" si="74"/>
        <v>14.993999999999998</v>
      </c>
      <c r="AQ107" s="10">
        <f t="shared" si="91"/>
        <v>0.91630702632703576</v>
      </c>
      <c r="AR107" s="63">
        <f t="shared" si="75"/>
        <v>18.751326301508183</v>
      </c>
      <c r="AS107" s="63">
        <f t="shared" si="92"/>
        <v>3.3749629904715017</v>
      </c>
      <c r="AT107" s="10"/>
      <c r="AU107">
        <f t="shared" si="93"/>
        <v>91.630702632703574</v>
      </c>
      <c r="BE107" s="28"/>
      <c r="BF107" s="29"/>
    </row>
    <row r="108" spans="7:58" x14ac:dyDescent="0.25">
      <c r="G108">
        <v>99</v>
      </c>
      <c r="H108">
        <f t="shared" si="55"/>
        <v>2.9699999999999998</v>
      </c>
      <c r="I108" s="406">
        <f t="shared" si="76"/>
        <v>0.21571750000000001</v>
      </c>
      <c r="J108" s="407">
        <f t="shared" si="56"/>
        <v>1.4305476315789474</v>
      </c>
      <c r="K108" s="407">
        <f t="shared" si="77"/>
        <v>3.6852738157894733</v>
      </c>
      <c r="L108" s="407">
        <f t="shared" si="78"/>
        <v>2.2547261842105262</v>
      </c>
      <c r="M108" s="63">
        <f t="shared" si="57"/>
        <v>0</v>
      </c>
      <c r="N108" s="406">
        <f t="shared" si="58"/>
        <v>2.9985728067173349</v>
      </c>
      <c r="O108" s="406">
        <f t="shared" si="79"/>
        <v>0.182453610319874</v>
      </c>
      <c r="P108">
        <f t="shared" si="59"/>
        <v>0.2</v>
      </c>
      <c r="Q108" s="406">
        <f t="shared" si="80"/>
        <v>0.38245361031987402</v>
      </c>
      <c r="R108" s="9">
        <f t="shared" si="87"/>
        <v>0.41296353009034342</v>
      </c>
      <c r="S108" s="9">
        <f t="shared" si="81"/>
        <v>1.7053887718467798E-4</v>
      </c>
      <c r="T108" s="9">
        <f t="shared" si="88"/>
        <v>1.7053887718467798E-4</v>
      </c>
      <c r="U108" s="406">
        <f t="shared" si="60"/>
        <v>1.392699075891517</v>
      </c>
      <c r="V108" s="408">
        <f t="shared" si="82"/>
        <v>1.9396107159890855E-3</v>
      </c>
      <c r="W108" s="406">
        <f t="shared" si="89"/>
        <v>1.9396107159890855E-3</v>
      </c>
      <c r="X108" s="406">
        <f t="shared" si="61"/>
        <v>1.392699075891517</v>
      </c>
      <c r="Y108" s="406">
        <f t="shared" si="83"/>
        <v>1.1637664295934512E-2</v>
      </c>
      <c r="Z108" s="406">
        <f t="shared" si="62"/>
        <v>0.22101268450562939</v>
      </c>
      <c r="AA108" s="406">
        <f t="shared" si="63"/>
        <v>0.14400000000000002</v>
      </c>
      <c r="AB108" s="406">
        <f t="shared" si="64"/>
        <v>0</v>
      </c>
      <c r="AC108" s="406">
        <f t="shared" si="94"/>
        <v>0.37752906009423115</v>
      </c>
      <c r="AD108" s="406">
        <f t="shared" si="66"/>
        <v>2.6555278498248875</v>
      </c>
      <c r="AE108" s="406">
        <f t="shared" si="84"/>
        <v>4.2310968967173547E-2</v>
      </c>
      <c r="AF108" s="406">
        <f t="shared" si="67"/>
        <v>4.2767999999999994E-2</v>
      </c>
      <c r="AG108" s="406">
        <f t="shared" si="95"/>
        <v>8.5658858455473219E-2</v>
      </c>
      <c r="AH108" s="406">
        <f t="shared" si="69"/>
        <v>0</v>
      </c>
      <c r="AI108">
        <f t="shared" si="70"/>
        <v>0</v>
      </c>
      <c r="AJ108" s="407">
        <f t="shared" si="71"/>
        <v>0.35973269999999996</v>
      </c>
      <c r="AK108">
        <f t="shared" si="85"/>
        <v>4.8000000000000001E-2</v>
      </c>
      <c r="AL108" s="407">
        <f t="shared" si="72"/>
        <v>0.1215</v>
      </c>
      <c r="AM108" s="407">
        <f t="shared" si="86"/>
        <v>0.31645971316818772</v>
      </c>
      <c r="AN108" s="407">
        <f t="shared" si="90"/>
        <v>0.16949999999999998</v>
      </c>
      <c r="AO108" s="407">
        <f t="shared" si="96"/>
        <v>1.376984378462752</v>
      </c>
      <c r="AP108">
        <f t="shared" si="74"/>
        <v>15.146999999999998</v>
      </c>
      <c r="AQ108" s="10">
        <f t="shared" si="91"/>
        <v>0.91666753327015349</v>
      </c>
      <c r="AR108" s="63">
        <f t="shared" si="75"/>
        <v>18.876453004711557</v>
      </c>
      <c r="AS108" s="63">
        <f t="shared" si="92"/>
        <v>3.4263543382189288</v>
      </c>
      <c r="AT108" s="10"/>
      <c r="AU108">
        <f t="shared" si="93"/>
        <v>91.666753327015343</v>
      </c>
      <c r="BE108" s="28"/>
      <c r="BF108" s="29"/>
    </row>
    <row r="109" spans="7:58" x14ac:dyDescent="0.25">
      <c r="G109">
        <v>100</v>
      </c>
      <c r="H109">
        <f t="shared" si="55"/>
        <v>3</v>
      </c>
      <c r="I109" s="406">
        <f t="shared" si="76"/>
        <v>0.21574999999999997</v>
      </c>
      <c r="J109" s="407">
        <f t="shared" si="56"/>
        <v>1.4307631578947366</v>
      </c>
      <c r="K109" s="407">
        <f t="shared" si="77"/>
        <v>3.7153815789473681</v>
      </c>
      <c r="L109" s="407">
        <f t="shared" si="78"/>
        <v>2.2846184210526319</v>
      </c>
      <c r="M109" s="63">
        <f t="shared" si="57"/>
        <v>0</v>
      </c>
      <c r="N109" s="406">
        <f t="shared" si="58"/>
        <v>3.0282982461825667</v>
      </c>
      <c r="O109" s="406">
        <f t="shared" si="79"/>
        <v>0.1861430723124449</v>
      </c>
      <c r="P109">
        <f t="shared" si="59"/>
        <v>0.2</v>
      </c>
      <c r="Q109" s="406">
        <f t="shared" si="80"/>
        <v>0.38614307231244493</v>
      </c>
      <c r="R109" s="9">
        <f t="shared" si="87"/>
        <v>0.41302574717856261</v>
      </c>
      <c r="S109" s="9">
        <f t="shared" si="81"/>
        <v>1.705902678324099E-4</v>
      </c>
      <c r="T109" s="9">
        <f t="shared" si="88"/>
        <v>1.705902678324099E-4</v>
      </c>
      <c r="U109" s="406">
        <f t="shared" si="60"/>
        <v>1.4066111226223266</v>
      </c>
      <c r="V109" s="408">
        <f t="shared" si="82"/>
        <v>1.9785548502848417E-3</v>
      </c>
      <c r="W109" s="406">
        <f t="shared" si="89"/>
        <v>1.9785548502848417E-3</v>
      </c>
      <c r="X109" s="406">
        <f t="shared" si="61"/>
        <v>1.4066111226223266</v>
      </c>
      <c r="Y109" s="406">
        <f t="shared" si="83"/>
        <v>1.1871329101709051E-2</v>
      </c>
      <c r="Z109" s="406">
        <f t="shared" si="62"/>
        <v>0.22326078216915349</v>
      </c>
      <c r="AA109" s="406">
        <f t="shared" si="63"/>
        <v>0.14400000000000002</v>
      </c>
      <c r="AB109" s="406">
        <f t="shared" si="64"/>
        <v>0</v>
      </c>
      <c r="AC109" s="406">
        <f t="shared" si="94"/>
        <v>0.38003441399055399</v>
      </c>
      <c r="AD109" s="406">
        <f t="shared" si="66"/>
        <v>2.6817970500296191</v>
      </c>
      <c r="AE109" s="406">
        <f t="shared" si="84"/>
        <v>4.3152212505285399E-2</v>
      </c>
      <c r="AF109" s="406">
        <f t="shared" si="67"/>
        <v>4.3200000000000002E-2</v>
      </c>
      <c r="AG109" s="406">
        <f t="shared" si="95"/>
        <v>8.6952563786951639E-2</v>
      </c>
      <c r="AH109" s="406">
        <f t="shared" si="69"/>
        <v>0</v>
      </c>
      <c r="AI109">
        <f t="shared" si="70"/>
        <v>0</v>
      </c>
      <c r="AJ109" s="407">
        <f t="shared" si="71"/>
        <v>0.35972999999999999</v>
      </c>
      <c r="AK109">
        <f t="shared" si="85"/>
        <v>4.8000000000000001E-2</v>
      </c>
      <c r="AL109" s="407">
        <f t="shared" si="72"/>
        <v>0.1215</v>
      </c>
      <c r="AM109" s="407">
        <f t="shared" si="86"/>
        <v>0.31645971316818772</v>
      </c>
      <c r="AN109" s="407">
        <f t="shared" si="90"/>
        <v>0.16949999999999998</v>
      </c>
      <c r="AO109" s="407">
        <f t="shared" si="96"/>
        <v>1.3845091952080679</v>
      </c>
      <c r="AP109">
        <f t="shared" si="74"/>
        <v>15.299999999999999</v>
      </c>
      <c r="AQ109" s="10">
        <f t="shared" si="91"/>
        <v>0.91701828450514389</v>
      </c>
      <c r="AR109" s="63">
        <f t="shared" si="75"/>
        <v>19.001720699527699</v>
      </c>
      <c r="AS109" s="63">
        <f t="shared" si="92"/>
        <v>3.4781025514780657</v>
      </c>
      <c r="AT109" s="10"/>
      <c r="AU109">
        <f t="shared" si="93"/>
        <v>91.701828450514384</v>
      </c>
      <c r="BE109" s="28"/>
      <c r="BF109" s="29"/>
    </row>
    <row r="110" spans="7:58" x14ac:dyDescent="0.25">
      <c r="G110">
        <v>101</v>
      </c>
      <c r="H110">
        <f t="shared" si="55"/>
        <v>3.0300000000000002</v>
      </c>
      <c r="I110" s="406">
        <f t="shared" ref="I110:I173" si="97">(Vout+Rdcr*H110+RdsonBot*H110)/(Vin-RdsonTop*H110+RdsonBot*H110)</f>
        <v>0.21578249999999999</v>
      </c>
      <c r="J110" s="407">
        <f t="shared" si="56"/>
        <v>1.4309786842105261</v>
      </c>
      <c r="K110" s="407">
        <f t="shared" si="77"/>
        <v>3.7454893421052633</v>
      </c>
      <c r="L110" s="407">
        <f t="shared" ref="L110:L173" si="98">H110-J110/2</f>
        <v>2.3145106578947372</v>
      </c>
      <c r="M110" s="63">
        <f t="shared" si="57"/>
        <v>0</v>
      </c>
      <c r="N110" s="406">
        <f t="shared" ref="N110:N173" si="99">SQRT(H110^2+(J110^2)/12)</f>
        <v>3.0580290492770135</v>
      </c>
      <c r="O110" s="406">
        <f t="shared" ref="O110:O173" si="100">(N110^2*Rdcr*(1+Ltc*Ta-Ltc*25))/(1-N110^2*Rdcr*Ltc*ThetaCa)</f>
        <v>0.1898717835567143</v>
      </c>
      <c r="P110">
        <f t="shared" si="59"/>
        <v>0.2</v>
      </c>
      <c r="Q110" s="406">
        <f t="shared" si="80"/>
        <v>0.38987178355671431</v>
      </c>
      <c r="R110" s="9">
        <f t="shared" ref="R110:R173" si="101">J110/(2*SQRT(3))</f>
        <v>0.4130879642667819</v>
      </c>
      <c r="S110" s="9">
        <f t="shared" ref="S110:S173" si="102">RCoutEsr*R110^2</f>
        <v>1.7064166622207409E-4</v>
      </c>
      <c r="T110" s="9">
        <f t="shared" ref="T110:T173" si="103">S110</f>
        <v>1.7064166622207409E-4</v>
      </c>
      <c r="U110" s="406">
        <f t="shared" ref="U110:U173" si="104">SQRT(I110)*SQRT(H110^2+(J110^2)/12)</f>
        <v>1.4205277327780563</v>
      </c>
      <c r="V110" s="408">
        <f t="shared" ref="V110:V173" si="105">RCinEsr*U110^2</f>
        <v>2.0178990395915649E-3</v>
      </c>
      <c r="W110" s="406">
        <f t="shared" ref="W110:W173" si="106">V110</f>
        <v>2.0178990395915649E-3</v>
      </c>
      <c r="X110" s="406">
        <f t="shared" ref="X110:X173" si="107">SQRT(I110)*SQRT(H110^2+(J110^2)/12)</f>
        <v>1.4205277327780563</v>
      </c>
      <c r="Y110" s="406">
        <f t="shared" ref="Y110:Y173" si="108">RdsonTop*X110^2</f>
        <v>1.210739423754939E-2</v>
      </c>
      <c r="Z110" s="406">
        <f t="shared" si="62"/>
        <v>0.22550887983267762</v>
      </c>
      <c r="AA110" s="406">
        <f t="shared" si="63"/>
        <v>0.14400000000000002</v>
      </c>
      <c r="AB110" s="406">
        <f t="shared" si="64"/>
        <v>0</v>
      </c>
      <c r="AC110" s="406">
        <f t="shared" ref="AC110:AC173" si="109">(AB110+AA110+Z110+Y110*(1+RdsonTopTc*Ta-RdsonTopTc*25))/(1-Y110*RdsonTopTc*ThetaJaTop)</f>
        <v>0.38254259286712633</v>
      </c>
      <c r="AD110" s="406">
        <f t="shared" ref="AD110:AD173" si="110">SQRT(1-I110)*SQRT(H110^2+(J110^2)/12)</f>
        <v>2.7080699080028401</v>
      </c>
      <c r="AE110" s="406">
        <f t="shared" ref="AE110:AE173" si="111">RdsonBot*AD110^2</f>
        <v>4.4001855759783062E-2</v>
      </c>
      <c r="AF110" s="406">
        <f t="shared" si="67"/>
        <v>4.3632000000000004E-2</v>
      </c>
      <c r="AG110" s="406">
        <f t="shared" ref="AG110:AG173" si="112">(AF110+AE110*(1+RdsonBotTc*Ta-RdsonBotTc*25))/(1-AE110*RdsonBotTc*ThetaJaBot)</f>
        <v>8.8255198562535012E-2</v>
      </c>
      <c r="AH110" s="406">
        <f t="shared" ref="AH110:AH173" si="113">IF(RDSON_sense=1, 0, AD110^2*Rshunt)</f>
        <v>0</v>
      </c>
      <c r="AI110">
        <f t="shared" si="70"/>
        <v>0</v>
      </c>
      <c r="AJ110" s="407">
        <f t="shared" si="71"/>
        <v>0.35972729999999997</v>
      </c>
      <c r="AK110">
        <f t="shared" si="85"/>
        <v>4.8000000000000001E-2</v>
      </c>
      <c r="AL110" s="407">
        <f t="shared" si="72"/>
        <v>0.1215</v>
      </c>
      <c r="AM110" s="407">
        <f t="shared" si="86"/>
        <v>0.31645971316818772</v>
      </c>
      <c r="AN110" s="407">
        <f t="shared" ref="AN110:AN173" si="114">SUM(AK110:AL110)</f>
        <v>0.16949999999999998</v>
      </c>
      <c r="AO110" s="407">
        <f t="shared" ref="AO110:AO173" si="115">SUM(Q110,T110,W110,AC110,AJ110,AI110,AG110,AN110, AH110)</f>
        <v>1.3920854156921891</v>
      </c>
      <c r="AP110">
        <f t="shared" si="74"/>
        <v>15.452999999999999</v>
      </c>
      <c r="AQ110" s="10">
        <f t="shared" ref="AQ110:AQ173" si="116">AP110/(AP110+AO110)</f>
        <v>0.91735955138610459</v>
      </c>
      <c r="AR110" s="63">
        <f t="shared" ref="AR110:AR173" si="117">ThetaJaTop*AC110</f>
        <v>19.127129643356316</v>
      </c>
      <c r="AS110" s="63">
        <f t="shared" ref="AS110:AS173" si="118">AG110*ThetaJaBot</f>
        <v>3.5302079425014004</v>
      </c>
      <c r="AT110" s="10"/>
      <c r="AU110">
        <f t="shared" ref="AU110:AU173" si="119">AQ110*100</f>
        <v>91.735955138610464</v>
      </c>
    </row>
    <row r="111" spans="7:58" x14ac:dyDescent="0.25">
      <c r="G111">
        <v>102</v>
      </c>
      <c r="H111">
        <f t="shared" si="55"/>
        <v>3.06</v>
      </c>
      <c r="I111" s="406">
        <f t="shared" si="97"/>
        <v>0.21581500000000001</v>
      </c>
      <c r="J111" s="407">
        <f t="shared" si="56"/>
        <v>1.4311942105263158</v>
      </c>
      <c r="K111" s="407">
        <f t="shared" si="77"/>
        <v>3.7755971052631581</v>
      </c>
      <c r="L111" s="407">
        <f t="shared" si="98"/>
        <v>2.344402894736842</v>
      </c>
      <c r="M111" s="63">
        <f t="shared" si="57"/>
        <v>0</v>
      </c>
      <c r="N111" s="406">
        <f t="shared" si="99"/>
        <v>3.0877650610682266</v>
      </c>
      <c r="O111" s="406">
        <f t="shared" si="100"/>
        <v>0.19363981138665037</v>
      </c>
      <c r="P111">
        <f t="shared" si="59"/>
        <v>0.2</v>
      </c>
      <c r="Q111" s="406">
        <f t="shared" si="80"/>
        <v>0.39363981138665038</v>
      </c>
      <c r="R111" s="9">
        <f t="shared" si="101"/>
        <v>0.4131501813550012</v>
      </c>
      <c r="S111" s="9">
        <f t="shared" si="102"/>
        <v>1.7069307235367036E-4</v>
      </c>
      <c r="T111" s="9">
        <f t="shared" si="103"/>
        <v>1.7069307235367036E-4</v>
      </c>
      <c r="U111" s="406">
        <f t="shared" si="104"/>
        <v>1.4344488347131825</v>
      </c>
      <c r="V111" s="408">
        <f t="shared" si="105"/>
        <v>2.0576434594100071E-3</v>
      </c>
      <c r="W111" s="406">
        <f t="shared" si="106"/>
        <v>2.0576434594100071E-3</v>
      </c>
      <c r="X111" s="406">
        <f t="shared" si="107"/>
        <v>1.4344488347131825</v>
      </c>
      <c r="Y111" s="406">
        <f t="shared" si="108"/>
        <v>1.2345860756460042E-2</v>
      </c>
      <c r="Z111" s="406">
        <f t="shared" si="62"/>
        <v>0.22775697749620172</v>
      </c>
      <c r="AA111" s="406">
        <f t="shared" si="63"/>
        <v>0.14400000000000002</v>
      </c>
      <c r="AB111" s="406">
        <f t="shared" si="64"/>
        <v>0</v>
      </c>
      <c r="AC111" s="406">
        <f t="shared" si="109"/>
        <v>0.38505360188318644</v>
      </c>
      <c r="AD111" s="406">
        <f t="shared" si="110"/>
        <v>2.7343462862160788</v>
      </c>
      <c r="AE111" s="406">
        <f t="shared" si="111"/>
        <v>4.4859897677661971E-2</v>
      </c>
      <c r="AF111" s="406">
        <f t="shared" si="67"/>
        <v>4.4063999999999999E-2</v>
      </c>
      <c r="AG111" s="406">
        <f t="shared" si="112"/>
        <v>8.9566770664433984E-2</v>
      </c>
      <c r="AH111" s="406">
        <f t="shared" si="113"/>
        <v>0</v>
      </c>
      <c r="AI111">
        <f t="shared" si="70"/>
        <v>0</v>
      </c>
      <c r="AJ111" s="407">
        <f t="shared" si="71"/>
        <v>0.35972459999999995</v>
      </c>
      <c r="AK111">
        <f t="shared" si="85"/>
        <v>4.8000000000000001E-2</v>
      </c>
      <c r="AL111" s="407">
        <f t="shared" si="72"/>
        <v>0.1215</v>
      </c>
      <c r="AM111" s="407">
        <f t="shared" si="86"/>
        <v>0.31645971316818772</v>
      </c>
      <c r="AN111" s="407">
        <f t="shared" si="114"/>
        <v>0.16949999999999998</v>
      </c>
      <c r="AO111" s="407">
        <f t="shared" si="115"/>
        <v>1.3997131204660345</v>
      </c>
      <c r="AP111">
        <f t="shared" si="74"/>
        <v>15.606</v>
      </c>
      <c r="AQ111" s="10">
        <f t="shared" si="116"/>
        <v>0.91769159513919429</v>
      </c>
      <c r="AR111" s="63">
        <f t="shared" si="117"/>
        <v>19.25268009415932</v>
      </c>
      <c r="AS111" s="63">
        <f t="shared" si="118"/>
        <v>3.5826708265773592</v>
      </c>
      <c r="AT111" s="10"/>
      <c r="AU111">
        <f t="shared" si="119"/>
        <v>91.769159513919433</v>
      </c>
    </row>
    <row r="112" spans="7:58" x14ac:dyDescent="0.25">
      <c r="G112">
        <v>103</v>
      </c>
      <c r="H112">
        <f t="shared" si="55"/>
        <v>3.09</v>
      </c>
      <c r="I112" s="406">
        <f t="shared" si="97"/>
        <v>0.21584749999999997</v>
      </c>
      <c r="J112" s="407">
        <f t="shared" si="56"/>
        <v>1.4314097368421048</v>
      </c>
      <c r="K112" s="407">
        <f t="shared" si="77"/>
        <v>3.8057048684210524</v>
      </c>
      <c r="L112" s="407">
        <f t="shared" si="98"/>
        <v>2.3742951315789473</v>
      </c>
      <c r="M112" s="63">
        <f t="shared" si="57"/>
        <v>0</v>
      </c>
      <c r="N112" s="406">
        <f t="shared" si="99"/>
        <v>3.1175061325083546</v>
      </c>
      <c r="O112" s="406">
        <f t="shared" si="100"/>
        <v>0.19744722390595071</v>
      </c>
      <c r="P112">
        <f t="shared" si="59"/>
        <v>0.2</v>
      </c>
      <c r="Q112" s="406">
        <f t="shared" si="80"/>
        <v>0.39744722390595072</v>
      </c>
      <c r="R112" s="9">
        <f t="shared" si="101"/>
        <v>0.41321239844322033</v>
      </c>
      <c r="S112" s="9">
        <f t="shared" si="102"/>
        <v>1.7074448622719868E-4</v>
      </c>
      <c r="T112" s="9">
        <f t="shared" si="103"/>
        <v>1.7074448622719868E-4</v>
      </c>
      <c r="U112" s="406">
        <f t="shared" si="104"/>
        <v>1.4483743594944385</v>
      </c>
      <c r="V112" s="408">
        <f t="shared" si="105"/>
        <v>2.0977882852409252E-3</v>
      </c>
      <c r="W112" s="406">
        <f t="shared" si="106"/>
        <v>2.0977882852409252E-3</v>
      </c>
      <c r="X112" s="406">
        <f t="shared" si="107"/>
        <v>1.4483743594944385</v>
      </c>
      <c r="Y112" s="406">
        <f t="shared" si="108"/>
        <v>1.2586729711445551E-2</v>
      </c>
      <c r="Z112" s="406">
        <f t="shared" si="62"/>
        <v>0.23000507515972576</v>
      </c>
      <c r="AA112" s="406">
        <f t="shared" si="63"/>
        <v>0.14400000000000002</v>
      </c>
      <c r="AB112" s="406">
        <f t="shared" si="64"/>
        <v>0</v>
      </c>
      <c r="AC112" s="406">
        <f t="shared" si="109"/>
        <v>0.38756744620924954</v>
      </c>
      <c r="AD112" s="406">
        <f t="shared" si="110"/>
        <v>2.7606260523631727</v>
      </c>
      <c r="AE112" s="406">
        <f t="shared" si="111"/>
        <v>4.572633720591765E-2</v>
      </c>
      <c r="AF112" s="406">
        <f t="shared" si="67"/>
        <v>4.4495999999999994E-2</v>
      </c>
      <c r="AG112" s="406">
        <f t="shared" si="112"/>
        <v>9.0887288050901141E-2</v>
      </c>
      <c r="AH112" s="406">
        <f t="shared" si="113"/>
        <v>0</v>
      </c>
      <c r="AI112">
        <f t="shared" si="70"/>
        <v>0</v>
      </c>
      <c r="AJ112" s="407">
        <f t="shared" si="71"/>
        <v>0.35972189999999998</v>
      </c>
      <c r="AK112">
        <f t="shared" si="85"/>
        <v>4.8000000000000001E-2</v>
      </c>
      <c r="AL112" s="407">
        <f t="shared" si="72"/>
        <v>0.1215</v>
      </c>
      <c r="AM112" s="407">
        <f t="shared" si="86"/>
        <v>0.31645971316818772</v>
      </c>
      <c r="AN112" s="407">
        <f t="shared" si="114"/>
        <v>0.16949999999999998</v>
      </c>
      <c r="AO112" s="407">
        <f t="shared" si="115"/>
        <v>1.4073923909375694</v>
      </c>
      <c r="AP112">
        <f t="shared" si="74"/>
        <v>15.758999999999999</v>
      </c>
      <c r="AQ112" s="10">
        <f t="shared" si="116"/>
        <v>0.9180146673286721</v>
      </c>
      <c r="AR112" s="63">
        <f t="shared" si="117"/>
        <v>19.378372310462478</v>
      </c>
      <c r="AS112" s="63">
        <f t="shared" si="118"/>
        <v>3.6354915220360455</v>
      </c>
      <c r="AT112" s="10"/>
      <c r="AU112">
        <f t="shared" si="119"/>
        <v>91.801466732867212</v>
      </c>
    </row>
    <row r="113" spans="7:47" x14ac:dyDescent="0.25">
      <c r="G113">
        <v>104</v>
      </c>
      <c r="H113">
        <f t="shared" si="55"/>
        <v>3.12</v>
      </c>
      <c r="I113" s="406">
        <f t="shared" si="97"/>
        <v>0.21587999999999999</v>
      </c>
      <c r="J113" s="407">
        <f t="shared" si="56"/>
        <v>1.4316252631578947</v>
      </c>
      <c r="K113" s="407">
        <f t="shared" si="77"/>
        <v>3.8358126315789476</v>
      </c>
      <c r="L113" s="407">
        <f t="shared" si="98"/>
        <v>2.4041873684210526</v>
      </c>
      <c r="M113" s="63">
        <f t="shared" si="57"/>
        <v>0</v>
      </c>
      <c r="N113" s="406">
        <f t="shared" si="99"/>
        <v>3.1472521201585772</v>
      </c>
      <c r="O113" s="406">
        <f t="shared" si="100"/>
        <v>0.20129408999117884</v>
      </c>
      <c r="P113">
        <f t="shared" si="59"/>
        <v>0.2</v>
      </c>
      <c r="Q113" s="406">
        <f t="shared" si="80"/>
        <v>0.40129408999117888</v>
      </c>
      <c r="R113" s="9">
        <f t="shared" si="101"/>
        <v>0.41327461553143968</v>
      </c>
      <c r="S113" s="9">
        <f t="shared" si="102"/>
        <v>1.7079590784265926E-4</v>
      </c>
      <c r="T113" s="9">
        <f t="shared" si="103"/>
        <v>1.7079590784265926E-4</v>
      </c>
      <c r="U113" s="406">
        <f t="shared" si="104"/>
        <v>1.4623042407738114</v>
      </c>
      <c r="V113" s="408">
        <f t="shared" si="105"/>
        <v>2.1383336925850731E-3</v>
      </c>
      <c r="W113" s="406">
        <f t="shared" si="106"/>
        <v>2.1383336925850731E-3</v>
      </c>
      <c r="X113" s="406">
        <f t="shared" si="107"/>
        <v>1.4623042407738114</v>
      </c>
      <c r="Y113" s="406">
        <f t="shared" si="108"/>
        <v>1.283000215551044E-2</v>
      </c>
      <c r="Z113" s="406">
        <f t="shared" si="62"/>
        <v>0.23225317282324989</v>
      </c>
      <c r="AA113" s="406">
        <f t="shared" si="63"/>
        <v>0.14400000000000002</v>
      </c>
      <c r="AB113" s="406">
        <f t="shared" si="64"/>
        <v>0</v>
      </c>
      <c r="AC113" s="406">
        <f t="shared" si="109"/>
        <v>0.39008413102714207</v>
      </c>
      <c r="AD113" s="406">
        <f t="shared" si="110"/>
        <v>2.7869090791157123</v>
      </c>
      <c r="AE113" s="406">
        <f t="shared" si="111"/>
        <v>4.6601173291545527E-2</v>
      </c>
      <c r="AF113" s="406">
        <f t="shared" si="67"/>
        <v>4.4928000000000003E-2</v>
      </c>
      <c r="AG113" s="406">
        <f t="shared" si="112"/>
        <v>9.2216758756376013E-2</v>
      </c>
      <c r="AH113" s="406">
        <f t="shared" si="113"/>
        <v>0</v>
      </c>
      <c r="AI113">
        <f t="shared" si="70"/>
        <v>0</v>
      </c>
      <c r="AJ113" s="407">
        <f t="shared" si="71"/>
        <v>0.35971920000000002</v>
      </c>
      <c r="AK113">
        <f t="shared" si="85"/>
        <v>4.8000000000000001E-2</v>
      </c>
      <c r="AL113" s="407">
        <f t="shared" si="72"/>
        <v>0.1215</v>
      </c>
      <c r="AM113" s="407">
        <f t="shared" si="86"/>
        <v>0.31645971316818772</v>
      </c>
      <c r="AN113" s="407">
        <f t="shared" si="114"/>
        <v>0.16949999999999998</v>
      </c>
      <c r="AO113" s="407">
        <f t="shared" si="115"/>
        <v>1.4151233093751248</v>
      </c>
      <c r="AP113">
        <f t="shared" si="74"/>
        <v>15.911999999999999</v>
      </c>
      <c r="AQ113" s="10">
        <f t="shared" si="116"/>
        <v>0.91832901029743064</v>
      </c>
      <c r="AR113" s="63">
        <f t="shared" si="117"/>
        <v>19.504206551357104</v>
      </c>
      <c r="AS113" s="63">
        <f t="shared" si="118"/>
        <v>3.6886703502550406</v>
      </c>
      <c r="AT113" s="10"/>
      <c r="AU113">
        <f t="shared" si="119"/>
        <v>91.83290102974307</v>
      </c>
    </row>
    <row r="114" spans="7:47" x14ac:dyDescent="0.25">
      <c r="G114">
        <v>105</v>
      </c>
      <c r="H114">
        <f t="shared" si="55"/>
        <v>3.1500000000000004</v>
      </c>
      <c r="I114" s="406">
        <f t="shared" si="97"/>
        <v>0.21591249999999998</v>
      </c>
      <c r="J114" s="407">
        <f t="shared" si="56"/>
        <v>1.4318407894736838</v>
      </c>
      <c r="K114" s="407">
        <f t="shared" si="77"/>
        <v>3.8659203947368423</v>
      </c>
      <c r="L114" s="407">
        <f t="shared" si="98"/>
        <v>2.4340796052631584</v>
      </c>
      <c r="M114" s="63">
        <f t="shared" si="57"/>
        <v>0</v>
      </c>
      <c r="N114" s="406">
        <f t="shared" si="99"/>
        <v>3.1770028859288204</v>
      </c>
      <c r="O114" s="406">
        <f t="shared" si="100"/>
        <v>0.20518047929494029</v>
      </c>
      <c r="P114">
        <f t="shared" si="59"/>
        <v>0.2</v>
      </c>
      <c r="Q114" s="406">
        <f t="shared" si="80"/>
        <v>0.40518047929494028</v>
      </c>
      <c r="R114" s="9">
        <f t="shared" si="101"/>
        <v>0.41333683261965881</v>
      </c>
      <c r="S114" s="9">
        <f t="shared" si="102"/>
        <v>1.7084733720005186E-4</v>
      </c>
      <c r="T114" s="9">
        <f t="shared" si="103"/>
        <v>1.7084733720005186E-4</v>
      </c>
      <c r="U114" s="406">
        <f t="shared" si="104"/>
        <v>1.4762384146685812</v>
      </c>
      <c r="V114" s="408">
        <f t="shared" si="105"/>
        <v>2.1792798569432062E-3</v>
      </c>
      <c r="W114" s="406">
        <f t="shared" si="106"/>
        <v>2.1792798569432062E-3</v>
      </c>
      <c r="X114" s="406">
        <f t="shared" si="107"/>
        <v>1.4762384146685812</v>
      </c>
      <c r="Y114" s="406">
        <f t="shared" si="108"/>
        <v>1.3075679141659236E-2</v>
      </c>
      <c r="Z114" s="406">
        <f t="shared" si="62"/>
        <v>0.23450127048677397</v>
      </c>
      <c r="AA114" s="406">
        <f t="shared" si="63"/>
        <v>0.14400000000000002</v>
      </c>
      <c r="AB114" s="406">
        <f t="shared" si="64"/>
        <v>0</v>
      </c>
      <c r="AC114" s="406">
        <f t="shared" si="109"/>
        <v>0.39260366153003468</v>
      </c>
      <c r="AD114" s="406">
        <f t="shared" si="110"/>
        <v>2.8131952438920491</v>
      </c>
      <c r="AE114" s="406">
        <f t="shared" si="111"/>
        <v>4.7484404881541077E-2</v>
      </c>
      <c r="AF114" s="406">
        <f t="shared" si="67"/>
        <v>4.5360000000000004E-2</v>
      </c>
      <c r="AG114" s="406">
        <f t="shared" si="112"/>
        <v>9.3555190891631987E-2</v>
      </c>
      <c r="AH114" s="406">
        <f t="shared" si="113"/>
        <v>0</v>
      </c>
      <c r="AI114">
        <f t="shared" si="70"/>
        <v>0</v>
      </c>
      <c r="AJ114" s="407">
        <f t="shared" si="71"/>
        <v>0.35971649999999999</v>
      </c>
      <c r="AK114">
        <f t="shared" si="85"/>
        <v>4.8000000000000001E-2</v>
      </c>
      <c r="AL114" s="407">
        <f t="shared" si="72"/>
        <v>0.1215</v>
      </c>
      <c r="AM114" s="407">
        <f t="shared" si="86"/>
        <v>0.31645971316818772</v>
      </c>
      <c r="AN114" s="407">
        <f t="shared" si="114"/>
        <v>0.16949999999999998</v>
      </c>
      <c r="AO114" s="407">
        <f t="shared" si="115"/>
        <v>1.42290595891075</v>
      </c>
      <c r="AP114">
        <f t="shared" si="74"/>
        <v>16.065000000000001</v>
      </c>
      <c r="AQ114" s="10">
        <f t="shared" si="116"/>
        <v>0.91863485758363628</v>
      </c>
      <c r="AR114" s="63">
        <f t="shared" si="117"/>
        <v>19.630183076501734</v>
      </c>
      <c r="AS114" s="63">
        <f t="shared" si="118"/>
        <v>3.7422076356652796</v>
      </c>
      <c r="AT114" s="10"/>
      <c r="AU114">
        <f t="shared" si="119"/>
        <v>91.863485758363623</v>
      </c>
    </row>
    <row r="115" spans="7:47" x14ac:dyDescent="0.25">
      <c r="G115">
        <v>106</v>
      </c>
      <c r="H115">
        <f t="shared" si="55"/>
        <v>3.18</v>
      </c>
      <c r="I115" s="406">
        <f t="shared" si="97"/>
        <v>0.21594499999999997</v>
      </c>
      <c r="J115" s="407">
        <f t="shared" si="56"/>
        <v>1.4320563157894732</v>
      </c>
      <c r="K115" s="407">
        <f t="shared" si="77"/>
        <v>3.8960281578947367</v>
      </c>
      <c r="L115" s="407">
        <f t="shared" si="98"/>
        <v>2.4639718421052637</v>
      </c>
      <c r="M115" s="63">
        <f t="shared" si="57"/>
        <v>0</v>
      </c>
      <c r="N115" s="406">
        <f t="shared" si="99"/>
        <v>3.2067582968317674</v>
      </c>
      <c r="O115" s="406">
        <f t="shared" si="100"/>
        <v>0.20910646224909829</v>
      </c>
      <c r="P115">
        <f t="shared" si="59"/>
        <v>0.2</v>
      </c>
      <c r="Q115" s="406">
        <f t="shared" si="80"/>
        <v>0.4091064622490983</v>
      </c>
      <c r="R115" s="9">
        <f t="shared" si="101"/>
        <v>0.41339904970787805</v>
      </c>
      <c r="S115" s="9">
        <f t="shared" si="102"/>
        <v>1.7089877429937665E-4</v>
      </c>
      <c r="T115" s="9">
        <f t="shared" si="103"/>
        <v>1.7089877429937665E-4</v>
      </c>
      <c r="U115" s="406">
        <f t="shared" si="104"/>
        <v>1.4901768196479501</v>
      </c>
      <c r="V115" s="408">
        <f t="shared" si="105"/>
        <v>2.2206269538160794E-3</v>
      </c>
      <c r="W115" s="406">
        <f t="shared" si="106"/>
        <v>2.2206269538160794E-3</v>
      </c>
      <c r="X115" s="406">
        <f t="shared" si="107"/>
        <v>1.4901768196479501</v>
      </c>
      <c r="Y115" s="406">
        <f t="shared" si="108"/>
        <v>1.3323761722896475E-2</v>
      </c>
      <c r="Z115" s="406">
        <f t="shared" si="62"/>
        <v>0.23674936815029804</v>
      </c>
      <c r="AA115" s="406">
        <f t="shared" si="63"/>
        <v>0.14400000000000002</v>
      </c>
      <c r="AB115" s="406">
        <f t="shared" si="64"/>
        <v>0</v>
      </c>
      <c r="AC115" s="406">
        <f t="shared" si="109"/>
        <v>0.39512604292247649</v>
      </c>
      <c r="AD115" s="406">
        <f t="shared" si="110"/>
        <v>2.8394844286389915</v>
      </c>
      <c r="AE115" s="406">
        <f t="shared" si="111"/>
        <v>4.8376030922899806E-2</v>
      </c>
      <c r="AF115" s="406">
        <f t="shared" si="67"/>
        <v>4.5791999999999999E-2</v>
      </c>
      <c r="AG115" s="406">
        <f t="shared" si="112"/>
        <v>9.4902592643924741E-2</v>
      </c>
      <c r="AH115" s="406">
        <f t="shared" si="113"/>
        <v>0</v>
      </c>
      <c r="AI115">
        <f t="shared" si="70"/>
        <v>0</v>
      </c>
      <c r="AJ115" s="407">
        <f t="shared" si="71"/>
        <v>0.35971380000000003</v>
      </c>
      <c r="AK115">
        <f t="shared" si="85"/>
        <v>4.8000000000000001E-2</v>
      </c>
      <c r="AL115" s="407">
        <f t="shared" si="72"/>
        <v>0.1215</v>
      </c>
      <c r="AM115" s="407">
        <f t="shared" si="86"/>
        <v>0.31645971316818772</v>
      </c>
      <c r="AN115" s="407">
        <f t="shared" si="114"/>
        <v>0.16949999999999998</v>
      </c>
      <c r="AO115" s="407">
        <f t="shared" si="115"/>
        <v>1.430740423543615</v>
      </c>
      <c r="AP115">
        <f t="shared" si="74"/>
        <v>16.218</v>
      </c>
      <c r="AQ115" s="10">
        <f t="shared" si="116"/>
        <v>0.91893243431497296</v>
      </c>
      <c r="AR115" s="63">
        <f t="shared" si="117"/>
        <v>19.756302146123826</v>
      </c>
      <c r="AS115" s="63">
        <f t="shared" si="118"/>
        <v>3.7961037057569897</v>
      </c>
      <c r="AT115" s="10"/>
      <c r="AU115">
        <f t="shared" si="119"/>
        <v>91.893243431497297</v>
      </c>
    </row>
    <row r="116" spans="7:47" x14ac:dyDescent="0.25">
      <c r="G116">
        <v>107</v>
      </c>
      <c r="H116">
        <f t="shared" si="55"/>
        <v>3.21</v>
      </c>
      <c r="I116" s="406">
        <f t="shared" si="97"/>
        <v>0.21597749999999996</v>
      </c>
      <c r="J116" s="407">
        <f t="shared" si="56"/>
        <v>1.4322718421052627</v>
      </c>
      <c r="K116" s="407">
        <f t="shared" si="77"/>
        <v>3.9261359210526314</v>
      </c>
      <c r="L116" s="407">
        <f t="shared" si="98"/>
        <v>2.4938640789473685</v>
      </c>
      <c r="M116" s="63">
        <f t="shared" si="57"/>
        <v>0</v>
      </c>
      <c r="N116" s="406">
        <f t="shared" si="99"/>
        <v>3.2365182247502693</v>
      </c>
      <c r="O116" s="406">
        <f t="shared" si="100"/>
        <v>0.21307211006803009</v>
      </c>
      <c r="P116">
        <f t="shared" si="59"/>
        <v>0.2</v>
      </c>
      <c r="Q116" s="406">
        <f t="shared" si="80"/>
        <v>0.41307211006803013</v>
      </c>
      <c r="R116" s="9">
        <f t="shared" si="101"/>
        <v>0.41346126679609729</v>
      </c>
      <c r="S116" s="9">
        <f t="shared" si="102"/>
        <v>1.7095021914063354E-4</v>
      </c>
      <c r="T116" s="9">
        <f t="shared" si="103"/>
        <v>1.7095021914063354E-4</v>
      </c>
      <c r="U116" s="406">
        <f t="shared" si="104"/>
        <v>1.5041193964258441</v>
      </c>
      <c r="V116" s="408">
        <f t="shared" si="105"/>
        <v>2.2623751587044455E-3</v>
      </c>
      <c r="W116" s="406">
        <f t="shared" si="106"/>
        <v>2.2623751587044455E-3</v>
      </c>
      <c r="X116" s="406">
        <f t="shared" si="107"/>
        <v>1.5041193964258441</v>
      </c>
      <c r="Y116" s="406">
        <f t="shared" si="108"/>
        <v>1.3574250952226674E-2</v>
      </c>
      <c r="Z116" s="406">
        <f t="shared" si="62"/>
        <v>0.23899746581382214</v>
      </c>
      <c r="AA116" s="406">
        <f t="shared" si="63"/>
        <v>0.14400000000000002</v>
      </c>
      <c r="AB116" s="406">
        <f t="shared" si="64"/>
        <v>0</v>
      </c>
      <c r="AC116" s="406">
        <f t="shared" si="109"/>
        <v>0.39765128042042908</v>
      </c>
      <c r="AD116" s="406">
        <f t="shared" si="110"/>
        <v>2.8657765196253857</v>
      </c>
      <c r="AE116" s="406">
        <f t="shared" si="111"/>
        <v>4.9276050362617133E-2</v>
      </c>
      <c r="AF116" s="406">
        <f t="shared" si="67"/>
        <v>4.6224000000000001E-2</v>
      </c>
      <c r="AG116" s="406">
        <f t="shared" si="112"/>
        <v>9.6258972277142293E-2</v>
      </c>
      <c r="AH116" s="406">
        <f t="shared" si="113"/>
        <v>0</v>
      </c>
      <c r="AI116">
        <f t="shared" si="70"/>
        <v>0</v>
      </c>
      <c r="AJ116" s="407">
        <f t="shared" si="71"/>
        <v>0.35971110000000001</v>
      </c>
      <c r="AK116">
        <f t="shared" si="85"/>
        <v>4.8000000000000001E-2</v>
      </c>
      <c r="AL116" s="407">
        <f t="shared" si="72"/>
        <v>0.1215</v>
      </c>
      <c r="AM116" s="407">
        <f t="shared" si="86"/>
        <v>0.31645971316818772</v>
      </c>
      <c r="AN116" s="407">
        <f t="shared" si="114"/>
        <v>0.16949999999999998</v>
      </c>
      <c r="AO116" s="407">
        <f t="shared" si="115"/>
        <v>1.4386267881434465</v>
      </c>
      <c r="AP116">
        <f t="shared" si="74"/>
        <v>16.370999999999999</v>
      </c>
      <c r="AQ116" s="10">
        <f t="shared" si="116"/>
        <v>0.91922195758188519</v>
      </c>
      <c r="AR116" s="63">
        <f t="shared" si="117"/>
        <v>19.882564021021455</v>
      </c>
      <c r="AS116" s="63">
        <f t="shared" si="118"/>
        <v>3.8503588910856918</v>
      </c>
      <c r="AT116" s="10"/>
      <c r="AU116">
        <f t="shared" si="119"/>
        <v>91.922195758188522</v>
      </c>
    </row>
    <row r="117" spans="7:47" x14ac:dyDescent="0.25">
      <c r="G117">
        <v>108</v>
      </c>
      <c r="H117">
        <f t="shared" si="55"/>
        <v>3.24</v>
      </c>
      <c r="I117" s="406">
        <f t="shared" si="97"/>
        <v>0.21601000000000001</v>
      </c>
      <c r="J117" s="407">
        <f t="shared" si="56"/>
        <v>1.4324873684210524</v>
      </c>
      <c r="K117" s="407">
        <f t="shared" si="77"/>
        <v>3.9562436842105262</v>
      </c>
      <c r="L117" s="407">
        <f t="shared" si="98"/>
        <v>2.5237563157894742</v>
      </c>
      <c r="M117" s="63">
        <f t="shared" si="57"/>
        <v>0</v>
      </c>
      <c r="N117" s="406">
        <f t="shared" si="99"/>
        <v>3.2662825462173086</v>
      </c>
      <c r="O117" s="406">
        <f t="shared" si="100"/>
        <v>0.21707749475192289</v>
      </c>
      <c r="P117">
        <f t="shared" si="59"/>
        <v>0.2</v>
      </c>
      <c r="Q117" s="406">
        <f t="shared" si="80"/>
        <v>0.41707749475192291</v>
      </c>
      <c r="R117" s="9">
        <f t="shared" si="101"/>
        <v>0.41352348388431664</v>
      </c>
      <c r="S117" s="9">
        <f t="shared" si="102"/>
        <v>1.7100167172382269E-4</v>
      </c>
      <c r="T117" s="9">
        <f t="shared" si="103"/>
        <v>1.7100167172382269E-4</v>
      </c>
      <c r="U117" s="406">
        <f t="shared" si="104"/>
        <v>1.5180660878595054</v>
      </c>
      <c r="V117" s="408">
        <f t="shared" si="105"/>
        <v>2.3045246471090635E-3</v>
      </c>
      <c r="W117" s="406">
        <f t="shared" si="106"/>
        <v>2.3045246471090635E-3</v>
      </c>
      <c r="X117" s="406">
        <f t="shared" si="107"/>
        <v>1.5180660878595054</v>
      </c>
      <c r="Y117" s="406">
        <f t="shared" si="108"/>
        <v>1.3827147882654382E-2</v>
      </c>
      <c r="Z117" s="406">
        <f t="shared" si="62"/>
        <v>0.24124556347734624</v>
      </c>
      <c r="AA117" s="406">
        <f t="shared" si="63"/>
        <v>0.14400000000000002</v>
      </c>
      <c r="AB117" s="406">
        <f t="shared" si="64"/>
        <v>0</v>
      </c>
      <c r="AC117" s="406">
        <f t="shared" si="109"/>
        <v>0.40017937925129998</v>
      </c>
      <c r="AD117" s="406">
        <f t="shared" si="110"/>
        <v>2.8920714072468479</v>
      </c>
      <c r="AE117" s="406">
        <f t="shared" si="111"/>
        <v>5.0184462147688583E-2</v>
      </c>
      <c r="AF117" s="406">
        <f t="shared" si="67"/>
        <v>4.6656000000000003E-2</v>
      </c>
      <c r="AG117" s="406">
        <f t="shared" si="112"/>
        <v>9.7624338131956798E-2</v>
      </c>
      <c r="AH117" s="406">
        <f t="shared" si="113"/>
        <v>0</v>
      </c>
      <c r="AI117">
        <f t="shared" si="70"/>
        <v>0</v>
      </c>
      <c r="AJ117" s="407">
        <f t="shared" si="71"/>
        <v>0.35970839999999998</v>
      </c>
      <c r="AK117">
        <f t="shared" si="85"/>
        <v>4.8000000000000001E-2</v>
      </c>
      <c r="AL117" s="407">
        <f t="shared" si="72"/>
        <v>0.1215</v>
      </c>
      <c r="AM117" s="407">
        <f t="shared" si="86"/>
        <v>0.31645971316818772</v>
      </c>
      <c r="AN117" s="407">
        <f t="shared" si="114"/>
        <v>0.16949999999999998</v>
      </c>
      <c r="AO117" s="407">
        <f t="shared" si="115"/>
        <v>1.4465651384540126</v>
      </c>
      <c r="AP117">
        <f t="shared" si="74"/>
        <v>16.524000000000001</v>
      </c>
      <c r="AQ117" s="10">
        <f t="shared" si="116"/>
        <v>0.91950363679110991</v>
      </c>
      <c r="AR117" s="63">
        <f t="shared" si="117"/>
        <v>20.008968962565</v>
      </c>
      <c r="AS117" s="63">
        <f t="shared" si="118"/>
        <v>3.904973525278272</v>
      </c>
      <c r="AT117" s="10"/>
      <c r="AU117">
        <f t="shared" si="119"/>
        <v>91.950363679110993</v>
      </c>
    </row>
    <row r="118" spans="7:47" x14ac:dyDescent="0.25">
      <c r="G118">
        <v>109</v>
      </c>
      <c r="H118">
        <f t="shared" si="55"/>
        <v>3.2700000000000005</v>
      </c>
      <c r="I118" s="406">
        <f t="shared" si="97"/>
        <v>0.2160425</v>
      </c>
      <c r="J118" s="407">
        <f t="shared" si="56"/>
        <v>1.4327028947368419</v>
      </c>
      <c r="K118" s="407">
        <f t="shared" si="77"/>
        <v>3.9863514473684214</v>
      </c>
      <c r="L118" s="407">
        <f t="shared" si="98"/>
        <v>2.5536485526315795</v>
      </c>
      <c r="M118" s="63">
        <f t="shared" si="57"/>
        <v>0</v>
      </c>
      <c r="N118" s="406">
        <f t="shared" si="99"/>
        <v>3.2960511422077396</v>
      </c>
      <c r="O118" s="406">
        <f t="shared" si="100"/>
        <v>0.22112268909011107</v>
      </c>
      <c r="P118">
        <f t="shared" si="59"/>
        <v>0.2</v>
      </c>
      <c r="Q118" s="406">
        <f t="shared" si="80"/>
        <v>0.42112268909011108</v>
      </c>
      <c r="R118" s="9">
        <f t="shared" si="101"/>
        <v>0.41358570097253589</v>
      </c>
      <c r="S118" s="9">
        <f t="shared" si="102"/>
        <v>1.7105313204894389E-4</v>
      </c>
      <c r="T118" s="9">
        <f t="shared" si="103"/>
        <v>1.7105313204894389E-4</v>
      </c>
      <c r="U118" s="406">
        <f t="shared" si="104"/>
        <v>1.5320168388535043</v>
      </c>
      <c r="V118" s="408">
        <f t="shared" si="105"/>
        <v>2.3470755945306839E-3</v>
      </c>
      <c r="W118" s="406">
        <f t="shared" si="106"/>
        <v>2.3470755945306839E-3</v>
      </c>
      <c r="X118" s="406">
        <f t="shared" si="107"/>
        <v>1.5320168388535043</v>
      </c>
      <c r="Y118" s="406">
        <f t="shared" si="108"/>
        <v>1.4082453567184105E-2</v>
      </c>
      <c r="Z118" s="406">
        <f t="shared" si="62"/>
        <v>0.24349366114087037</v>
      </c>
      <c r="AA118" s="406">
        <f t="shared" si="63"/>
        <v>0.14400000000000002</v>
      </c>
      <c r="AB118" s="406">
        <f t="shared" si="64"/>
        <v>0</v>
      </c>
      <c r="AC118" s="406">
        <f t="shared" si="109"/>
        <v>0.40271034465397737</v>
      </c>
      <c r="AD118" s="406">
        <f t="shared" si="110"/>
        <v>2.9183689858409374</v>
      </c>
      <c r="AE118" s="406">
        <f t="shared" si="111"/>
        <v>5.110126522510957E-2</v>
      </c>
      <c r="AF118" s="406">
        <f t="shared" si="67"/>
        <v>4.7088000000000005E-2</v>
      </c>
      <c r="AG118" s="406">
        <f t="shared" si="112"/>
        <v>9.8998698625977863E-2</v>
      </c>
      <c r="AH118" s="406">
        <f t="shared" si="113"/>
        <v>0</v>
      </c>
      <c r="AI118">
        <f t="shared" si="70"/>
        <v>0</v>
      </c>
      <c r="AJ118" s="407">
        <f t="shared" si="71"/>
        <v>0.35970570000000002</v>
      </c>
      <c r="AK118">
        <f t="shared" si="85"/>
        <v>4.8000000000000001E-2</v>
      </c>
      <c r="AL118" s="407">
        <f t="shared" si="72"/>
        <v>0.1215</v>
      </c>
      <c r="AM118" s="407">
        <f t="shared" si="86"/>
        <v>0.31645971316818772</v>
      </c>
      <c r="AN118" s="407">
        <f t="shared" si="114"/>
        <v>0.16949999999999998</v>
      </c>
      <c r="AO118" s="407">
        <f t="shared" si="115"/>
        <v>1.4545555610966459</v>
      </c>
      <c r="AP118">
        <f t="shared" si="74"/>
        <v>16.677</v>
      </c>
      <c r="AQ118" s="10">
        <f t="shared" si="116"/>
        <v>0.91977767400070376</v>
      </c>
      <c r="AR118" s="63">
        <f t="shared" si="117"/>
        <v>20.13551723269887</v>
      </c>
      <c r="AS118" s="63">
        <f t="shared" si="118"/>
        <v>3.9599479450391146</v>
      </c>
      <c r="AT118" s="10"/>
      <c r="AU118">
        <f t="shared" si="119"/>
        <v>91.977767400070377</v>
      </c>
    </row>
    <row r="119" spans="7:47" x14ac:dyDescent="0.25">
      <c r="G119">
        <v>110</v>
      </c>
      <c r="H119">
        <f t="shared" si="55"/>
        <v>3.3000000000000003</v>
      </c>
      <c r="I119" s="406">
        <f t="shared" si="97"/>
        <v>0.21607499999999999</v>
      </c>
      <c r="J119" s="407">
        <f t="shared" si="56"/>
        <v>1.4329184210526313</v>
      </c>
      <c r="K119" s="407">
        <f t="shared" si="77"/>
        <v>4.0164592105263157</v>
      </c>
      <c r="L119" s="407">
        <f t="shared" si="98"/>
        <v>2.5835407894736848</v>
      </c>
      <c r="M119" s="63">
        <f t="shared" si="57"/>
        <v>0</v>
      </c>
      <c r="N119" s="406">
        <f t="shared" si="99"/>
        <v>3.3258238979410799</v>
      </c>
      <c r="O119" s="406">
        <f t="shared" si="100"/>
        <v>0.22520776666445444</v>
      </c>
      <c r="P119">
        <f t="shared" si="59"/>
        <v>0.2</v>
      </c>
      <c r="Q119" s="406">
        <f t="shared" si="80"/>
        <v>0.42520776666445448</v>
      </c>
      <c r="R119" s="9">
        <f t="shared" si="101"/>
        <v>0.41364791806075513</v>
      </c>
      <c r="S119" s="9">
        <f t="shared" si="102"/>
        <v>1.7110460011599717E-4</v>
      </c>
      <c r="T119" s="9">
        <f t="shared" si="103"/>
        <v>1.7110460011599717E-4</v>
      </c>
      <c r="U119" s="406">
        <f t="shared" si="104"/>
        <v>1.5459715962688527</v>
      </c>
      <c r="V119" s="408">
        <f t="shared" si="105"/>
        <v>2.3900281764700645E-3</v>
      </c>
      <c r="W119" s="406">
        <f t="shared" si="106"/>
        <v>2.3900281764700645E-3</v>
      </c>
      <c r="X119" s="406">
        <f t="shared" si="107"/>
        <v>1.5459715962688527</v>
      </c>
      <c r="Y119" s="406">
        <f t="shared" si="108"/>
        <v>1.4340169058820386E-2</v>
      </c>
      <c r="Z119" s="406">
        <f t="shared" si="62"/>
        <v>0.24574175880439444</v>
      </c>
      <c r="AA119" s="406">
        <f t="shared" si="63"/>
        <v>0.14400000000000002</v>
      </c>
      <c r="AB119" s="406">
        <f t="shared" si="64"/>
        <v>0</v>
      </c>
      <c r="AC119" s="406">
        <f t="shared" si="109"/>
        <v>0.40524418187886407</v>
      </c>
      <c r="AD119" s="406">
        <f t="shared" si="110"/>
        <v>2.9446691535121454</v>
      </c>
      <c r="AE119" s="406">
        <f t="shared" si="111"/>
        <v>5.2026458541875611E-2</v>
      </c>
      <c r="AF119" s="406">
        <f t="shared" si="67"/>
        <v>4.752E-2</v>
      </c>
      <c r="AG119" s="406">
        <f t="shared" si="112"/>
        <v>0.10038206225390775</v>
      </c>
      <c r="AH119" s="406">
        <f t="shared" si="113"/>
        <v>0</v>
      </c>
      <c r="AI119">
        <f t="shared" si="70"/>
        <v>0</v>
      </c>
      <c r="AJ119" s="407">
        <f t="shared" si="71"/>
        <v>0.35970299999999999</v>
      </c>
      <c r="AK119">
        <f t="shared" si="85"/>
        <v>4.8000000000000001E-2</v>
      </c>
      <c r="AL119" s="407">
        <f t="shared" si="72"/>
        <v>0.1215</v>
      </c>
      <c r="AM119" s="407">
        <f t="shared" si="86"/>
        <v>0.31645971316818772</v>
      </c>
      <c r="AN119" s="407">
        <f t="shared" si="114"/>
        <v>0.16949999999999998</v>
      </c>
      <c r="AO119" s="407">
        <f t="shared" si="115"/>
        <v>1.4625981435738122</v>
      </c>
      <c r="AP119">
        <f t="shared" si="74"/>
        <v>16.830000000000002</v>
      </c>
      <c r="AQ119" s="10">
        <f t="shared" si="116"/>
        <v>0.92004426423768448</v>
      </c>
      <c r="AR119" s="63">
        <f t="shared" si="117"/>
        <v>20.262209093943202</v>
      </c>
      <c r="AS119" s="63">
        <f t="shared" si="118"/>
        <v>4.0152824901563102</v>
      </c>
      <c r="AT119" s="10"/>
      <c r="AU119">
        <f t="shared" si="119"/>
        <v>92.00442642376845</v>
      </c>
    </row>
    <row r="120" spans="7:47" x14ac:dyDescent="0.25">
      <c r="G120">
        <v>111</v>
      </c>
      <c r="H120">
        <f t="shared" si="55"/>
        <v>3.33</v>
      </c>
      <c r="I120" s="406">
        <f t="shared" si="97"/>
        <v>0.21610750000000001</v>
      </c>
      <c r="J120" s="407">
        <f t="shared" si="56"/>
        <v>1.433133947368421</v>
      </c>
      <c r="K120" s="407">
        <f t="shared" si="77"/>
        <v>4.0465669736842109</v>
      </c>
      <c r="L120" s="407">
        <f t="shared" si="98"/>
        <v>2.6134330263157897</v>
      </c>
      <c r="M120" s="63">
        <f t="shared" si="57"/>
        <v>0</v>
      </c>
      <c r="N120" s="406">
        <f t="shared" si="99"/>
        <v>3.355600702694673</v>
      </c>
      <c r="O120" s="406">
        <f t="shared" si="100"/>
        <v>0.22933280185275734</v>
      </c>
      <c r="P120">
        <f t="shared" si="59"/>
        <v>0.2</v>
      </c>
      <c r="Q120" s="406">
        <f t="shared" si="80"/>
        <v>0.42933280185275735</v>
      </c>
      <c r="R120" s="9">
        <f t="shared" si="101"/>
        <v>0.41371013514897442</v>
      </c>
      <c r="S120" s="9">
        <f t="shared" si="102"/>
        <v>1.7115607592498269E-4</v>
      </c>
      <c r="T120" s="9">
        <f t="shared" si="103"/>
        <v>1.7115607592498269E-4</v>
      </c>
      <c r="U120" s="406">
        <f t="shared" si="104"/>
        <v>1.5599303088368912</v>
      </c>
      <c r="V120" s="408">
        <f t="shared" si="105"/>
        <v>2.4333825684279588E-3</v>
      </c>
      <c r="W120" s="406">
        <f t="shared" si="106"/>
        <v>2.4333825684279588E-3</v>
      </c>
      <c r="X120" s="406">
        <f t="shared" si="107"/>
        <v>1.5599303088368912</v>
      </c>
      <c r="Y120" s="406">
        <f t="shared" si="108"/>
        <v>1.4600295410567753E-2</v>
      </c>
      <c r="Z120" s="406">
        <f t="shared" si="62"/>
        <v>0.24798985646791855</v>
      </c>
      <c r="AA120" s="406">
        <f t="shared" si="63"/>
        <v>0.14400000000000002</v>
      </c>
      <c r="AB120" s="406">
        <f t="shared" si="64"/>
        <v>0</v>
      </c>
      <c r="AC120" s="406">
        <f t="shared" si="109"/>
        <v>0.40778089618791225</v>
      </c>
      <c r="AD120" s="406">
        <f t="shared" si="110"/>
        <v>2.9709718119660824</v>
      </c>
      <c r="AE120" s="406">
        <f t="shared" si="111"/>
        <v>5.2960041044982163E-2</v>
      </c>
      <c r="AF120" s="406">
        <f t="shared" si="67"/>
        <v>4.7952000000000002E-2</v>
      </c>
      <c r="AG120" s="406">
        <f t="shared" si="112"/>
        <v>0.10177443758769808</v>
      </c>
      <c r="AH120" s="406">
        <f t="shared" si="113"/>
        <v>0</v>
      </c>
      <c r="AI120">
        <f t="shared" si="70"/>
        <v>0</v>
      </c>
      <c r="AJ120" s="407">
        <f t="shared" si="71"/>
        <v>0.35970029999999997</v>
      </c>
      <c r="AK120">
        <f t="shared" si="85"/>
        <v>4.8000000000000001E-2</v>
      </c>
      <c r="AL120" s="407">
        <f t="shared" si="72"/>
        <v>0.1215</v>
      </c>
      <c r="AM120" s="407">
        <f t="shared" si="86"/>
        <v>0.31645971316818772</v>
      </c>
      <c r="AN120" s="407">
        <f t="shared" si="114"/>
        <v>0.16949999999999998</v>
      </c>
      <c r="AO120" s="407">
        <f t="shared" si="115"/>
        <v>1.4706929742727206</v>
      </c>
      <c r="AP120">
        <f t="shared" si="74"/>
        <v>16.983000000000001</v>
      </c>
      <c r="AQ120" s="10">
        <f t="shared" si="116"/>
        <v>0.92030359579932908</v>
      </c>
      <c r="AR120" s="63">
        <f t="shared" si="117"/>
        <v>20.389044809395614</v>
      </c>
      <c r="AS120" s="63">
        <f t="shared" si="118"/>
        <v>4.0709775035079234</v>
      </c>
      <c r="AT120" s="10"/>
      <c r="AU120">
        <f t="shared" si="119"/>
        <v>92.030359579932906</v>
      </c>
    </row>
    <row r="121" spans="7:47" x14ac:dyDescent="0.25">
      <c r="G121">
        <v>112</v>
      </c>
      <c r="H121">
        <f t="shared" si="55"/>
        <v>3.3600000000000003</v>
      </c>
      <c r="I121" s="406">
        <f t="shared" si="97"/>
        <v>0.21613999999999997</v>
      </c>
      <c r="J121" s="407">
        <f t="shared" si="56"/>
        <v>1.4333494736842103</v>
      </c>
      <c r="K121" s="407">
        <f t="shared" si="77"/>
        <v>4.0766747368421052</v>
      </c>
      <c r="L121" s="407">
        <f t="shared" si="98"/>
        <v>2.6433252631578954</v>
      </c>
      <c r="M121" s="63">
        <f t="shared" si="57"/>
        <v>0</v>
      </c>
      <c r="N121" s="406">
        <f t="shared" si="99"/>
        <v>3.3853814496266006</v>
      </c>
      <c r="O121" s="406">
        <f t="shared" si="100"/>
        <v>0.23349786983222964</v>
      </c>
      <c r="P121">
        <f t="shared" si="59"/>
        <v>0.2</v>
      </c>
      <c r="Q121" s="406">
        <f t="shared" si="80"/>
        <v>0.43349786983222965</v>
      </c>
      <c r="R121" s="9">
        <f t="shared" si="101"/>
        <v>0.41377235223719361</v>
      </c>
      <c r="S121" s="9">
        <f t="shared" si="102"/>
        <v>1.7120755947590022E-4</v>
      </c>
      <c r="T121" s="9">
        <f t="shared" si="103"/>
        <v>1.7120755947590022E-4</v>
      </c>
      <c r="U121" s="406">
        <f t="shared" si="104"/>
        <v>1.5738929270776718</v>
      </c>
      <c r="V121" s="408">
        <f t="shared" si="105"/>
        <v>2.4771389459051214E-3</v>
      </c>
      <c r="W121" s="406">
        <f t="shared" si="106"/>
        <v>2.4771389459051214E-3</v>
      </c>
      <c r="X121" s="406">
        <f t="shared" si="107"/>
        <v>1.5738929270776718</v>
      </c>
      <c r="Y121" s="406">
        <f t="shared" si="108"/>
        <v>1.4862833675430729E-2</v>
      </c>
      <c r="Z121" s="406">
        <f t="shared" si="62"/>
        <v>0.25023795413144267</v>
      </c>
      <c r="AA121" s="406">
        <f t="shared" si="63"/>
        <v>0.14400000000000002</v>
      </c>
      <c r="AB121" s="406">
        <f t="shared" si="64"/>
        <v>0</v>
      </c>
      <c r="AC121" s="406">
        <f t="shared" si="109"/>
        <v>0.41032049285465733</v>
      </c>
      <c r="AD121" s="406">
        <f t="shared" si="110"/>
        <v>2.9972768663523195</v>
      </c>
      <c r="AE121" s="406">
        <f t="shared" si="111"/>
        <v>5.390201168142468E-2</v>
      </c>
      <c r="AF121" s="406">
        <f t="shared" si="67"/>
        <v>4.8384000000000003E-2</v>
      </c>
      <c r="AG121" s="406">
        <f t="shared" si="112"/>
        <v>0.10317583327670818</v>
      </c>
      <c r="AH121" s="406">
        <f t="shared" si="113"/>
        <v>0</v>
      </c>
      <c r="AI121">
        <f t="shared" si="70"/>
        <v>0</v>
      </c>
      <c r="AJ121" s="407">
        <f t="shared" si="71"/>
        <v>0.35969759999999995</v>
      </c>
      <c r="AK121">
        <f t="shared" si="85"/>
        <v>4.8000000000000001E-2</v>
      </c>
      <c r="AL121" s="407">
        <f t="shared" si="72"/>
        <v>0.1215</v>
      </c>
      <c r="AM121" s="407">
        <f t="shared" si="86"/>
        <v>0.31645971316818772</v>
      </c>
      <c r="AN121" s="407">
        <f t="shared" si="114"/>
        <v>0.16949999999999998</v>
      </c>
      <c r="AO121" s="407">
        <f t="shared" si="115"/>
        <v>1.4788401424689761</v>
      </c>
      <c r="AP121">
        <f t="shared" si="74"/>
        <v>17.135999999999999</v>
      </c>
      <c r="AQ121" s="10">
        <f t="shared" si="116"/>
        <v>0.92055585053910494</v>
      </c>
      <c r="AR121" s="63">
        <f t="shared" si="117"/>
        <v>20.516024642732866</v>
      </c>
      <c r="AS121" s="63">
        <f t="shared" si="118"/>
        <v>4.1270333310683274</v>
      </c>
      <c r="AT121" s="10"/>
      <c r="AU121">
        <f t="shared" si="119"/>
        <v>92.055585053910491</v>
      </c>
    </row>
    <row r="122" spans="7:47" x14ac:dyDescent="0.25">
      <c r="G122">
        <v>113</v>
      </c>
      <c r="H122">
        <f t="shared" si="55"/>
        <v>3.3899999999999997</v>
      </c>
      <c r="I122" s="406">
        <f t="shared" si="97"/>
        <v>0.21617249999999999</v>
      </c>
      <c r="J122" s="407">
        <f t="shared" si="56"/>
        <v>1.4335649999999998</v>
      </c>
      <c r="K122" s="407">
        <f t="shared" si="77"/>
        <v>4.1067824999999996</v>
      </c>
      <c r="L122" s="407">
        <f t="shared" si="98"/>
        <v>2.6732174999999998</v>
      </c>
      <c r="M122" s="63">
        <f t="shared" si="57"/>
        <v>0</v>
      </c>
      <c r="N122" s="406">
        <f t="shared" si="99"/>
        <v>3.4151660356077489</v>
      </c>
      <c r="O122" s="406">
        <f t="shared" si="100"/>
        <v>0.23770304658298935</v>
      </c>
      <c r="P122">
        <f t="shared" si="59"/>
        <v>0.2</v>
      </c>
      <c r="Q122" s="406">
        <f t="shared" si="80"/>
        <v>0.43770304658298936</v>
      </c>
      <c r="R122" s="9">
        <f t="shared" si="101"/>
        <v>0.4138345693254129</v>
      </c>
      <c r="S122" s="9">
        <f t="shared" si="102"/>
        <v>1.7125905076874998E-4</v>
      </c>
      <c r="T122" s="9">
        <f t="shared" si="103"/>
        <v>1.7125905076874998E-4</v>
      </c>
      <c r="U122" s="406">
        <f t="shared" si="104"/>
        <v>1.5878594032225608</v>
      </c>
      <c r="V122" s="408">
        <f t="shared" si="105"/>
        <v>2.5212974844023069E-3</v>
      </c>
      <c r="W122" s="406">
        <f t="shared" si="106"/>
        <v>2.5212974844023069E-3</v>
      </c>
      <c r="X122" s="406">
        <f t="shared" si="107"/>
        <v>1.5878594032225608</v>
      </c>
      <c r="Y122" s="406">
        <f t="shared" si="108"/>
        <v>1.5127784906413842E-2</v>
      </c>
      <c r="Z122" s="406">
        <f t="shared" si="62"/>
        <v>0.25248605179496669</v>
      </c>
      <c r="AA122" s="406">
        <f t="shared" si="63"/>
        <v>0.14400000000000002</v>
      </c>
      <c r="AB122" s="406">
        <f t="shared" si="64"/>
        <v>0</v>
      </c>
      <c r="AC122" s="406">
        <f t="shared" si="109"/>
        <v>0.41286297716425308</v>
      </c>
      <c r="AD122" s="406">
        <f t="shared" si="110"/>
        <v>3.023584225115358</v>
      </c>
      <c r="AE122" s="406">
        <f t="shared" si="111"/>
        <v>5.4852369398198639E-2</v>
      </c>
      <c r="AF122" s="406">
        <f t="shared" si="67"/>
        <v>4.8815999999999991E-2</v>
      </c>
      <c r="AG122" s="406">
        <f t="shared" si="112"/>
        <v>0.10458625804786531</v>
      </c>
      <c r="AH122" s="406">
        <f t="shared" si="113"/>
        <v>0</v>
      </c>
      <c r="AI122">
        <f t="shared" si="70"/>
        <v>0</v>
      </c>
      <c r="AJ122" s="407">
        <f t="shared" si="71"/>
        <v>0.35969489999999998</v>
      </c>
      <c r="AK122">
        <f t="shared" si="85"/>
        <v>4.8000000000000001E-2</v>
      </c>
      <c r="AL122" s="407">
        <f t="shared" si="72"/>
        <v>0.1215</v>
      </c>
      <c r="AM122" s="407">
        <f t="shared" si="86"/>
        <v>0.31645971316818772</v>
      </c>
      <c r="AN122" s="407">
        <f t="shared" si="114"/>
        <v>0.16949999999999998</v>
      </c>
      <c r="AO122" s="407">
        <f t="shared" si="115"/>
        <v>1.4870397383302789</v>
      </c>
      <c r="AP122">
        <f t="shared" si="74"/>
        <v>17.288999999999998</v>
      </c>
      <c r="AQ122" s="10">
        <f t="shared" si="116"/>
        <v>0.92080120413813538</v>
      </c>
      <c r="AR122" s="63">
        <f t="shared" si="117"/>
        <v>20.643148858212655</v>
      </c>
      <c r="AS122" s="63">
        <f t="shared" si="118"/>
        <v>4.1834503219146129</v>
      </c>
      <c r="AT122" s="10"/>
      <c r="AU122">
        <f t="shared" si="119"/>
        <v>92.080120413813532</v>
      </c>
    </row>
    <row r="123" spans="7:47" x14ac:dyDescent="0.25">
      <c r="G123">
        <v>114</v>
      </c>
      <c r="H123">
        <f t="shared" si="55"/>
        <v>3.42</v>
      </c>
      <c r="I123" s="406">
        <f t="shared" si="97"/>
        <v>0.21620499999999998</v>
      </c>
      <c r="J123" s="407">
        <f t="shared" si="56"/>
        <v>1.4337805263157892</v>
      </c>
      <c r="K123" s="407">
        <f t="shared" si="77"/>
        <v>4.1368902631578948</v>
      </c>
      <c r="L123" s="407">
        <f t="shared" si="98"/>
        <v>2.7031097368421051</v>
      </c>
      <c r="M123" s="63">
        <f t="shared" si="57"/>
        <v>0</v>
      </c>
      <c r="N123" s="406">
        <f t="shared" si="99"/>
        <v>3.4449543610624991</v>
      </c>
      <c r="O123" s="406">
        <f t="shared" si="100"/>
        <v>0.24194840889160843</v>
      </c>
      <c r="P123">
        <f t="shared" si="59"/>
        <v>0.2</v>
      </c>
      <c r="Q123" s="406">
        <f t="shared" si="80"/>
        <v>0.44194840889160847</v>
      </c>
      <c r="R123" s="9">
        <f t="shared" si="101"/>
        <v>0.41389678641363215</v>
      </c>
      <c r="S123" s="9">
        <f t="shared" si="102"/>
        <v>1.7131054980353184E-4</v>
      </c>
      <c r="T123" s="9">
        <f t="shared" si="103"/>
        <v>1.7131054980353184E-4</v>
      </c>
      <c r="U123" s="406">
        <f t="shared" si="104"/>
        <v>1.601829691140813</v>
      </c>
      <c r="V123" s="408">
        <f t="shared" si="105"/>
        <v>2.565858359420272E-3</v>
      </c>
      <c r="W123" s="406">
        <f t="shared" si="106"/>
        <v>2.565858359420272E-3</v>
      </c>
      <c r="X123" s="406">
        <f t="shared" si="107"/>
        <v>1.601829691140813</v>
      </c>
      <c r="Y123" s="406">
        <f t="shared" si="108"/>
        <v>1.5395150156521634E-2</v>
      </c>
      <c r="Z123" s="406">
        <f t="shared" si="62"/>
        <v>0.25473414945849082</v>
      </c>
      <c r="AA123" s="406">
        <f t="shared" si="63"/>
        <v>0.14400000000000002</v>
      </c>
      <c r="AB123" s="406">
        <f t="shared" si="64"/>
        <v>0</v>
      </c>
      <c r="AC123" s="406">
        <f t="shared" si="109"/>
        <v>0.41540835441350638</v>
      </c>
      <c r="AD123" s="406">
        <f t="shared" si="110"/>
        <v>3.049893799853244</v>
      </c>
      <c r="AE123" s="406">
        <f t="shared" si="111"/>
        <v>5.5811113142299557E-2</v>
      </c>
      <c r="AF123" s="406">
        <f t="shared" si="67"/>
        <v>4.9248E-2</v>
      </c>
      <c r="AG123" s="406">
        <f t="shared" si="112"/>
        <v>0.10600572070582659</v>
      </c>
      <c r="AH123" s="406">
        <f t="shared" si="113"/>
        <v>0</v>
      </c>
      <c r="AI123">
        <f t="shared" si="70"/>
        <v>0</v>
      </c>
      <c r="AJ123" s="407">
        <f t="shared" si="71"/>
        <v>0.35969219999999996</v>
      </c>
      <c r="AK123">
        <f t="shared" si="85"/>
        <v>4.8000000000000001E-2</v>
      </c>
      <c r="AL123" s="407">
        <f t="shared" si="72"/>
        <v>0.1215</v>
      </c>
      <c r="AM123" s="407">
        <f t="shared" si="86"/>
        <v>0.31645971316818772</v>
      </c>
      <c r="AN123" s="407">
        <f t="shared" si="114"/>
        <v>0.16949999999999998</v>
      </c>
      <c r="AO123" s="407">
        <f t="shared" si="115"/>
        <v>1.4952918529201653</v>
      </c>
      <c r="AP123">
        <f t="shared" si="74"/>
        <v>17.442</v>
      </c>
      <c r="AQ123" s="10">
        <f t="shared" si="116"/>
        <v>0.92103982636305048</v>
      </c>
      <c r="AR123" s="63">
        <f t="shared" si="117"/>
        <v>20.770417720675319</v>
      </c>
      <c r="AS123" s="63">
        <f t="shared" si="118"/>
        <v>4.2402288282330636</v>
      </c>
      <c r="AT123" s="10"/>
      <c r="AU123">
        <f t="shared" si="119"/>
        <v>92.103982636305048</v>
      </c>
    </row>
    <row r="124" spans="7:47" x14ac:dyDescent="0.25">
      <c r="G124">
        <v>115</v>
      </c>
      <c r="H124">
        <f t="shared" si="55"/>
        <v>3.4499999999999997</v>
      </c>
      <c r="I124" s="406">
        <f t="shared" si="97"/>
        <v>0.21623749999999997</v>
      </c>
      <c r="J124" s="407">
        <f t="shared" si="56"/>
        <v>1.4339960526315785</v>
      </c>
      <c r="K124" s="407">
        <f t="shared" si="77"/>
        <v>4.1669980263157891</v>
      </c>
      <c r="L124" s="407">
        <f t="shared" si="98"/>
        <v>2.7330019736842104</v>
      </c>
      <c r="M124" s="63">
        <f t="shared" si="57"/>
        <v>0</v>
      </c>
      <c r="N124" s="406">
        <f t="shared" si="99"/>
        <v>3.4747463298175085</v>
      </c>
      <c r="O124" s="406">
        <f t="shared" si="100"/>
        <v>0.24623403435469912</v>
      </c>
      <c r="P124">
        <f t="shared" si="59"/>
        <v>0.2</v>
      </c>
      <c r="Q124" s="406">
        <f t="shared" si="80"/>
        <v>0.44623403435469911</v>
      </c>
      <c r="R124" s="9">
        <f t="shared" si="101"/>
        <v>0.41395900350185133</v>
      </c>
      <c r="S124" s="9">
        <f t="shared" si="102"/>
        <v>1.7136205658024577E-4</v>
      </c>
      <c r="T124" s="9">
        <f t="shared" si="103"/>
        <v>1.7136205658024577E-4</v>
      </c>
      <c r="U124" s="406">
        <f t="shared" si="104"/>
        <v>1.6158037462698775</v>
      </c>
      <c r="V124" s="408">
        <f t="shared" si="105"/>
        <v>2.6108217464597709E-3</v>
      </c>
      <c r="W124" s="406">
        <f t="shared" si="106"/>
        <v>2.6108217464597709E-3</v>
      </c>
      <c r="X124" s="406">
        <f t="shared" si="107"/>
        <v>1.6158037462698775</v>
      </c>
      <c r="Y124" s="406">
        <f t="shared" si="108"/>
        <v>1.5664930478758627E-2</v>
      </c>
      <c r="Z124" s="406">
        <f t="shared" si="62"/>
        <v>0.25698224712201495</v>
      </c>
      <c r="AA124" s="406">
        <f t="shared" si="63"/>
        <v>0.14400000000000002</v>
      </c>
      <c r="AB124" s="406">
        <f t="shared" si="64"/>
        <v>0</v>
      </c>
      <c r="AC124" s="406">
        <f t="shared" si="109"/>
        <v>0.4179566299109117</v>
      </c>
      <c r="AD124" s="406">
        <f t="shared" si="110"/>
        <v>3.0762055051833705</v>
      </c>
      <c r="AE124" s="406">
        <f t="shared" si="111"/>
        <v>5.6778241860722861E-2</v>
      </c>
      <c r="AF124" s="406">
        <f t="shared" si="67"/>
        <v>4.9679999999999995E-2</v>
      </c>
      <c r="AG124" s="406">
        <f t="shared" si="112"/>
        <v>0.10743423013314207</v>
      </c>
      <c r="AH124" s="406">
        <f t="shared" si="113"/>
        <v>0</v>
      </c>
      <c r="AI124">
        <f t="shared" si="70"/>
        <v>0</v>
      </c>
      <c r="AJ124" s="407">
        <f t="shared" si="71"/>
        <v>0.35968949999999994</v>
      </c>
      <c r="AK124">
        <f t="shared" si="85"/>
        <v>4.8000000000000001E-2</v>
      </c>
      <c r="AL124" s="407">
        <f t="shared" si="72"/>
        <v>0.1215</v>
      </c>
      <c r="AM124" s="407">
        <f t="shared" si="86"/>
        <v>0.31645971316818772</v>
      </c>
      <c r="AN124" s="407">
        <f t="shared" si="114"/>
        <v>0.16949999999999998</v>
      </c>
      <c r="AO124" s="407">
        <f t="shared" si="115"/>
        <v>1.5035965782017928</v>
      </c>
      <c r="AP124">
        <f t="shared" si="74"/>
        <v>17.594999999999999</v>
      </c>
      <c r="AQ124" s="10">
        <f t="shared" si="116"/>
        <v>0.92127188131101079</v>
      </c>
      <c r="AR124" s="63">
        <f t="shared" si="117"/>
        <v>20.897831495545585</v>
      </c>
      <c r="AS124" s="63">
        <f t="shared" si="118"/>
        <v>4.2973692053256833</v>
      </c>
      <c r="AT124" s="10"/>
      <c r="AU124">
        <f t="shared" si="119"/>
        <v>92.127188131101079</v>
      </c>
    </row>
    <row r="125" spans="7:47" x14ac:dyDescent="0.25">
      <c r="G125">
        <v>116</v>
      </c>
      <c r="H125">
        <f t="shared" si="55"/>
        <v>3.4799999999999995</v>
      </c>
      <c r="I125" s="406">
        <f t="shared" si="97"/>
        <v>0.21626999999999999</v>
      </c>
      <c r="J125" s="407">
        <f t="shared" si="56"/>
        <v>1.4342115789473684</v>
      </c>
      <c r="K125" s="407">
        <f t="shared" si="77"/>
        <v>4.1971057894736834</v>
      </c>
      <c r="L125" s="407">
        <f t="shared" si="98"/>
        <v>2.7628942105263152</v>
      </c>
      <c r="M125" s="63">
        <f t="shared" si="57"/>
        <v>0</v>
      </c>
      <c r="N125" s="406">
        <f t="shared" si="99"/>
        <v>3.5045418489581328</v>
      </c>
      <c r="O125" s="406">
        <f t="shared" si="100"/>
        <v>0.25056000138254531</v>
      </c>
      <c r="P125">
        <f t="shared" si="59"/>
        <v>0.2</v>
      </c>
      <c r="Q125" s="406">
        <f t="shared" si="80"/>
        <v>0.45056000138254532</v>
      </c>
      <c r="R125" s="9">
        <f t="shared" si="101"/>
        <v>0.41402122059007068</v>
      </c>
      <c r="S125" s="9">
        <f t="shared" si="102"/>
        <v>1.7141357109889198E-4</v>
      </c>
      <c r="T125" s="9">
        <f t="shared" si="103"/>
        <v>1.7141357109889198E-4</v>
      </c>
      <c r="U125" s="406">
        <f t="shared" si="104"/>
        <v>1.6297815255492241</v>
      </c>
      <c r="V125" s="408">
        <f t="shared" si="105"/>
        <v>2.6561878210215563E-3</v>
      </c>
      <c r="W125" s="406">
        <f t="shared" si="106"/>
        <v>2.6561878210215563E-3</v>
      </c>
      <c r="X125" s="406">
        <f t="shared" si="107"/>
        <v>1.6297815255492241</v>
      </c>
      <c r="Y125" s="406">
        <f t="shared" si="108"/>
        <v>1.5937126926129336E-2</v>
      </c>
      <c r="Z125" s="406">
        <f t="shared" si="62"/>
        <v>0.25923034478553897</v>
      </c>
      <c r="AA125" s="406">
        <f t="shared" si="63"/>
        <v>0.14400000000000002</v>
      </c>
      <c r="AB125" s="406">
        <f t="shared" si="64"/>
        <v>0</v>
      </c>
      <c r="AC125" s="406">
        <f t="shared" si="109"/>
        <v>0.42050780897668633</v>
      </c>
      <c r="AD125" s="406">
        <f t="shared" si="110"/>
        <v>3.1025192586150583</v>
      </c>
      <c r="AE125" s="406">
        <f t="shared" si="111"/>
        <v>5.7753754500463987E-2</v>
      </c>
      <c r="AF125" s="406">
        <f t="shared" si="67"/>
        <v>5.011199999999999E-2</v>
      </c>
      <c r="AG125" s="406">
        <f t="shared" si="112"/>
        <v>0.10887179529042042</v>
      </c>
      <c r="AH125" s="406">
        <f t="shared" si="113"/>
        <v>0</v>
      </c>
      <c r="AI125">
        <f t="shared" si="70"/>
        <v>0</v>
      </c>
      <c r="AJ125" s="407">
        <f t="shared" si="71"/>
        <v>0.35968680000000003</v>
      </c>
      <c r="AK125">
        <f t="shared" si="85"/>
        <v>4.8000000000000001E-2</v>
      </c>
      <c r="AL125" s="407">
        <f t="shared" si="72"/>
        <v>0.1215</v>
      </c>
      <c r="AM125" s="407">
        <f t="shared" si="86"/>
        <v>0.31645971316818772</v>
      </c>
      <c r="AN125" s="407">
        <f t="shared" si="114"/>
        <v>0.16949999999999998</v>
      </c>
      <c r="AO125" s="407">
        <f t="shared" si="115"/>
        <v>1.5119540070417725</v>
      </c>
      <c r="AP125">
        <f t="shared" si="74"/>
        <v>17.747999999999998</v>
      </c>
      <c r="AQ125" s="10">
        <f t="shared" si="116"/>
        <v>0.92149752764264259</v>
      </c>
      <c r="AR125" s="63">
        <f t="shared" si="117"/>
        <v>21.025390448834315</v>
      </c>
      <c r="AS125" s="63">
        <f t="shared" si="118"/>
        <v>4.3548718116168166</v>
      </c>
      <c r="AT125" s="10"/>
      <c r="AU125">
        <f t="shared" si="119"/>
        <v>92.149752764264264</v>
      </c>
    </row>
    <row r="126" spans="7:47" x14ac:dyDescent="0.25">
      <c r="G126">
        <v>117</v>
      </c>
      <c r="H126">
        <f t="shared" si="55"/>
        <v>3.51</v>
      </c>
      <c r="I126" s="406">
        <f t="shared" si="97"/>
        <v>0.21630249999999998</v>
      </c>
      <c r="J126" s="407">
        <f t="shared" si="56"/>
        <v>1.4344271052631574</v>
      </c>
      <c r="K126" s="407">
        <f t="shared" si="77"/>
        <v>4.2272135526315786</v>
      </c>
      <c r="L126" s="407">
        <f t="shared" si="98"/>
        <v>2.792786447368421</v>
      </c>
      <c r="M126" s="63">
        <f t="shared" si="57"/>
        <v>0</v>
      </c>
      <c r="N126" s="406">
        <f t="shared" si="99"/>
        <v>3.5343408286920304</v>
      </c>
      <c r="O126" s="406">
        <f t="shared" si="100"/>
        <v>0.25492638920277588</v>
      </c>
      <c r="P126">
        <f t="shared" si="59"/>
        <v>0.2</v>
      </c>
      <c r="Q126" s="406">
        <f t="shared" si="80"/>
        <v>0.45492638920277589</v>
      </c>
      <c r="R126" s="9">
        <f t="shared" si="101"/>
        <v>0.41408343767828981</v>
      </c>
      <c r="S126" s="9">
        <f t="shared" si="102"/>
        <v>1.7146509335947012E-4</v>
      </c>
      <c r="T126" s="9">
        <f t="shared" si="103"/>
        <v>1.7146509335947012E-4</v>
      </c>
      <c r="U126" s="406">
        <f t="shared" si="104"/>
        <v>1.6437629873574797</v>
      </c>
      <c r="V126" s="408">
        <f t="shared" si="105"/>
        <v>2.7019567586063862E-3</v>
      </c>
      <c r="W126" s="406">
        <f t="shared" si="106"/>
        <v>2.7019567586063862E-3</v>
      </c>
      <c r="X126" s="406">
        <f t="shared" si="107"/>
        <v>1.6437629873574797</v>
      </c>
      <c r="Y126" s="406">
        <f t="shared" si="108"/>
        <v>1.6211740551638317E-2</v>
      </c>
      <c r="Z126" s="406">
        <f t="shared" si="62"/>
        <v>0.2614784424490631</v>
      </c>
      <c r="AA126" s="406">
        <f t="shared" si="63"/>
        <v>0.14400000000000002</v>
      </c>
      <c r="AB126" s="406">
        <f t="shared" si="64"/>
        <v>0</v>
      </c>
      <c r="AC126" s="406">
        <f t="shared" si="109"/>
        <v>0.42306189694280555</v>
      </c>
      <c r="AD126" s="406">
        <f t="shared" si="110"/>
        <v>3.1288349804285112</v>
      </c>
      <c r="AE126" s="406">
        <f t="shared" si="111"/>
        <v>5.8737650008518494E-2</v>
      </c>
      <c r="AF126" s="406">
        <f t="shared" si="67"/>
        <v>5.0543999999999999E-2</v>
      </c>
      <c r="AG126" s="406">
        <f t="shared" si="112"/>
        <v>0.11031842521649568</v>
      </c>
      <c r="AH126" s="406">
        <f t="shared" si="113"/>
        <v>0</v>
      </c>
      <c r="AI126">
        <f t="shared" si="70"/>
        <v>0</v>
      </c>
      <c r="AJ126" s="407">
        <f t="shared" si="71"/>
        <v>0.35968410000000001</v>
      </c>
      <c r="AK126">
        <f t="shared" si="85"/>
        <v>4.8000000000000001E-2</v>
      </c>
      <c r="AL126" s="407">
        <f t="shared" si="72"/>
        <v>0.1215</v>
      </c>
      <c r="AM126" s="407">
        <f t="shared" si="86"/>
        <v>0.31645971316818772</v>
      </c>
      <c r="AN126" s="407">
        <f t="shared" si="114"/>
        <v>0.16949999999999998</v>
      </c>
      <c r="AO126" s="407">
        <f t="shared" si="115"/>
        <v>1.520364233214043</v>
      </c>
      <c r="AP126">
        <f t="shared" si="74"/>
        <v>17.900999999999996</v>
      </c>
      <c r="AQ126" s="10">
        <f t="shared" si="116"/>
        <v>0.92171691880357487</v>
      </c>
      <c r="AR126" s="63">
        <f t="shared" si="117"/>
        <v>21.153094847140277</v>
      </c>
      <c r="AS126" s="63">
        <f t="shared" si="118"/>
        <v>4.4127370086598274</v>
      </c>
      <c r="AT126" s="10"/>
      <c r="AU126">
        <f t="shared" si="119"/>
        <v>92.171691880357486</v>
      </c>
    </row>
    <row r="127" spans="7:47" x14ac:dyDescent="0.25">
      <c r="G127">
        <v>118</v>
      </c>
      <c r="H127">
        <f t="shared" si="55"/>
        <v>3.54</v>
      </c>
      <c r="I127" s="406">
        <f t="shared" si="97"/>
        <v>0.21633499999999997</v>
      </c>
      <c r="J127" s="407">
        <f t="shared" si="56"/>
        <v>1.4346426315789469</v>
      </c>
      <c r="K127" s="407">
        <f t="shared" si="77"/>
        <v>4.2573213157894738</v>
      </c>
      <c r="L127" s="407">
        <f t="shared" si="98"/>
        <v>2.8226786842105267</v>
      </c>
      <c r="M127" s="63">
        <f t="shared" si="57"/>
        <v>0</v>
      </c>
      <c r="N127" s="406">
        <f t="shared" si="99"/>
        <v>3.5641431822195333</v>
      </c>
      <c r="O127" s="406">
        <f t="shared" si="100"/>
        <v>0.2593332778640815</v>
      </c>
      <c r="P127">
        <f t="shared" si="59"/>
        <v>0.2</v>
      </c>
      <c r="Q127" s="406">
        <f t="shared" si="80"/>
        <v>0.45933327786408151</v>
      </c>
      <c r="R127" s="9">
        <f t="shared" si="101"/>
        <v>0.41414565476650905</v>
      </c>
      <c r="S127" s="9">
        <f t="shared" si="102"/>
        <v>1.715166233619805E-4</v>
      </c>
      <c r="T127" s="9">
        <f t="shared" si="103"/>
        <v>1.715166233619805E-4</v>
      </c>
      <c r="U127" s="406">
        <f t="shared" si="104"/>
        <v>1.6577480914526832</v>
      </c>
      <c r="V127" s="408">
        <f t="shared" si="105"/>
        <v>2.7481287347150135E-3</v>
      </c>
      <c r="W127" s="406">
        <f t="shared" si="106"/>
        <v>2.7481287347150135E-3</v>
      </c>
      <c r="X127" s="406">
        <f t="shared" si="107"/>
        <v>1.6577480914526832</v>
      </c>
      <c r="Y127" s="406">
        <f t="shared" si="108"/>
        <v>1.6488772408290081E-2</v>
      </c>
      <c r="Z127" s="406">
        <f t="shared" si="62"/>
        <v>0.26372654011258723</v>
      </c>
      <c r="AA127" s="406">
        <f t="shared" si="63"/>
        <v>0.14400000000000002</v>
      </c>
      <c r="AB127" s="406">
        <f t="shared" si="64"/>
        <v>0</v>
      </c>
      <c r="AC127" s="406">
        <f t="shared" si="109"/>
        <v>0.42561889915303758</v>
      </c>
      <c r="AD127" s="406">
        <f t="shared" si="110"/>
        <v>3.155152593559774</v>
      </c>
      <c r="AE127" s="406">
        <f t="shared" si="111"/>
        <v>5.9729927331881809E-2</v>
      </c>
      <c r="AF127" s="406">
        <f t="shared" si="67"/>
        <v>5.0976E-2</v>
      </c>
      <c r="AG127" s="406">
        <f t="shared" si="112"/>
        <v>0.11177412902859581</v>
      </c>
      <c r="AH127" s="406">
        <f t="shared" si="113"/>
        <v>0</v>
      </c>
      <c r="AI127">
        <f t="shared" si="70"/>
        <v>0</v>
      </c>
      <c r="AJ127" s="407">
        <f t="shared" si="71"/>
        <v>0.35968139999999998</v>
      </c>
      <c r="AK127">
        <f t="shared" si="85"/>
        <v>4.8000000000000001E-2</v>
      </c>
      <c r="AL127" s="407">
        <f t="shared" si="72"/>
        <v>0.1215</v>
      </c>
      <c r="AM127" s="407">
        <f t="shared" si="86"/>
        <v>0.31645971316818772</v>
      </c>
      <c r="AN127" s="407">
        <f t="shared" si="114"/>
        <v>0.16949999999999998</v>
      </c>
      <c r="AO127" s="407">
        <f t="shared" si="115"/>
        <v>1.5288273514037918</v>
      </c>
      <c r="AP127">
        <f t="shared" si="74"/>
        <v>18.053999999999998</v>
      </c>
      <c r="AQ127" s="10">
        <f t="shared" si="116"/>
        <v>0.92193020323522401</v>
      </c>
      <c r="AR127" s="63">
        <f t="shared" si="117"/>
        <v>21.280944957651879</v>
      </c>
      <c r="AS127" s="63">
        <f t="shared" si="118"/>
        <v>4.4709651611438321</v>
      </c>
      <c r="AT127" s="10"/>
      <c r="AU127">
        <f t="shared" si="119"/>
        <v>92.193020323522404</v>
      </c>
    </row>
    <row r="128" spans="7:47" x14ac:dyDescent="0.25">
      <c r="G128">
        <v>119</v>
      </c>
      <c r="H128">
        <f t="shared" si="55"/>
        <v>3.57</v>
      </c>
      <c r="I128" s="406">
        <f t="shared" si="97"/>
        <v>0.21636749999999996</v>
      </c>
      <c r="J128" s="407">
        <f t="shared" si="56"/>
        <v>1.4348581578947364</v>
      </c>
      <c r="K128" s="407">
        <f t="shared" si="77"/>
        <v>4.2874290789473681</v>
      </c>
      <c r="L128" s="407">
        <f t="shared" si="98"/>
        <v>2.8525709210526315</v>
      </c>
      <c r="M128" s="63">
        <f t="shared" si="57"/>
        <v>0</v>
      </c>
      <c r="N128" s="406">
        <f t="shared" si="99"/>
        <v>3.5939488256104068</v>
      </c>
      <c r="O128" s="406">
        <f t="shared" si="100"/>
        <v>0.2637807482399756</v>
      </c>
      <c r="P128">
        <f t="shared" si="59"/>
        <v>0.2</v>
      </c>
      <c r="Q128" s="406">
        <f t="shared" si="80"/>
        <v>0.46378074823997562</v>
      </c>
      <c r="R128" s="9">
        <f t="shared" si="101"/>
        <v>0.41420787185472829</v>
      </c>
      <c r="S128" s="9">
        <f t="shared" si="102"/>
        <v>1.71568161106423E-4</v>
      </c>
      <c r="T128" s="9">
        <f t="shared" si="103"/>
        <v>1.71568161106423E-4</v>
      </c>
      <c r="U128" s="406">
        <f t="shared" si="104"/>
        <v>1.6717367989154852</v>
      </c>
      <c r="V128" s="408">
        <f t="shared" si="105"/>
        <v>2.7947039248481932E-3</v>
      </c>
      <c r="W128" s="406">
        <f t="shared" si="106"/>
        <v>2.7947039248481932E-3</v>
      </c>
      <c r="X128" s="406">
        <f t="shared" si="107"/>
        <v>1.6717367989154852</v>
      </c>
      <c r="Y128" s="406">
        <f t="shared" si="108"/>
        <v>1.6768223549089162E-2</v>
      </c>
      <c r="Z128" s="406">
        <f t="shared" si="62"/>
        <v>0.2659746377761113</v>
      </c>
      <c r="AA128" s="406">
        <f t="shared" si="63"/>
        <v>0.14400000000000002</v>
      </c>
      <c r="AB128" s="406">
        <f t="shared" si="64"/>
        <v>0</v>
      </c>
      <c r="AC128" s="406">
        <f t="shared" si="109"/>
        <v>0.42817882096297899</v>
      </c>
      <c r="AD128" s="406">
        <f t="shared" si="110"/>
        <v>3.1814720234913634</v>
      </c>
      <c r="AE128" s="406">
        <f t="shared" si="111"/>
        <v>6.0730585417549381E-2</v>
      </c>
      <c r="AF128" s="406">
        <f t="shared" si="67"/>
        <v>5.1407999999999995E-2</v>
      </c>
      <c r="AG128" s="406">
        <f t="shared" si="112"/>
        <v>0.11323891592251303</v>
      </c>
      <c r="AH128" s="406">
        <f t="shared" si="113"/>
        <v>0</v>
      </c>
      <c r="AI128">
        <f t="shared" si="70"/>
        <v>0</v>
      </c>
      <c r="AJ128" s="407">
        <f t="shared" si="71"/>
        <v>0.35967870000000002</v>
      </c>
      <c r="AK128">
        <f t="shared" si="85"/>
        <v>4.8000000000000001E-2</v>
      </c>
      <c r="AL128" s="407">
        <f t="shared" si="72"/>
        <v>0.1215</v>
      </c>
      <c r="AM128" s="407">
        <f t="shared" si="86"/>
        <v>0.31645971316818772</v>
      </c>
      <c r="AN128" s="407">
        <f t="shared" si="114"/>
        <v>0.16949999999999998</v>
      </c>
      <c r="AO128" s="407">
        <f t="shared" si="115"/>
        <v>1.5373434572114224</v>
      </c>
      <c r="AP128">
        <f t="shared" si="74"/>
        <v>18.206999999999997</v>
      </c>
      <c r="AQ128" s="10">
        <f t="shared" si="116"/>
        <v>0.92213752457542841</v>
      </c>
      <c r="AR128" s="63">
        <f t="shared" si="117"/>
        <v>21.40894104814895</v>
      </c>
      <c r="AS128" s="63">
        <f t="shared" si="118"/>
        <v>4.5295566369005211</v>
      </c>
      <c r="AT128" s="10"/>
      <c r="AU128">
        <f t="shared" si="119"/>
        <v>92.213752457542839</v>
      </c>
    </row>
    <row r="129" spans="7:47" x14ac:dyDescent="0.25">
      <c r="G129">
        <v>120</v>
      </c>
      <c r="H129">
        <f t="shared" si="55"/>
        <v>3.5999999999999996</v>
      </c>
      <c r="I129" s="406">
        <f t="shared" si="97"/>
        <v>0.21640000000000001</v>
      </c>
      <c r="J129" s="407">
        <f t="shared" si="56"/>
        <v>1.4350736842105261</v>
      </c>
      <c r="K129" s="407">
        <f t="shared" si="77"/>
        <v>4.3175368421052625</v>
      </c>
      <c r="L129" s="407">
        <f t="shared" si="98"/>
        <v>2.8824631578947368</v>
      </c>
      <c r="M129" s="63">
        <f t="shared" si="57"/>
        <v>0</v>
      </c>
      <c r="N129" s="406">
        <f t="shared" si="99"/>
        <v>3.6237576776866298</v>
      </c>
      <c r="O129" s="406">
        <f t="shared" si="100"/>
        <v>0.2682688820325998</v>
      </c>
      <c r="P129">
        <f t="shared" si="59"/>
        <v>0.2</v>
      </c>
      <c r="Q129" s="406">
        <f t="shared" si="80"/>
        <v>0.46826888203259981</v>
      </c>
      <c r="R129" s="9">
        <f t="shared" si="101"/>
        <v>0.41427008894294765</v>
      </c>
      <c r="S129" s="9">
        <f t="shared" si="102"/>
        <v>1.7161970659279778E-4</v>
      </c>
      <c r="T129" s="9">
        <f t="shared" si="103"/>
        <v>1.7161970659279778E-4</v>
      </c>
      <c r="U129" s="406">
        <f t="shared" si="104"/>
        <v>1.6857290720951221</v>
      </c>
      <c r="V129" s="408">
        <f t="shared" si="105"/>
        <v>2.8416825045066815E-3</v>
      </c>
      <c r="W129" s="406">
        <f t="shared" si="106"/>
        <v>2.8416825045066815E-3</v>
      </c>
      <c r="X129" s="406">
        <f t="shared" si="107"/>
        <v>1.6857290720951221</v>
      </c>
      <c r="Y129" s="406">
        <f t="shared" si="108"/>
        <v>1.705009502704009E-2</v>
      </c>
      <c r="Z129" s="406">
        <f t="shared" si="62"/>
        <v>0.26822273543963537</v>
      </c>
      <c r="AA129" s="406">
        <f t="shared" si="63"/>
        <v>0.14400000000000002</v>
      </c>
      <c r="AB129" s="406">
        <f t="shared" si="64"/>
        <v>0</v>
      </c>
      <c r="AC129" s="406">
        <f t="shared" si="109"/>
        <v>0.43074166774009032</v>
      </c>
      <c r="AD129" s="406">
        <f t="shared" si="110"/>
        <v>3.2077931981482402</v>
      </c>
      <c r="AE129" s="406">
        <f t="shared" si="111"/>
        <v>6.1739623212516692E-2</v>
      </c>
      <c r="AF129" s="406">
        <f t="shared" si="67"/>
        <v>5.183999999999999E-2</v>
      </c>
      <c r="AG129" s="406">
        <f t="shared" si="112"/>
        <v>0.11471279517277617</v>
      </c>
      <c r="AH129" s="406">
        <f t="shared" si="113"/>
        <v>0</v>
      </c>
      <c r="AI129">
        <f t="shared" si="70"/>
        <v>0</v>
      </c>
      <c r="AJ129" s="407">
        <f t="shared" si="71"/>
        <v>0.359676</v>
      </c>
      <c r="AK129">
        <f t="shared" si="85"/>
        <v>4.8000000000000001E-2</v>
      </c>
      <c r="AL129" s="407">
        <f t="shared" si="72"/>
        <v>0.1215</v>
      </c>
      <c r="AM129" s="407">
        <f t="shared" si="86"/>
        <v>0.31645971316818772</v>
      </c>
      <c r="AN129" s="407">
        <f t="shared" si="114"/>
        <v>0.16949999999999998</v>
      </c>
      <c r="AO129" s="407">
        <f t="shared" si="115"/>
        <v>1.5459126471565656</v>
      </c>
      <c r="AP129">
        <f t="shared" si="74"/>
        <v>18.359999999999996</v>
      </c>
      <c r="AQ129" s="10">
        <f t="shared" si="116"/>
        <v>0.92233902184950112</v>
      </c>
      <c r="AR129" s="63">
        <f t="shared" si="117"/>
        <v>21.537083387004515</v>
      </c>
      <c r="AS129" s="63">
        <f t="shared" si="118"/>
        <v>4.5885118069110469</v>
      </c>
      <c r="AT129" s="10"/>
      <c r="AU129">
        <f t="shared" si="119"/>
        <v>92.233902184950111</v>
      </c>
    </row>
    <row r="130" spans="7:47" x14ac:dyDescent="0.25">
      <c r="G130">
        <v>121</v>
      </c>
      <c r="H130">
        <f t="shared" si="55"/>
        <v>3.63</v>
      </c>
      <c r="I130" s="406">
        <f t="shared" si="97"/>
        <v>0.21643249999999994</v>
      </c>
      <c r="J130" s="407">
        <f t="shared" si="56"/>
        <v>1.4352892105263153</v>
      </c>
      <c r="K130" s="407">
        <f t="shared" si="77"/>
        <v>4.3476446052631577</v>
      </c>
      <c r="L130" s="407">
        <f t="shared" si="98"/>
        <v>2.9123553947368421</v>
      </c>
      <c r="M130" s="63">
        <f t="shared" si="57"/>
        <v>0</v>
      </c>
      <c r="N130" s="406">
        <f t="shared" si="99"/>
        <v>3.6535696599108527</v>
      </c>
      <c r="O130" s="406">
        <f t="shared" si="100"/>
        <v>0.27279776177657294</v>
      </c>
      <c r="P130">
        <f t="shared" si="59"/>
        <v>0.2</v>
      </c>
      <c r="Q130" s="406">
        <f t="shared" si="80"/>
        <v>0.47279776177657296</v>
      </c>
      <c r="R130" s="9">
        <f t="shared" si="101"/>
        <v>0.41433230603116683</v>
      </c>
      <c r="S130" s="9">
        <f t="shared" si="102"/>
        <v>1.7167125982110449E-4</v>
      </c>
      <c r="T130" s="9">
        <f t="shared" si="103"/>
        <v>1.7167125982110449E-4</v>
      </c>
      <c r="U130" s="406">
        <f t="shared" si="104"/>
        <v>1.6997248745580062</v>
      </c>
      <c r="V130" s="408">
        <f t="shared" si="105"/>
        <v>2.8890646491912301E-3</v>
      </c>
      <c r="W130" s="406">
        <f t="shared" si="106"/>
        <v>2.8890646491912301E-3</v>
      </c>
      <c r="X130" s="406">
        <f t="shared" si="107"/>
        <v>1.6997248745580062</v>
      </c>
      <c r="Y130" s="406">
        <f t="shared" si="108"/>
        <v>1.733438789514738E-2</v>
      </c>
      <c r="Z130" s="406">
        <f t="shared" si="62"/>
        <v>0.2704708331031595</v>
      </c>
      <c r="AA130" s="406">
        <f t="shared" si="63"/>
        <v>0.14400000000000002</v>
      </c>
      <c r="AB130" s="406">
        <f t="shared" si="64"/>
        <v>0</v>
      </c>
      <c r="AC130" s="406">
        <f t="shared" si="109"/>
        <v>0.43330744486373152</v>
      </c>
      <c r="AD130" s="406">
        <f t="shared" si="110"/>
        <v>3.2341160477988224</v>
      </c>
      <c r="AE130" s="406">
        <f t="shared" si="111"/>
        <v>6.2757039663779254E-2</v>
      </c>
      <c r="AF130" s="406">
        <f t="shared" si="67"/>
        <v>5.2271999999999999E-2</v>
      </c>
      <c r="AG130" s="406">
        <f t="shared" si="112"/>
        <v>0.11619577613282425</v>
      </c>
      <c r="AH130" s="406">
        <f t="shared" si="113"/>
        <v>0</v>
      </c>
      <c r="AI130">
        <f t="shared" si="70"/>
        <v>0</v>
      </c>
      <c r="AJ130" s="407">
        <f t="shared" si="71"/>
        <v>0.35967329999999997</v>
      </c>
      <c r="AK130">
        <f t="shared" si="85"/>
        <v>4.8000000000000001E-2</v>
      </c>
      <c r="AL130" s="407">
        <f t="shared" si="72"/>
        <v>0.1215</v>
      </c>
      <c r="AM130" s="407">
        <f t="shared" si="86"/>
        <v>0.31645971316818772</v>
      </c>
      <c r="AN130" s="407">
        <f t="shared" si="114"/>
        <v>0.16949999999999998</v>
      </c>
      <c r="AO130" s="407">
        <f t="shared" si="115"/>
        <v>1.5545350186821412</v>
      </c>
      <c r="AP130">
        <f t="shared" si="74"/>
        <v>18.512999999999998</v>
      </c>
      <c r="AQ130" s="10">
        <f t="shared" si="116"/>
        <v>0.92253482965222555</v>
      </c>
      <c r="AR130" s="63">
        <f t="shared" si="117"/>
        <v>21.665372243186575</v>
      </c>
      <c r="AS130" s="63">
        <f t="shared" si="118"/>
        <v>4.6478310453129703</v>
      </c>
      <c r="AT130" s="10"/>
      <c r="AU130">
        <f t="shared" si="119"/>
        <v>92.25348296522256</v>
      </c>
    </row>
    <row r="131" spans="7:47" x14ac:dyDescent="0.25">
      <c r="G131">
        <v>122</v>
      </c>
      <c r="H131">
        <f t="shared" si="55"/>
        <v>3.66</v>
      </c>
      <c r="I131" s="406">
        <f t="shared" si="97"/>
        <v>0.21646499999999999</v>
      </c>
      <c r="J131" s="407">
        <f t="shared" si="56"/>
        <v>1.435504736842105</v>
      </c>
      <c r="K131" s="407">
        <f t="shared" si="77"/>
        <v>4.3777523684210529</v>
      </c>
      <c r="L131" s="407">
        <f t="shared" si="98"/>
        <v>2.9422476315789474</v>
      </c>
      <c r="M131" s="63">
        <f t="shared" si="57"/>
        <v>0</v>
      </c>
      <c r="N131" s="406">
        <f t="shared" si="99"/>
        <v>3.6833846962802221</v>
      </c>
      <c r="O131" s="406">
        <f t="shared" si="100"/>
        <v>0.27736747084288588</v>
      </c>
      <c r="P131">
        <f t="shared" si="59"/>
        <v>0.2</v>
      </c>
      <c r="Q131" s="406">
        <f t="shared" si="80"/>
        <v>0.47736747084288589</v>
      </c>
      <c r="R131" s="9">
        <f t="shared" si="101"/>
        <v>0.41439452311938613</v>
      </c>
      <c r="S131" s="9">
        <f t="shared" si="102"/>
        <v>1.7172282079134344E-4</v>
      </c>
      <c r="T131" s="9">
        <f t="shared" si="103"/>
        <v>1.7172282079134344E-4</v>
      </c>
      <c r="U131" s="406">
        <f t="shared" si="104"/>
        <v>1.7137241710387932</v>
      </c>
      <c r="V131" s="408">
        <f t="shared" si="105"/>
        <v>2.936850534402599E-3</v>
      </c>
      <c r="W131" s="406">
        <f t="shared" si="106"/>
        <v>2.936850534402599E-3</v>
      </c>
      <c r="X131" s="406">
        <f t="shared" si="107"/>
        <v>1.7137241710387932</v>
      </c>
      <c r="Y131" s="406">
        <f t="shared" si="108"/>
        <v>1.7621103206415592E-2</v>
      </c>
      <c r="Z131" s="406">
        <f t="shared" si="62"/>
        <v>0.27271893076668358</v>
      </c>
      <c r="AA131" s="406">
        <f t="shared" si="63"/>
        <v>0.14400000000000002</v>
      </c>
      <c r="AB131" s="406">
        <f t="shared" si="64"/>
        <v>0</v>
      </c>
      <c r="AC131" s="406">
        <f t="shared" si="109"/>
        <v>0.4358761577251975</v>
      </c>
      <c r="AD131" s="406">
        <f t="shared" si="110"/>
        <v>3.2604405049607554</v>
      </c>
      <c r="AE131" s="406">
        <f t="shared" si="111"/>
        <v>6.3782833718332488E-2</v>
      </c>
      <c r="AF131" s="406">
        <f t="shared" si="67"/>
        <v>5.2704000000000001E-2</v>
      </c>
      <c r="AG131" s="406">
        <f t="shared" si="112"/>
        <v>0.11768786823518203</v>
      </c>
      <c r="AH131" s="406">
        <f t="shared" si="113"/>
        <v>0</v>
      </c>
      <c r="AI131">
        <f t="shared" si="70"/>
        <v>0</v>
      </c>
      <c r="AJ131" s="407">
        <f t="shared" si="71"/>
        <v>0.35967060000000001</v>
      </c>
      <c r="AK131">
        <f t="shared" si="85"/>
        <v>4.8000000000000001E-2</v>
      </c>
      <c r="AL131" s="407">
        <f t="shared" si="72"/>
        <v>0.1215</v>
      </c>
      <c r="AM131" s="407">
        <f t="shared" si="86"/>
        <v>0.31645971316818772</v>
      </c>
      <c r="AN131" s="407">
        <f t="shared" si="114"/>
        <v>0.16949999999999998</v>
      </c>
      <c r="AO131" s="407">
        <f t="shared" si="115"/>
        <v>1.5632106701584594</v>
      </c>
      <c r="AP131">
        <f t="shared" si="74"/>
        <v>18.666</v>
      </c>
      <c r="AQ131" s="10">
        <f t="shared" si="116"/>
        <v>0.92272507832129802</v>
      </c>
      <c r="AR131" s="63">
        <f t="shared" si="117"/>
        <v>21.793807886259874</v>
      </c>
      <c r="AS131" s="63">
        <f t="shared" si="118"/>
        <v>4.707514729407281</v>
      </c>
      <c r="AT131" s="10"/>
      <c r="AU131">
        <f t="shared" si="119"/>
        <v>92.272507832129804</v>
      </c>
    </row>
    <row r="132" spans="7:47" x14ac:dyDescent="0.25">
      <c r="G132">
        <v>123</v>
      </c>
      <c r="H132">
        <f t="shared" si="55"/>
        <v>3.69</v>
      </c>
      <c r="I132" s="406">
        <f t="shared" si="97"/>
        <v>0.21649750000000001</v>
      </c>
      <c r="J132" s="407">
        <f t="shared" si="56"/>
        <v>1.4357202631578947</v>
      </c>
      <c r="K132" s="407">
        <f t="shared" si="77"/>
        <v>4.4078601315789472</v>
      </c>
      <c r="L132" s="407">
        <f t="shared" si="98"/>
        <v>2.9721398684210527</v>
      </c>
      <c r="M132" s="63">
        <f t="shared" si="57"/>
        <v>0</v>
      </c>
      <c r="N132" s="406">
        <f t="shared" si="99"/>
        <v>3.7132027132252712</v>
      </c>
      <c r="O132" s="406">
        <f t="shared" si="100"/>
        <v>0.28197809344284086</v>
      </c>
      <c r="P132">
        <f t="shared" si="59"/>
        <v>0.2</v>
      </c>
      <c r="Q132" s="406">
        <f t="shared" si="80"/>
        <v>0.48197809344284087</v>
      </c>
      <c r="R132" s="9">
        <f t="shared" si="101"/>
        <v>0.41445674020760542</v>
      </c>
      <c r="S132" s="9">
        <f t="shared" si="102"/>
        <v>1.7177438950351454E-4</v>
      </c>
      <c r="T132" s="9">
        <f t="shared" si="103"/>
        <v>1.7177438950351454E-4</v>
      </c>
      <c r="U132" s="406">
        <f t="shared" si="104"/>
        <v>1.7277269273937759</v>
      </c>
      <c r="V132" s="408">
        <f t="shared" si="105"/>
        <v>2.985040335641538E-3</v>
      </c>
      <c r="W132" s="406">
        <f t="shared" si="106"/>
        <v>2.985040335641538E-3</v>
      </c>
      <c r="X132" s="406">
        <f t="shared" si="107"/>
        <v>1.7277269273937759</v>
      </c>
      <c r="Y132" s="406">
        <f t="shared" si="108"/>
        <v>1.7910242013849227E-2</v>
      </c>
      <c r="Z132" s="406">
        <f t="shared" si="62"/>
        <v>0.27496702843020771</v>
      </c>
      <c r="AA132" s="406">
        <f t="shared" si="63"/>
        <v>0.14400000000000002</v>
      </c>
      <c r="AB132" s="406">
        <f t="shared" si="64"/>
        <v>0</v>
      </c>
      <c r="AC132" s="406">
        <f t="shared" si="109"/>
        <v>0.43844781172775427</v>
      </c>
      <c r="AD132" s="406">
        <f t="shared" si="110"/>
        <v>3.2867665043111867</v>
      </c>
      <c r="AE132" s="406">
        <f t="shared" si="111"/>
        <v>6.4817004323171876E-2</v>
      </c>
      <c r="AF132" s="406">
        <f t="shared" si="67"/>
        <v>5.3135999999999996E-2</v>
      </c>
      <c r="AG132" s="406">
        <f t="shared" si="112"/>
        <v>0.11918908099163746</v>
      </c>
      <c r="AH132" s="406">
        <f t="shared" si="113"/>
        <v>0</v>
      </c>
      <c r="AI132">
        <f t="shared" si="70"/>
        <v>0</v>
      </c>
      <c r="AJ132" s="407">
        <f t="shared" si="71"/>
        <v>0.35966789999999998</v>
      </c>
      <c r="AK132">
        <f t="shared" si="85"/>
        <v>4.8000000000000001E-2</v>
      </c>
      <c r="AL132" s="407">
        <f t="shared" si="72"/>
        <v>0.1215</v>
      </c>
      <c r="AM132" s="407">
        <f t="shared" si="86"/>
        <v>0.31645971316818772</v>
      </c>
      <c r="AN132" s="407">
        <f t="shared" si="114"/>
        <v>0.16949999999999998</v>
      </c>
      <c r="AO132" s="407">
        <f t="shared" si="115"/>
        <v>1.5719397008873777</v>
      </c>
      <c r="AP132">
        <f t="shared" si="74"/>
        <v>18.818999999999999</v>
      </c>
      <c r="AQ132" s="10">
        <f t="shared" si="116"/>
        <v>0.92290989410267499</v>
      </c>
      <c r="AR132" s="63">
        <f t="shared" si="117"/>
        <v>21.922390586387714</v>
      </c>
      <c r="AS132" s="63">
        <f t="shared" si="118"/>
        <v>4.7675632396654981</v>
      </c>
      <c r="AT132" s="10"/>
      <c r="AU132">
        <f t="shared" si="119"/>
        <v>92.2909894102675</v>
      </c>
    </row>
    <row r="133" spans="7:47" x14ac:dyDescent="0.25">
      <c r="G133">
        <v>124</v>
      </c>
      <c r="H133">
        <f t="shared" si="55"/>
        <v>3.7199999999999998</v>
      </c>
      <c r="I133" s="406">
        <f t="shared" si="97"/>
        <v>0.21652999999999997</v>
      </c>
      <c r="J133" s="407">
        <f t="shared" si="56"/>
        <v>1.4359357894736839</v>
      </c>
      <c r="K133" s="407">
        <f t="shared" si="77"/>
        <v>4.4379678947368415</v>
      </c>
      <c r="L133" s="407">
        <f t="shared" si="98"/>
        <v>3.002032105263158</v>
      </c>
      <c r="M133" s="63">
        <f t="shared" si="57"/>
        <v>0</v>
      </c>
      <c r="N133" s="406">
        <f t="shared" si="99"/>
        <v>3.7430236395135972</v>
      </c>
      <c r="O133" s="406">
        <f t="shared" si="100"/>
        <v>0.28662971463203674</v>
      </c>
      <c r="P133">
        <f t="shared" si="59"/>
        <v>0.2</v>
      </c>
      <c r="Q133" s="406">
        <f t="shared" si="80"/>
        <v>0.48662971463203675</v>
      </c>
      <c r="R133" s="9">
        <f t="shared" si="101"/>
        <v>0.41451895729582461</v>
      </c>
      <c r="S133" s="9">
        <f t="shared" si="102"/>
        <v>1.7182596595761767E-4</v>
      </c>
      <c r="T133" s="9">
        <f t="shared" si="103"/>
        <v>1.7182596595761767E-4</v>
      </c>
      <c r="U133" s="406">
        <f t="shared" si="104"/>
        <v>1.7417331105564946</v>
      </c>
      <c r="V133" s="408">
        <f t="shared" si="105"/>
        <v>3.0336342284088022E-3</v>
      </c>
      <c r="W133" s="406">
        <f t="shared" si="106"/>
        <v>3.0336342284088022E-3</v>
      </c>
      <c r="X133" s="406">
        <f t="shared" si="107"/>
        <v>1.7417331105564946</v>
      </c>
      <c r="Y133" s="406">
        <f t="shared" si="108"/>
        <v>1.8201805370452812E-2</v>
      </c>
      <c r="Z133" s="406">
        <f t="shared" si="62"/>
        <v>0.27721512609373178</v>
      </c>
      <c r="AA133" s="406">
        <f t="shared" si="63"/>
        <v>0.14400000000000002</v>
      </c>
      <c r="AB133" s="406">
        <f t="shared" si="64"/>
        <v>0</v>
      </c>
      <c r="AC133" s="406">
        <f t="shared" si="109"/>
        <v>0.44102241228667455</v>
      </c>
      <c r="AD133" s="406">
        <f t="shared" si="110"/>
        <v>3.3130939826012806</v>
      </c>
      <c r="AE133" s="406">
        <f t="shared" si="111"/>
        <v>6.5859550425292887E-2</v>
      </c>
      <c r="AF133" s="406">
        <f t="shared" si="67"/>
        <v>5.3567999999999998E-2</v>
      </c>
      <c r="AG133" s="406">
        <f t="shared" si="112"/>
        <v>0.12069942399342064</v>
      </c>
      <c r="AH133" s="406">
        <f t="shared" si="113"/>
        <v>0</v>
      </c>
      <c r="AI133">
        <f t="shared" si="70"/>
        <v>0</v>
      </c>
      <c r="AJ133" s="407">
        <f t="shared" si="71"/>
        <v>0.35966519999999996</v>
      </c>
      <c r="AK133">
        <f t="shared" si="85"/>
        <v>4.8000000000000001E-2</v>
      </c>
      <c r="AL133" s="407">
        <f t="shared" si="72"/>
        <v>0.1215</v>
      </c>
      <c r="AM133" s="407">
        <f t="shared" si="86"/>
        <v>0.31645971316818772</v>
      </c>
      <c r="AN133" s="407">
        <f t="shared" si="114"/>
        <v>0.16949999999999998</v>
      </c>
      <c r="AO133" s="407">
        <f t="shared" si="115"/>
        <v>1.5807222111064985</v>
      </c>
      <c r="AP133">
        <f t="shared" si="74"/>
        <v>18.971999999999998</v>
      </c>
      <c r="AQ133" s="10">
        <f t="shared" si="116"/>
        <v>0.92308939930826828</v>
      </c>
      <c r="AR133" s="63">
        <f t="shared" si="117"/>
        <v>22.051120614333726</v>
      </c>
      <c r="AS133" s="63">
        <f t="shared" si="118"/>
        <v>4.8279769597368256</v>
      </c>
      <c r="AT133" s="10"/>
      <c r="AU133">
        <f t="shared" si="119"/>
        <v>92.308939930826824</v>
      </c>
    </row>
    <row r="134" spans="7:47" x14ac:dyDescent="0.25">
      <c r="G134">
        <v>125</v>
      </c>
      <c r="H134">
        <f t="shared" si="55"/>
        <v>3.75</v>
      </c>
      <c r="I134" s="406">
        <f t="shared" si="97"/>
        <v>0.21656249999999999</v>
      </c>
      <c r="J134" s="407">
        <f t="shared" si="56"/>
        <v>1.4361513157894734</v>
      </c>
      <c r="K134" s="407">
        <f t="shared" si="77"/>
        <v>4.4680756578947367</v>
      </c>
      <c r="L134" s="407">
        <f t="shared" si="98"/>
        <v>3.0319243421052633</v>
      </c>
      <c r="M134" s="63">
        <f t="shared" si="57"/>
        <v>0</v>
      </c>
      <c r="N134" s="406">
        <f t="shared" si="99"/>
        <v>3.7728474061580668</v>
      </c>
      <c r="O134" s="406">
        <f t="shared" si="100"/>
        <v>0.29132242031440064</v>
      </c>
      <c r="P134">
        <f t="shared" si="59"/>
        <v>0.2</v>
      </c>
      <c r="Q134" s="406">
        <f t="shared" si="80"/>
        <v>0.49132242031440065</v>
      </c>
      <c r="R134" s="9">
        <f t="shared" si="101"/>
        <v>0.4145811743840439</v>
      </c>
      <c r="S134" s="9">
        <f t="shared" si="102"/>
        <v>1.7187755015365302E-4</v>
      </c>
      <c r="T134" s="9">
        <f t="shared" si="103"/>
        <v>1.7187755015365302E-4</v>
      </c>
      <c r="U134" s="406">
        <f t="shared" si="104"/>
        <v>1.755742688495427</v>
      </c>
      <c r="V134" s="408">
        <f t="shared" si="105"/>
        <v>3.08263238820515E-3</v>
      </c>
      <c r="W134" s="406">
        <f t="shared" si="106"/>
        <v>3.08263238820515E-3</v>
      </c>
      <c r="X134" s="406">
        <f t="shared" si="107"/>
        <v>1.755742688495427</v>
      </c>
      <c r="Y134" s="406">
        <f t="shared" si="108"/>
        <v>1.8495794329230902E-2</v>
      </c>
      <c r="Z134" s="406">
        <f t="shared" si="62"/>
        <v>0.27946322375725591</v>
      </c>
      <c r="AA134" s="406">
        <f t="shared" si="63"/>
        <v>0.14400000000000002</v>
      </c>
      <c r="AB134" s="406">
        <f t="shared" si="64"/>
        <v>0</v>
      </c>
      <c r="AC134" s="406">
        <f t="shared" si="109"/>
        <v>0.44359996482927411</v>
      </c>
      <c r="AD134" s="406">
        <f t="shared" si="110"/>
        <v>3.3394228785747551</v>
      </c>
      <c r="AE134" s="406">
        <f t="shared" si="111"/>
        <v>6.6910470971691019E-2</v>
      </c>
      <c r="AF134" s="406">
        <f t="shared" si="67"/>
        <v>5.3999999999999999E-2</v>
      </c>
      <c r="AG134" s="406">
        <f t="shared" si="112"/>
        <v>0.12221890691138478</v>
      </c>
      <c r="AH134" s="406">
        <f t="shared" si="113"/>
        <v>0</v>
      </c>
      <c r="AI134">
        <f t="shared" si="70"/>
        <v>0</v>
      </c>
      <c r="AJ134" s="407">
        <f t="shared" si="71"/>
        <v>0.3596625</v>
      </c>
      <c r="AK134">
        <f t="shared" si="85"/>
        <v>4.8000000000000001E-2</v>
      </c>
      <c r="AL134" s="407">
        <f t="shared" si="72"/>
        <v>0.1215</v>
      </c>
      <c r="AM134" s="407">
        <f t="shared" si="86"/>
        <v>0.31645971316818772</v>
      </c>
      <c r="AN134" s="407">
        <f t="shared" si="114"/>
        <v>0.16949999999999998</v>
      </c>
      <c r="AO134" s="407">
        <f t="shared" si="115"/>
        <v>1.5895583019934183</v>
      </c>
      <c r="AP134">
        <f t="shared" si="74"/>
        <v>19.125</v>
      </c>
      <c r="AQ134" s="10">
        <f t="shared" si="116"/>
        <v>0.92326371246639372</v>
      </c>
      <c r="AR134" s="63">
        <f t="shared" si="117"/>
        <v>22.179998241463707</v>
      </c>
      <c r="AS134" s="63">
        <f t="shared" si="118"/>
        <v>4.8887562764553909</v>
      </c>
      <c r="AT134" s="10"/>
      <c r="AU134">
        <f t="shared" si="119"/>
        <v>92.326371246639368</v>
      </c>
    </row>
    <row r="135" spans="7:47" x14ac:dyDescent="0.25">
      <c r="G135">
        <v>126</v>
      </c>
      <c r="H135">
        <f t="shared" si="55"/>
        <v>3.7800000000000002</v>
      </c>
      <c r="I135" s="406">
        <f t="shared" si="97"/>
        <v>0.21659499999999998</v>
      </c>
      <c r="J135" s="407">
        <f t="shared" si="56"/>
        <v>1.4363668421052629</v>
      </c>
      <c r="K135" s="407">
        <f t="shared" si="77"/>
        <v>4.4981834210526319</v>
      </c>
      <c r="L135" s="407">
        <f t="shared" si="98"/>
        <v>3.0618165789473686</v>
      </c>
      <c r="M135" s="63">
        <f t="shared" si="57"/>
        <v>0</v>
      </c>
      <c r="N135" s="406">
        <f t="shared" si="99"/>
        <v>3.8026739463292962</v>
      </c>
      <c r="O135" s="406">
        <f t="shared" si="100"/>
        <v>0.29605629724626431</v>
      </c>
      <c r="P135">
        <f t="shared" si="59"/>
        <v>0.2</v>
      </c>
      <c r="Q135" s="406">
        <f t="shared" si="80"/>
        <v>0.49605629724626432</v>
      </c>
      <c r="R135" s="9">
        <f t="shared" si="101"/>
        <v>0.41464339147226315</v>
      </c>
      <c r="S135" s="9">
        <f t="shared" si="102"/>
        <v>1.7192914209162048E-4</v>
      </c>
      <c r="T135" s="9">
        <f t="shared" si="103"/>
        <v>1.7192914209162048E-4</v>
      </c>
      <c r="U135" s="406">
        <f t="shared" si="104"/>
        <v>1.7697556301736506</v>
      </c>
      <c r="V135" s="408">
        <f t="shared" si="105"/>
        <v>3.132034990531335E-3</v>
      </c>
      <c r="W135" s="406">
        <f t="shared" si="106"/>
        <v>3.132034990531335E-3</v>
      </c>
      <c r="X135" s="406">
        <f t="shared" si="107"/>
        <v>1.7697556301736506</v>
      </c>
      <c r="Y135" s="406">
        <f t="shared" si="108"/>
        <v>1.8792209943188011E-2</v>
      </c>
      <c r="Z135" s="406">
        <f t="shared" si="62"/>
        <v>0.28171132142077998</v>
      </c>
      <c r="AA135" s="406">
        <f t="shared" si="63"/>
        <v>0.14400000000000002</v>
      </c>
      <c r="AB135" s="406">
        <f t="shared" si="64"/>
        <v>0</v>
      </c>
      <c r="AC135" s="406">
        <f t="shared" si="109"/>
        <v>0.4461804747949476</v>
      </c>
      <c r="AD135" s="406">
        <f t="shared" si="110"/>
        <v>3.3657531328902137</v>
      </c>
      <c r="AE135" s="406">
        <f t="shared" si="111"/>
        <v>6.7969764909361741E-2</v>
      </c>
      <c r="AF135" s="406">
        <f t="shared" si="67"/>
        <v>5.4432000000000001E-2</v>
      </c>
      <c r="AG135" s="406">
        <f t="shared" si="112"/>
        <v>0.12374753949618862</v>
      </c>
      <c r="AH135" s="406">
        <f t="shared" si="113"/>
        <v>0</v>
      </c>
      <c r="AI135">
        <f t="shared" si="70"/>
        <v>0</v>
      </c>
      <c r="AJ135" s="407">
        <f t="shared" si="71"/>
        <v>0.35965979999999997</v>
      </c>
      <c r="AK135">
        <f t="shared" si="85"/>
        <v>4.8000000000000001E-2</v>
      </c>
      <c r="AL135" s="407">
        <f t="shared" si="72"/>
        <v>0.1215</v>
      </c>
      <c r="AM135" s="407">
        <f t="shared" si="86"/>
        <v>0.31645971316818772</v>
      </c>
      <c r="AN135" s="407">
        <f t="shared" si="114"/>
        <v>0.16949999999999998</v>
      </c>
      <c r="AO135" s="407">
        <f t="shared" si="115"/>
        <v>1.5984480756700234</v>
      </c>
      <c r="AP135">
        <f t="shared" si="74"/>
        <v>19.277999999999999</v>
      </c>
      <c r="AQ135" s="10">
        <f t="shared" si="116"/>
        <v>0.92343294846536184</v>
      </c>
      <c r="AR135" s="63">
        <f t="shared" si="117"/>
        <v>22.309023739747381</v>
      </c>
      <c r="AS135" s="63">
        <f t="shared" si="118"/>
        <v>4.9499015798475448</v>
      </c>
      <c r="AT135" s="10"/>
      <c r="AU135">
        <f t="shared" si="119"/>
        <v>92.343294846536182</v>
      </c>
    </row>
    <row r="136" spans="7:47" x14ac:dyDescent="0.25">
      <c r="G136">
        <v>127</v>
      </c>
      <c r="H136">
        <f t="shared" si="55"/>
        <v>3.81</v>
      </c>
      <c r="I136" s="406">
        <f t="shared" si="97"/>
        <v>0.21662749999999997</v>
      </c>
      <c r="J136" s="407">
        <f t="shared" si="56"/>
        <v>1.4365823684210524</v>
      </c>
      <c r="K136" s="407">
        <f t="shared" si="77"/>
        <v>4.5282911842105262</v>
      </c>
      <c r="L136" s="407">
        <f t="shared" si="98"/>
        <v>3.0917088157894739</v>
      </c>
      <c r="M136" s="63">
        <f t="shared" si="57"/>
        <v>0</v>
      </c>
      <c r="N136" s="406">
        <f t="shared" si="99"/>
        <v>3.8325031952721864</v>
      </c>
      <c r="O136" s="406">
        <f t="shared" si="100"/>
        <v>0.30083143304048887</v>
      </c>
      <c r="P136">
        <f t="shared" si="59"/>
        <v>0.2</v>
      </c>
      <c r="Q136" s="406">
        <f t="shared" si="80"/>
        <v>0.50083143304048883</v>
      </c>
      <c r="R136" s="9">
        <f t="shared" si="101"/>
        <v>0.41470560856048239</v>
      </c>
      <c r="S136" s="9">
        <f t="shared" si="102"/>
        <v>1.7198074177152004E-4</v>
      </c>
      <c r="T136" s="9">
        <f t="shared" si="103"/>
        <v>1.7198074177152004E-4</v>
      </c>
      <c r="U136" s="406">
        <f t="shared" si="104"/>
        <v>1.7837719055103736</v>
      </c>
      <c r="V136" s="408">
        <f t="shared" si="105"/>
        <v>3.1818422108881093E-3</v>
      </c>
      <c r="W136" s="406">
        <f t="shared" si="106"/>
        <v>3.1818422108881093E-3</v>
      </c>
      <c r="X136" s="406">
        <f t="shared" si="107"/>
        <v>1.7837719055103736</v>
      </c>
      <c r="Y136" s="406">
        <f t="shared" si="108"/>
        <v>1.9091053265328655E-2</v>
      </c>
      <c r="Z136" s="406">
        <f t="shared" si="62"/>
        <v>0.28395941908430411</v>
      </c>
      <c r="AA136" s="406">
        <f t="shared" si="63"/>
        <v>0.14400000000000002</v>
      </c>
      <c r="AB136" s="406">
        <f t="shared" si="64"/>
        <v>0</v>
      </c>
      <c r="AC136" s="406">
        <f t="shared" si="109"/>
        <v>0.44876394763520538</v>
      </c>
      <c r="AD136" s="406">
        <f t="shared" si="110"/>
        <v>3.3920846880470732</v>
      </c>
      <c r="AE136" s="406">
        <f t="shared" si="111"/>
        <v>6.9037431185300466E-2</v>
      </c>
      <c r="AF136" s="406">
        <f t="shared" si="67"/>
        <v>5.4863999999999996E-2</v>
      </c>
      <c r="AG136" s="406">
        <f t="shared" si="112"/>
        <v>0.12528533157848076</v>
      </c>
      <c r="AH136" s="406">
        <f t="shared" si="113"/>
        <v>0</v>
      </c>
      <c r="AI136">
        <f t="shared" si="70"/>
        <v>0</v>
      </c>
      <c r="AJ136" s="407">
        <f t="shared" si="71"/>
        <v>0.35965709999999995</v>
      </c>
      <c r="AK136">
        <f t="shared" si="85"/>
        <v>4.8000000000000001E-2</v>
      </c>
      <c r="AL136" s="407">
        <f t="shared" si="72"/>
        <v>0.1215</v>
      </c>
      <c r="AM136" s="407">
        <f t="shared" si="86"/>
        <v>0.31645971316818772</v>
      </c>
      <c r="AN136" s="407">
        <f t="shared" si="114"/>
        <v>0.16949999999999998</v>
      </c>
      <c r="AO136" s="407">
        <f t="shared" si="115"/>
        <v>1.6073916352068345</v>
      </c>
      <c r="AP136">
        <f t="shared" si="74"/>
        <v>19.430999999999997</v>
      </c>
      <c r="AQ136" s="10">
        <f t="shared" si="116"/>
        <v>0.92359721869057065</v>
      </c>
      <c r="AR136" s="63">
        <f t="shared" si="117"/>
        <v>22.438197381760268</v>
      </c>
      <c r="AS136" s="63">
        <f t="shared" si="118"/>
        <v>5.0114132631392305</v>
      </c>
      <c r="AT136" s="10"/>
      <c r="AU136">
        <f t="shared" si="119"/>
        <v>92.359721869057068</v>
      </c>
    </row>
    <row r="137" spans="7:47" x14ac:dyDescent="0.25">
      <c r="G137">
        <v>128</v>
      </c>
      <c r="H137">
        <f t="shared" ref="H137:H200" si="120">Iout*(G137/200)</f>
        <v>3.84</v>
      </c>
      <c r="I137" s="406">
        <f t="shared" si="97"/>
        <v>0.21665999999999999</v>
      </c>
      <c r="J137" s="407">
        <f t="shared" ref="J137:J200" si="121">(Vin-Vout)*I137/(Fsw*Lout2)</f>
        <v>1.4367978947368421</v>
      </c>
      <c r="K137" s="407">
        <f t="shared" si="77"/>
        <v>4.5583989473684206</v>
      </c>
      <c r="L137" s="407">
        <f t="shared" si="98"/>
        <v>3.1216010526315787</v>
      </c>
      <c r="M137" s="63">
        <f t="shared" ref="M137:M200" si="122">IF(MIN(Vin, -L137/(CossTop+CossBot)*0.00000002)&lt;0, 0, MIN(Vin, -L137/(CossTop+CossBot)*0.00000002))</f>
        <v>0</v>
      </c>
      <c r="N137" s="406">
        <f t="shared" si="99"/>
        <v>3.8623350902262934</v>
      </c>
      <c r="O137" s="406">
        <f t="shared" si="100"/>
        <v>0.30564791617063597</v>
      </c>
      <c r="P137">
        <f t="shared" ref="P137:P200" si="123">Core_Loss</f>
        <v>0.2</v>
      </c>
      <c r="Q137" s="406">
        <f t="shared" si="80"/>
        <v>0.50564791617063598</v>
      </c>
      <c r="R137" s="9">
        <f t="shared" si="101"/>
        <v>0.41476782564870168</v>
      </c>
      <c r="S137" s="9">
        <f t="shared" si="102"/>
        <v>1.720323491933518E-4</v>
      </c>
      <c r="T137" s="9">
        <f t="shared" si="103"/>
        <v>1.720323491933518E-4</v>
      </c>
      <c r="U137" s="406">
        <f t="shared" si="104"/>
        <v>1.7977914853442352</v>
      </c>
      <c r="V137" s="408">
        <f t="shared" si="105"/>
        <v>3.2320542247762313E-3</v>
      </c>
      <c r="W137" s="406">
        <f t="shared" si="106"/>
        <v>3.2320542247762313E-3</v>
      </c>
      <c r="X137" s="406">
        <f t="shared" si="107"/>
        <v>1.7977914853442352</v>
      </c>
      <c r="Y137" s="406">
        <f t="shared" si="108"/>
        <v>1.9392325348657386E-2</v>
      </c>
      <c r="Z137" s="406">
        <f t="shared" ref="Z137:Z200" si="124">IF(L137&lt;0, (Vin*K137*Tf/2)*Fsw, (Vin*L137*Tr/2+Vin*K137*Tf/2)*Fsw)</f>
        <v>0.28620751674782813</v>
      </c>
      <c r="AA137" s="406">
        <f t="shared" ref="AA137:AA200" si="125">(0.5*CossTop*(Vin-M137)^2-0.5*CossBot*(Vin-M137)^2+(QossBot*(Vin-M137)/Vin)*Vin)*Fsw</f>
        <v>0.14400000000000002</v>
      </c>
      <c r="AB137" s="406">
        <f t="shared" ref="AB137:AB200" si="126">IF(L137&gt;0,0,-L137*VsdTop*Deadtime*Fsw)</f>
        <v>0</v>
      </c>
      <c r="AC137" s="406">
        <f t="shared" si="109"/>
        <v>0.4513503888137092</v>
      </c>
      <c r="AD137" s="406">
        <f t="shared" si="110"/>
        <v>3.4184174883148954</v>
      </c>
      <c r="AE137" s="406">
        <f t="shared" si="111"/>
        <v>7.0113468746502705E-2</v>
      </c>
      <c r="AF137" s="406">
        <f t="shared" ref="AF137:AF200" si="127">IF(L137&lt;0, Deadtime*Fsw*IF(VfdSky&gt;0,0,VsdBot)*K137, Deadtime*Fsw*IF(VfdSky&gt;0,0,VsdBot)*(K137+L137))</f>
        <v>5.5295999999999998E-2</v>
      </c>
      <c r="AG137" s="406">
        <f t="shared" si="112"/>
        <v>0.12683229306908619</v>
      </c>
      <c r="AH137" s="406">
        <f t="shared" si="113"/>
        <v>0</v>
      </c>
      <c r="AI137">
        <f t="shared" ref="AI137:AI200" si="128">2*Deadtime*Fsw*IF(VfdSky&gt;0,VfdSky,0)*H137</f>
        <v>0</v>
      </c>
      <c r="AJ137" s="407">
        <f t="shared" ref="AJ137:AJ200" si="129">IF(QrrSky&gt;0,QrrSky,QrrBot)*Fsw*(Vin-H137*RdsonTop)</f>
        <v>0.35965439999999999</v>
      </c>
      <c r="AK137">
        <f t="shared" si="85"/>
        <v>4.8000000000000001E-2</v>
      </c>
      <c r="AL137" s="407">
        <f t="shared" ref="AL137:AL200" si="130">IF(Ext_VCC=1, Vdd*(QgTop+QgBot)*Fsw, Vin*(QgTop+QgBot)*Fsw)</f>
        <v>0.1215</v>
      </c>
      <c r="AM137" s="407">
        <f t="shared" si="86"/>
        <v>0.31645971316818772</v>
      </c>
      <c r="AN137" s="407">
        <f t="shared" si="114"/>
        <v>0.16949999999999998</v>
      </c>
      <c r="AO137" s="407">
        <f t="shared" si="115"/>
        <v>1.6163890846274009</v>
      </c>
      <c r="AP137">
        <f t="shared" ref="AP137:AP200" si="131">Vout*H137</f>
        <v>19.584</v>
      </c>
      <c r="AQ137" s="10">
        <f t="shared" si="116"/>
        <v>0.92375663115544149</v>
      </c>
      <c r="AR137" s="63">
        <f t="shared" si="117"/>
        <v>22.567519440685459</v>
      </c>
      <c r="AS137" s="63">
        <f t="shared" si="118"/>
        <v>5.0732917227634475</v>
      </c>
      <c r="AT137" s="10"/>
      <c r="AU137">
        <f t="shared" si="119"/>
        <v>92.375663115544143</v>
      </c>
    </row>
    <row r="138" spans="7:47" x14ac:dyDescent="0.25">
      <c r="G138">
        <v>129</v>
      </c>
      <c r="H138">
        <f t="shared" si="120"/>
        <v>3.87</v>
      </c>
      <c r="I138" s="406">
        <f t="shared" si="97"/>
        <v>0.21669249999999998</v>
      </c>
      <c r="J138" s="407">
        <f t="shared" si="121"/>
        <v>1.4370134210526311</v>
      </c>
      <c r="K138" s="407">
        <f t="shared" ref="K138:K201" si="132">H138+J138/2</f>
        <v>4.5885067105263158</v>
      </c>
      <c r="L138" s="407">
        <f t="shared" si="98"/>
        <v>3.1514932894736845</v>
      </c>
      <c r="M138" s="63">
        <f t="shared" si="122"/>
        <v>0</v>
      </c>
      <c r="N138" s="406">
        <f t="shared" si="99"/>
        <v>3.8921695703498216</v>
      </c>
      <c r="O138" s="406">
        <f t="shared" si="100"/>
        <v>0.31050583597518616</v>
      </c>
      <c r="P138">
        <f t="shared" si="123"/>
        <v>0.2</v>
      </c>
      <c r="Q138" s="406">
        <f t="shared" ref="Q138:Q201" si="133">O138+P138</f>
        <v>0.51050583597518617</v>
      </c>
      <c r="R138" s="9">
        <f t="shared" si="101"/>
        <v>0.41483004273692081</v>
      </c>
      <c r="S138" s="9">
        <f t="shared" si="102"/>
        <v>1.7208396435711555E-4</v>
      </c>
      <c r="T138" s="9">
        <f t="shared" si="103"/>
        <v>1.7208396435711555E-4</v>
      </c>
      <c r="U138" s="406">
        <f t="shared" si="104"/>
        <v>1.8118143413982719</v>
      </c>
      <c r="V138" s="408">
        <f t="shared" si="105"/>
        <v>3.2826712076964538E-3</v>
      </c>
      <c r="W138" s="406">
        <f t="shared" si="106"/>
        <v>3.2826712076964538E-3</v>
      </c>
      <c r="X138" s="406">
        <f t="shared" si="107"/>
        <v>1.8118143413982719</v>
      </c>
      <c r="Y138" s="406">
        <f t="shared" si="108"/>
        <v>1.9696027246178725E-2</v>
      </c>
      <c r="Z138" s="406">
        <f t="shared" si="124"/>
        <v>0.28845561441135226</v>
      </c>
      <c r="AA138" s="406">
        <f t="shared" si="125"/>
        <v>0.14400000000000002</v>
      </c>
      <c r="AB138" s="406">
        <f t="shared" si="126"/>
        <v>0</v>
      </c>
      <c r="AC138" s="406">
        <f t="shared" si="109"/>
        <v>0.45393980380630983</v>
      </c>
      <c r="AD138" s="406">
        <f t="shared" si="110"/>
        <v>3.4447514796659369</v>
      </c>
      <c r="AE138" s="406">
        <f t="shared" si="111"/>
        <v>7.119787653996397E-2</v>
      </c>
      <c r="AF138" s="406">
        <f t="shared" si="127"/>
        <v>5.5728E-2</v>
      </c>
      <c r="AG138" s="406">
        <f t="shared" si="112"/>
        <v>0.12838843395919372</v>
      </c>
      <c r="AH138" s="406">
        <f t="shared" si="113"/>
        <v>0</v>
      </c>
      <c r="AI138">
        <f t="shared" si="128"/>
        <v>0</v>
      </c>
      <c r="AJ138" s="407">
        <f t="shared" si="129"/>
        <v>0.35965170000000002</v>
      </c>
      <c r="AK138">
        <f t="shared" ref="AK138:AK201" si="134">Iq*Vin</f>
        <v>4.8000000000000001E-2</v>
      </c>
      <c r="AL138" s="407">
        <f t="shared" si="130"/>
        <v>0.1215</v>
      </c>
      <c r="AM138" s="407">
        <f t="shared" ref="AM138:AM201" si="135">(Vin-Vdd)*Fsw*(QgTop+QgBot)+(RdsonDRT+RdsonDRT2)*Fsw*QgTop*Vdd/(RdsonDRT+2*RGateTop+RdsonDRT2)+(RdsonDRB+RdsonDRB2)*Fsw*QgBot*Vdd/(RdsonDRB+2*RGateBot+RdsonDRB2)</f>
        <v>0.31645971316818772</v>
      </c>
      <c r="AN138" s="407">
        <f t="shared" si="114"/>
        <v>0.16949999999999998</v>
      </c>
      <c r="AO138" s="407">
        <f t="shared" si="115"/>
        <v>1.6254405289127432</v>
      </c>
      <c r="AP138">
        <f t="shared" si="131"/>
        <v>19.736999999999998</v>
      </c>
      <c r="AQ138" s="10">
        <f t="shared" si="116"/>
        <v>0.92391129062651756</v>
      </c>
      <c r="AR138" s="63">
        <f t="shared" si="117"/>
        <v>22.696990190315493</v>
      </c>
      <c r="AS138" s="63">
        <f t="shared" si="118"/>
        <v>5.1355373583677491</v>
      </c>
      <c r="AT138" s="10"/>
      <c r="AU138">
        <f t="shared" si="119"/>
        <v>92.391129062651757</v>
      </c>
    </row>
    <row r="139" spans="7:47" x14ac:dyDescent="0.25">
      <c r="G139">
        <v>130</v>
      </c>
      <c r="H139">
        <f t="shared" si="120"/>
        <v>3.9000000000000004</v>
      </c>
      <c r="I139" s="406">
        <f t="shared" si="97"/>
        <v>0.21672499999999997</v>
      </c>
      <c r="J139" s="407">
        <f t="shared" si="121"/>
        <v>1.4372289473684206</v>
      </c>
      <c r="K139" s="407">
        <f t="shared" si="132"/>
        <v>4.618614473684211</v>
      </c>
      <c r="L139" s="407">
        <f t="shared" si="98"/>
        <v>3.1813855263157902</v>
      </c>
      <c r="M139" s="63">
        <f t="shared" si="122"/>
        <v>0</v>
      </c>
      <c r="N139" s="406">
        <f t="shared" si="99"/>
        <v>3.9220065766470631</v>
      </c>
      <c r="O139" s="406">
        <f t="shared" si="100"/>
        <v>0.31540528266180484</v>
      </c>
      <c r="P139">
        <f t="shared" si="123"/>
        <v>0.2</v>
      </c>
      <c r="Q139" s="406">
        <f t="shared" si="133"/>
        <v>0.51540528266180485</v>
      </c>
      <c r="R139" s="9">
        <f t="shared" si="101"/>
        <v>0.41489225982514005</v>
      </c>
      <c r="S139" s="9">
        <f t="shared" si="102"/>
        <v>1.7213558726281153E-4</v>
      </c>
      <c r="T139" s="9">
        <f t="shared" si="103"/>
        <v>1.7213558726281153E-4</v>
      </c>
      <c r="U139" s="406">
        <f t="shared" si="104"/>
        <v>1.8258404462464768</v>
      </c>
      <c r="V139" s="408">
        <f t="shared" si="105"/>
        <v>3.333693335149534E-3</v>
      </c>
      <c r="W139" s="406">
        <f t="shared" si="106"/>
        <v>3.333693335149534E-3</v>
      </c>
      <c r="X139" s="406">
        <f t="shared" si="107"/>
        <v>1.8258404462464768</v>
      </c>
      <c r="Y139" s="406">
        <f t="shared" si="108"/>
        <v>2.0002160010897201E-2</v>
      </c>
      <c r="Z139" s="406">
        <f t="shared" si="124"/>
        <v>0.29070371207487639</v>
      </c>
      <c r="AA139" s="406">
        <f t="shared" si="125"/>
        <v>0.14400000000000002</v>
      </c>
      <c r="AB139" s="406">
        <f t="shared" si="126"/>
        <v>0</v>
      </c>
      <c r="AC139" s="406">
        <f t="shared" si="109"/>
        <v>0.45653219810108253</v>
      </c>
      <c r="AD139" s="406">
        <f t="shared" si="110"/>
        <v>3.4710866097107522</v>
      </c>
      <c r="AE139" s="406">
        <f t="shared" si="111"/>
        <v>7.2290653512679715E-2</v>
      </c>
      <c r="AF139" s="406">
        <f t="shared" si="127"/>
        <v>5.6160000000000002E-2</v>
      </c>
      <c r="AG139" s="406">
        <f t="shared" si="112"/>
        <v>0.12995376432054612</v>
      </c>
      <c r="AH139" s="406">
        <f t="shared" si="113"/>
        <v>0</v>
      </c>
      <c r="AI139">
        <f t="shared" si="128"/>
        <v>0</v>
      </c>
      <c r="AJ139" s="407">
        <f t="shared" si="129"/>
        <v>0.359649</v>
      </c>
      <c r="AK139">
        <f t="shared" si="134"/>
        <v>4.8000000000000001E-2</v>
      </c>
      <c r="AL139" s="407">
        <f t="shared" si="130"/>
        <v>0.1215</v>
      </c>
      <c r="AM139" s="407">
        <f t="shared" si="135"/>
        <v>0.31645971316818772</v>
      </c>
      <c r="AN139" s="407">
        <f t="shared" si="114"/>
        <v>0.16949999999999998</v>
      </c>
      <c r="AO139" s="407">
        <f t="shared" si="115"/>
        <v>1.6345460740058457</v>
      </c>
      <c r="AP139">
        <f t="shared" si="131"/>
        <v>19.89</v>
      </c>
      <c r="AQ139" s="10">
        <f t="shared" si="116"/>
        <v>0.92406129874302856</v>
      </c>
      <c r="AR139" s="63">
        <f t="shared" si="117"/>
        <v>22.826609905054127</v>
      </c>
      <c r="AS139" s="63">
        <f t="shared" si="118"/>
        <v>5.1981505728218451</v>
      </c>
      <c r="AT139" s="10"/>
      <c r="AU139">
        <f t="shared" si="119"/>
        <v>92.406129874302849</v>
      </c>
    </row>
    <row r="140" spans="7:47" x14ac:dyDescent="0.25">
      <c r="G140">
        <v>131</v>
      </c>
      <c r="H140">
        <f t="shared" si="120"/>
        <v>3.93</v>
      </c>
      <c r="I140" s="406">
        <f t="shared" si="97"/>
        <v>0.21675749999999996</v>
      </c>
      <c r="J140" s="407">
        <f t="shared" si="121"/>
        <v>1.43744447368421</v>
      </c>
      <c r="K140" s="407">
        <f t="shared" si="132"/>
        <v>4.6487222368421053</v>
      </c>
      <c r="L140" s="407">
        <f t="shared" si="98"/>
        <v>3.211277763157895</v>
      </c>
      <c r="M140" s="63">
        <f t="shared" si="122"/>
        <v>0</v>
      </c>
      <c r="N140" s="406">
        <f t="shared" si="99"/>
        <v>3.9518460518990919</v>
      </c>
      <c r="O140" s="406">
        <f t="shared" si="100"/>
        <v>0.32034634731165706</v>
      </c>
      <c r="P140">
        <f t="shared" si="123"/>
        <v>0.2</v>
      </c>
      <c r="Q140" s="406">
        <f t="shared" si="133"/>
        <v>0.52034634731165708</v>
      </c>
      <c r="R140" s="9">
        <f t="shared" si="101"/>
        <v>0.41495447691335929</v>
      </c>
      <c r="S140" s="9">
        <f t="shared" si="102"/>
        <v>1.7218721791043963E-4</v>
      </c>
      <c r="T140" s="9">
        <f t="shared" si="103"/>
        <v>1.7218721791043963E-4</v>
      </c>
      <c r="U140" s="406">
        <f t="shared" si="104"/>
        <v>1.8398697732818543</v>
      </c>
      <c r="V140" s="408">
        <f t="shared" si="105"/>
        <v>3.3851207826362216E-3</v>
      </c>
      <c r="W140" s="406">
        <f t="shared" si="106"/>
        <v>3.3851207826362216E-3</v>
      </c>
      <c r="X140" s="406">
        <f t="shared" si="107"/>
        <v>1.8398697732818543</v>
      </c>
      <c r="Y140" s="406">
        <f t="shared" si="108"/>
        <v>2.031072469581733E-2</v>
      </c>
      <c r="Z140" s="406">
        <f t="shared" si="124"/>
        <v>0.29295180973840051</v>
      </c>
      <c r="AA140" s="406">
        <f t="shared" si="125"/>
        <v>0.14400000000000002</v>
      </c>
      <c r="AB140" s="406">
        <f t="shared" si="126"/>
        <v>0</v>
      </c>
      <c r="AC140" s="406">
        <f t="shared" si="109"/>
        <v>0.45912757719836461</v>
      </c>
      <c r="AD140" s="406">
        <f t="shared" si="110"/>
        <v>3.4974228276366897</v>
      </c>
      <c r="AE140" s="406">
        <f t="shared" si="111"/>
        <v>7.3391798611645312E-2</v>
      </c>
      <c r="AF140" s="406">
        <f t="shared" si="127"/>
        <v>5.6592000000000003E-2</v>
      </c>
      <c r="AG140" s="406">
        <f t="shared" si="112"/>
        <v>0.13152829430563126</v>
      </c>
      <c r="AH140" s="406">
        <f t="shared" si="113"/>
        <v>0</v>
      </c>
      <c r="AI140">
        <f t="shared" si="128"/>
        <v>0</v>
      </c>
      <c r="AJ140" s="407">
        <f t="shared" si="129"/>
        <v>0.35964629999999997</v>
      </c>
      <c r="AK140">
        <f t="shared" si="134"/>
        <v>4.8000000000000001E-2</v>
      </c>
      <c r="AL140" s="407">
        <f t="shared" si="130"/>
        <v>0.1215</v>
      </c>
      <c r="AM140" s="407">
        <f t="shared" si="135"/>
        <v>0.31645971316818772</v>
      </c>
      <c r="AN140" s="407">
        <f t="shared" si="114"/>
        <v>0.16949999999999998</v>
      </c>
      <c r="AO140" s="407">
        <f t="shared" si="115"/>
        <v>1.6437058268161995</v>
      </c>
      <c r="AP140">
        <f t="shared" si="131"/>
        <v>20.042999999999999</v>
      </c>
      <c r="AQ140" s="10">
        <f t="shared" si="116"/>
        <v>0.9242067541312009</v>
      </c>
      <c r="AR140" s="63">
        <f t="shared" si="117"/>
        <v>22.956378859918232</v>
      </c>
      <c r="AS140" s="63">
        <f t="shared" si="118"/>
        <v>5.2611317722252506</v>
      </c>
      <c r="AT140" s="10"/>
      <c r="AU140">
        <f t="shared" si="119"/>
        <v>92.420675413120094</v>
      </c>
    </row>
    <row r="141" spans="7:47" x14ac:dyDescent="0.25">
      <c r="G141">
        <v>132</v>
      </c>
      <c r="H141">
        <f t="shared" si="120"/>
        <v>3.96</v>
      </c>
      <c r="I141" s="406">
        <f t="shared" si="97"/>
        <v>0.21679000000000001</v>
      </c>
      <c r="J141" s="407">
        <f t="shared" si="121"/>
        <v>1.4376599999999997</v>
      </c>
      <c r="K141" s="407">
        <f t="shared" si="132"/>
        <v>4.6788299999999996</v>
      </c>
      <c r="L141" s="407">
        <f t="shared" si="98"/>
        <v>3.2411700000000003</v>
      </c>
      <c r="M141" s="63">
        <f t="shared" si="122"/>
        <v>0</v>
      </c>
      <c r="N141" s="406">
        <f t="shared" si="99"/>
        <v>3.9816879405975549</v>
      </c>
      <c r="O141" s="406">
        <f t="shared" si="100"/>
        <v>0.325329121883771</v>
      </c>
      <c r="P141">
        <f t="shared" si="123"/>
        <v>0.2</v>
      </c>
      <c r="Q141" s="406">
        <f t="shared" si="133"/>
        <v>0.52532912188377101</v>
      </c>
      <c r="R141" s="9">
        <f t="shared" si="101"/>
        <v>0.41501669400157865</v>
      </c>
      <c r="S141" s="9">
        <f t="shared" si="102"/>
        <v>1.7223885629999997E-4</v>
      </c>
      <c r="T141" s="9">
        <f t="shared" si="103"/>
        <v>1.7223885629999997E-4</v>
      </c>
      <c r="U141" s="406">
        <f t="shared" si="104"/>
        <v>1.853902296685906</v>
      </c>
      <c r="V141" s="408">
        <f t="shared" si="105"/>
        <v>3.4369537256572769E-3</v>
      </c>
      <c r="W141" s="406">
        <f t="shared" si="106"/>
        <v>3.4369537256572769E-3</v>
      </c>
      <c r="X141" s="406">
        <f t="shared" si="107"/>
        <v>1.853902296685906</v>
      </c>
      <c r="Y141" s="406">
        <f t="shared" si="108"/>
        <v>2.0621722353943661E-2</v>
      </c>
      <c r="Z141" s="406">
        <f t="shared" si="124"/>
        <v>0.29519990740192453</v>
      </c>
      <c r="AA141" s="406">
        <f t="shared" si="125"/>
        <v>0.14400000000000002</v>
      </c>
      <c r="AB141" s="406">
        <f t="shared" si="126"/>
        <v>0</v>
      </c>
      <c r="AC141" s="406">
        <f t="shared" si="109"/>
        <v>0.46172594661079208</v>
      </c>
      <c r="AD141" s="406">
        <f t="shared" si="110"/>
        <v>3.5237600841491354</v>
      </c>
      <c r="AE141" s="406">
        <f t="shared" si="111"/>
        <v>7.4501310783856328E-2</v>
      </c>
      <c r="AF141" s="406">
        <f t="shared" si="127"/>
        <v>5.7023999999999998E-2</v>
      </c>
      <c r="AG141" s="406">
        <f t="shared" si="112"/>
        <v>0.13311203414787587</v>
      </c>
      <c r="AH141" s="406">
        <f t="shared" si="113"/>
        <v>0</v>
      </c>
      <c r="AI141">
        <f t="shared" si="128"/>
        <v>0</v>
      </c>
      <c r="AJ141" s="407">
        <f t="shared" si="129"/>
        <v>0.35964360000000001</v>
      </c>
      <c r="AK141">
        <f t="shared" si="134"/>
        <v>4.8000000000000001E-2</v>
      </c>
      <c r="AL141" s="407">
        <f t="shared" si="130"/>
        <v>0.1215</v>
      </c>
      <c r="AM141" s="407">
        <f t="shared" si="135"/>
        <v>0.31645971316818772</v>
      </c>
      <c r="AN141" s="407">
        <f t="shared" si="114"/>
        <v>0.16949999999999998</v>
      </c>
      <c r="AO141" s="407">
        <f t="shared" si="115"/>
        <v>1.6529198952243964</v>
      </c>
      <c r="AP141">
        <f t="shared" si="131"/>
        <v>20.195999999999998</v>
      </c>
      <c r="AQ141" s="10">
        <f t="shared" si="116"/>
        <v>0.92434775251358392</v>
      </c>
      <c r="AR141" s="63">
        <f t="shared" si="117"/>
        <v>23.086297330539605</v>
      </c>
      <c r="AS141" s="63">
        <f t="shared" si="118"/>
        <v>5.3244813659150347</v>
      </c>
      <c r="AT141" s="10"/>
      <c r="AU141">
        <f t="shared" si="119"/>
        <v>92.434775251358388</v>
      </c>
    </row>
    <row r="142" spans="7:47" x14ac:dyDescent="0.25">
      <c r="G142">
        <v>133</v>
      </c>
      <c r="H142">
        <f t="shared" si="120"/>
        <v>3.99</v>
      </c>
      <c r="I142" s="406">
        <f t="shared" si="97"/>
        <v>0.21682249999999995</v>
      </c>
      <c r="J142" s="407">
        <f t="shared" si="121"/>
        <v>1.437875526315789</v>
      </c>
      <c r="K142" s="407">
        <f t="shared" si="132"/>
        <v>4.7089377631578948</v>
      </c>
      <c r="L142" s="407">
        <f t="shared" si="98"/>
        <v>3.2710622368421056</v>
      </c>
      <c r="M142" s="63">
        <f t="shared" si="122"/>
        <v>0</v>
      </c>
      <c r="N142" s="406">
        <f t="shared" si="99"/>
        <v>4.0115321888813869</v>
      </c>
      <c r="O142" s="406">
        <f t="shared" si="100"/>
        <v>0.33035369921944929</v>
      </c>
      <c r="P142">
        <f t="shared" si="123"/>
        <v>0.2</v>
      </c>
      <c r="Q142" s="406">
        <f t="shared" si="133"/>
        <v>0.5303536992194493</v>
      </c>
      <c r="R142" s="9">
        <f t="shared" si="101"/>
        <v>0.41507891108979783</v>
      </c>
      <c r="S142" s="9">
        <f t="shared" si="102"/>
        <v>1.7229050243149229E-4</v>
      </c>
      <c r="T142" s="9">
        <f t="shared" si="103"/>
        <v>1.7229050243149229E-4</v>
      </c>
      <c r="U142" s="406">
        <f t="shared" si="104"/>
        <v>1.8679379913994607</v>
      </c>
      <c r="V142" s="408">
        <f t="shared" si="105"/>
        <v>3.4891923397134517E-3</v>
      </c>
      <c r="W142" s="406">
        <f t="shared" si="106"/>
        <v>3.4891923397134517E-3</v>
      </c>
      <c r="X142" s="406">
        <f t="shared" si="107"/>
        <v>1.8679379913994607</v>
      </c>
      <c r="Y142" s="406">
        <f t="shared" si="108"/>
        <v>2.0935154038280709E-2</v>
      </c>
      <c r="Z142" s="406">
        <f t="shared" si="124"/>
        <v>0.29744800506544866</v>
      </c>
      <c r="AA142" s="406">
        <f t="shared" si="125"/>
        <v>0.14400000000000002</v>
      </c>
      <c r="AB142" s="406">
        <f t="shared" si="126"/>
        <v>0</v>
      </c>
      <c r="AC142" s="406">
        <f t="shared" si="109"/>
        <v>0.46432731186333737</v>
      </c>
      <c r="AD142" s="406">
        <f t="shared" si="110"/>
        <v>3.5500983314153483</v>
      </c>
      <c r="AE142" s="406">
        <f t="shared" si="111"/>
        <v>7.5619188976308246E-2</v>
      </c>
      <c r="AF142" s="406">
        <f t="shared" si="127"/>
        <v>5.7456E-2</v>
      </c>
      <c r="AG142" s="406">
        <f t="shared" si="112"/>
        <v>0.13470499416184054</v>
      </c>
      <c r="AH142" s="406">
        <f t="shared" si="113"/>
        <v>0</v>
      </c>
      <c r="AI142">
        <f t="shared" si="128"/>
        <v>0</v>
      </c>
      <c r="AJ142" s="407">
        <f t="shared" si="129"/>
        <v>0.35964089999999999</v>
      </c>
      <c r="AK142">
        <f t="shared" si="134"/>
        <v>4.8000000000000001E-2</v>
      </c>
      <c r="AL142" s="407">
        <f t="shared" si="130"/>
        <v>0.1215</v>
      </c>
      <c r="AM142" s="407">
        <f t="shared" si="135"/>
        <v>0.31645971316818772</v>
      </c>
      <c r="AN142" s="407">
        <f t="shared" si="114"/>
        <v>0.16949999999999998</v>
      </c>
      <c r="AO142" s="407">
        <f t="shared" si="115"/>
        <v>1.6621883880867723</v>
      </c>
      <c r="AP142">
        <f t="shared" si="131"/>
        <v>20.349</v>
      </c>
      <c r="AQ142" s="10">
        <f t="shared" si="116"/>
        <v>0.92448438681364398</v>
      </c>
      <c r="AR142" s="63">
        <f t="shared" si="117"/>
        <v>23.21636559316687</v>
      </c>
      <c r="AS142" s="63">
        <f t="shared" si="118"/>
        <v>5.3881997664736216</v>
      </c>
      <c r="AT142" s="10"/>
      <c r="AU142">
        <f t="shared" si="119"/>
        <v>92.448438681364394</v>
      </c>
    </row>
    <row r="143" spans="7:47" x14ac:dyDescent="0.25">
      <c r="G143">
        <v>134</v>
      </c>
      <c r="H143">
        <f t="shared" si="120"/>
        <v>4.0200000000000005</v>
      </c>
      <c r="I143" s="406">
        <f t="shared" si="97"/>
        <v>0.21685499999999999</v>
      </c>
      <c r="J143" s="407">
        <f t="shared" si="121"/>
        <v>1.4380910526315787</v>
      </c>
      <c r="K143" s="407">
        <f t="shared" si="132"/>
        <v>4.73904552631579</v>
      </c>
      <c r="L143" s="407">
        <f t="shared" si="98"/>
        <v>3.3009544736842109</v>
      </c>
      <c r="M143" s="63">
        <f t="shared" si="122"/>
        <v>0</v>
      </c>
      <c r="N143" s="406">
        <f t="shared" si="99"/>
        <v>4.0413787444763107</v>
      </c>
      <c r="O143" s="406">
        <f t="shared" si="100"/>
        <v>0.33542017304673111</v>
      </c>
      <c r="P143">
        <f t="shared" si="123"/>
        <v>0.2</v>
      </c>
      <c r="Q143" s="406">
        <f t="shared" si="133"/>
        <v>0.53542017304673117</v>
      </c>
      <c r="R143" s="9">
        <f t="shared" si="101"/>
        <v>0.41514112817801713</v>
      </c>
      <c r="S143" s="9">
        <f t="shared" si="102"/>
        <v>1.7234215630491684E-4</v>
      </c>
      <c r="T143" s="9">
        <f t="shared" si="103"/>
        <v>1.7234215630491684E-4</v>
      </c>
      <c r="U143" s="406">
        <f t="shared" si="104"/>
        <v>1.8819768330947924</v>
      </c>
      <c r="V143" s="408">
        <f t="shared" si="105"/>
        <v>3.5418368003055042E-3</v>
      </c>
      <c r="W143" s="406">
        <f t="shared" si="106"/>
        <v>3.5418368003055042E-3</v>
      </c>
      <c r="X143" s="406">
        <f t="shared" si="107"/>
        <v>1.8819768330947924</v>
      </c>
      <c r="Y143" s="406">
        <f t="shared" si="108"/>
        <v>2.1251020801833026E-2</v>
      </c>
      <c r="Z143" s="406">
        <f t="shared" si="124"/>
        <v>0.29969610272897279</v>
      </c>
      <c r="AA143" s="406">
        <f t="shared" si="125"/>
        <v>0.14400000000000002</v>
      </c>
      <c r="AB143" s="406">
        <f t="shared" si="126"/>
        <v>0</v>
      </c>
      <c r="AC143" s="406">
        <f t="shared" si="109"/>
        <v>0.46693167849334516</v>
      </c>
      <c r="AD143" s="406">
        <f t="shared" si="110"/>
        <v>3.576437523010771</v>
      </c>
      <c r="AE143" s="406">
        <f t="shared" si="111"/>
        <v>7.6745432135996508E-2</v>
      </c>
      <c r="AF143" s="406">
        <f t="shared" si="127"/>
        <v>5.7888000000000002E-2</v>
      </c>
      <c r="AG143" s="406">
        <f t="shared" si="112"/>
        <v>0.13630718474341647</v>
      </c>
      <c r="AH143" s="406">
        <f t="shared" si="113"/>
        <v>0</v>
      </c>
      <c r="AI143">
        <f t="shared" si="128"/>
        <v>0</v>
      </c>
      <c r="AJ143" s="407">
        <f t="shared" si="129"/>
        <v>0.35963819999999996</v>
      </c>
      <c r="AK143">
        <f t="shared" si="134"/>
        <v>4.8000000000000001E-2</v>
      </c>
      <c r="AL143" s="407">
        <f t="shared" si="130"/>
        <v>0.1215</v>
      </c>
      <c r="AM143" s="407">
        <f t="shared" si="135"/>
        <v>0.31645971316818772</v>
      </c>
      <c r="AN143" s="407">
        <f t="shared" si="114"/>
        <v>0.16949999999999998</v>
      </c>
      <c r="AO143" s="407">
        <f t="shared" si="115"/>
        <v>1.6715114152401032</v>
      </c>
      <c r="AP143">
        <f t="shared" si="131"/>
        <v>20.502000000000002</v>
      </c>
      <c r="AQ143" s="10">
        <f t="shared" si="116"/>
        <v>0.92461674725586063</v>
      </c>
      <c r="AR143" s="63">
        <f t="shared" si="117"/>
        <v>23.346583924667257</v>
      </c>
      <c r="AS143" s="63">
        <f t="shared" si="118"/>
        <v>5.4522873897366591</v>
      </c>
      <c r="AT143" s="10"/>
      <c r="AU143">
        <f t="shared" si="119"/>
        <v>92.461674725586064</v>
      </c>
    </row>
    <row r="144" spans="7:47" x14ac:dyDescent="0.25">
      <c r="G144">
        <v>135</v>
      </c>
      <c r="H144">
        <f t="shared" si="120"/>
        <v>4.0500000000000007</v>
      </c>
      <c r="I144" s="406">
        <f t="shared" si="97"/>
        <v>0.21688750000000001</v>
      </c>
      <c r="J144" s="407">
        <f t="shared" si="121"/>
        <v>1.4383065789473686</v>
      </c>
      <c r="K144" s="407">
        <f t="shared" si="132"/>
        <v>4.7691532894736852</v>
      </c>
      <c r="L144" s="407">
        <f t="shared" si="98"/>
        <v>3.3308467105263162</v>
      </c>
      <c r="M144" s="63">
        <f t="shared" si="122"/>
        <v>0</v>
      </c>
      <c r="N144" s="406">
        <f t="shared" si="99"/>
        <v>4.071227556636976</v>
      </c>
      <c r="O144" s="406">
        <f t="shared" si="100"/>
        <v>0.34052863798490285</v>
      </c>
      <c r="P144">
        <f t="shared" si="123"/>
        <v>0.2</v>
      </c>
      <c r="Q144" s="406">
        <f t="shared" si="133"/>
        <v>0.5405286379849028</v>
      </c>
      <c r="R144" s="9">
        <f t="shared" si="101"/>
        <v>0.41520334526623653</v>
      </c>
      <c r="S144" s="9">
        <f t="shared" si="102"/>
        <v>1.7239381792027363E-4</v>
      </c>
      <c r="T144" s="9">
        <f t="shared" si="103"/>
        <v>1.7239381792027363E-4</v>
      </c>
      <c r="U144" s="406">
        <f t="shared" si="104"/>
        <v>1.8960187981489489</v>
      </c>
      <c r="V144" s="408">
        <f t="shared" si="105"/>
        <v>3.5948872829341845E-3</v>
      </c>
      <c r="W144" s="406">
        <f t="shared" si="106"/>
        <v>3.5948872829341845E-3</v>
      </c>
      <c r="X144" s="406">
        <f t="shared" si="107"/>
        <v>1.8960187981489489</v>
      </c>
      <c r="Y144" s="406">
        <f t="shared" si="108"/>
        <v>2.1569323697605107E-2</v>
      </c>
      <c r="Z144" s="406">
        <f t="shared" si="124"/>
        <v>0.30194420039249692</v>
      </c>
      <c r="AA144" s="406">
        <f t="shared" si="125"/>
        <v>0.14400000000000002</v>
      </c>
      <c r="AB144" s="406">
        <f t="shared" si="126"/>
        <v>0</v>
      </c>
      <c r="AC144" s="406">
        <f t="shared" si="109"/>
        <v>0.46953905205057112</v>
      </c>
      <c r="AD144" s="406">
        <f t="shared" si="110"/>
        <v>3.6027776138676799</v>
      </c>
      <c r="AE144" s="406">
        <f t="shared" si="111"/>
        <v>7.7880039209916568E-2</v>
      </c>
      <c r="AF144" s="406">
        <f t="shared" si="127"/>
        <v>5.8320000000000011E-2</v>
      </c>
      <c r="AG144" s="406">
        <f t="shared" si="112"/>
        <v>0.13791861637002459</v>
      </c>
      <c r="AH144" s="406">
        <f t="shared" si="113"/>
        <v>0</v>
      </c>
      <c r="AI144">
        <f t="shared" si="128"/>
        <v>0</v>
      </c>
      <c r="AJ144" s="407">
        <f t="shared" si="129"/>
        <v>0.3596355</v>
      </c>
      <c r="AK144">
        <f t="shared" si="134"/>
        <v>4.8000000000000001E-2</v>
      </c>
      <c r="AL144" s="407">
        <f t="shared" si="130"/>
        <v>0.1215</v>
      </c>
      <c r="AM144" s="407">
        <f t="shared" si="135"/>
        <v>0.31645971316818772</v>
      </c>
      <c r="AN144" s="407">
        <f t="shared" si="114"/>
        <v>0.16949999999999998</v>
      </c>
      <c r="AO144" s="407">
        <f t="shared" si="115"/>
        <v>1.6808890875063529</v>
      </c>
      <c r="AP144">
        <f t="shared" si="131"/>
        <v>20.655000000000001</v>
      </c>
      <c r="AQ144" s="10">
        <f t="shared" si="116"/>
        <v>0.92474492146155218</v>
      </c>
      <c r="AR144" s="63">
        <f t="shared" si="117"/>
        <v>23.476952602528556</v>
      </c>
      <c r="AS144" s="63">
        <f t="shared" si="118"/>
        <v>5.5167446548009833</v>
      </c>
      <c r="AT144" s="10"/>
      <c r="AU144">
        <f t="shared" si="119"/>
        <v>92.474492146155214</v>
      </c>
    </row>
    <row r="145" spans="7:47" x14ac:dyDescent="0.25">
      <c r="G145">
        <v>136</v>
      </c>
      <c r="H145">
        <f t="shared" si="120"/>
        <v>4.08</v>
      </c>
      <c r="I145" s="406">
        <f t="shared" si="97"/>
        <v>0.21691999999999997</v>
      </c>
      <c r="J145" s="407">
        <f t="shared" si="121"/>
        <v>1.4385221052631576</v>
      </c>
      <c r="K145" s="407">
        <f t="shared" si="132"/>
        <v>4.7992610526315787</v>
      </c>
      <c r="L145" s="407">
        <f t="shared" si="98"/>
        <v>3.3607389473684215</v>
      </c>
      <c r="M145" s="63">
        <f t="shared" si="122"/>
        <v>0</v>
      </c>
      <c r="N145" s="406">
        <f t="shared" si="99"/>
        <v>4.1010785760916075</v>
      </c>
      <c r="O145" s="406">
        <f t="shared" si="100"/>
        <v>0.34567918954906013</v>
      </c>
      <c r="P145">
        <f t="shared" si="123"/>
        <v>0.2</v>
      </c>
      <c r="Q145" s="406">
        <f t="shared" si="133"/>
        <v>0.54567918954906014</v>
      </c>
      <c r="R145" s="9">
        <f t="shared" si="101"/>
        <v>0.41526556235445561</v>
      </c>
      <c r="S145" s="9">
        <f t="shared" si="102"/>
        <v>1.7244548727756226E-4</v>
      </c>
      <c r="T145" s="9">
        <f t="shared" si="103"/>
        <v>1.7244548727756226E-4</v>
      </c>
      <c r="U145" s="406">
        <f t="shared" si="104"/>
        <v>1.910063863618243</v>
      </c>
      <c r="V145" s="408">
        <f t="shared" si="105"/>
        <v>3.6483439631002498E-3</v>
      </c>
      <c r="W145" s="406">
        <f t="shared" si="106"/>
        <v>3.6483439631002498E-3</v>
      </c>
      <c r="X145" s="406">
        <f t="shared" si="107"/>
        <v>1.910063863618243</v>
      </c>
      <c r="Y145" s="406">
        <f t="shared" si="108"/>
        <v>2.1890063778601501E-2</v>
      </c>
      <c r="Z145" s="406">
        <f t="shared" si="124"/>
        <v>0.30419229805602094</v>
      </c>
      <c r="AA145" s="406">
        <f t="shared" si="125"/>
        <v>0.14400000000000002</v>
      </c>
      <c r="AB145" s="406">
        <f t="shared" si="126"/>
        <v>0</v>
      </c>
      <c r="AC145" s="406">
        <f t="shared" si="109"/>
        <v>0.47214943809721821</v>
      </c>
      <c r="AD145" s="406">
        <f t="shared" si="110"/>
        <v>3.629118560226066</v>
      </c>
      <c r="AE145" s="406">
        <f t="shared" si="111"/>
        <v>7.9023009145063897E-2</v>
      </c>
      <c r="AF145" s="406">
        <f t="shared" si="127"/>
        <v>5.8751999999999999E-2</v>
      </c>
      <c r="AG145" s="406">
        <f t="shared" si="112"/>
        <v>0.1395392996008161</v>
      </c>
      <c r="AH145" s="406">
        <f t="shared" si="113"/>
        <v>0</v>
      </c>
      <c r="AI145">
        <f t="shared" si="128"/>
        <v>0</v>
      </c>
      <c r="AJ145" s="407">
        <f t="shared" si="129"/>
        <v>0.35963279999999997</v>
      </c>
      <c r="AK145">
        <f t="shared" si="134"/>
        <v>4.8000000000000001E-2</v>
      </c>
      <c r="AL145" s="407">
        <f t="shared" si="130"/>
        <v>0.1215</v>
      </c>
      <c r="AM145" s="407">
        <f t="shared" si="135"/>
        <v>0.31645971316818772</v>
      </c>
      <c r="AN145" s="407">
        <f t="shared" si="114"/>
        <v>0.16949999999999998</v>
      </c>
      <c r="AO145" s="407">
        <f t="shared" si="115"/>
        <v>1.6903215166974721</v>
      </c>
      <c r="AP145">
        <f t="shared" si="131"/>
        <v>20.808</v>
      </c>
      <c r="AQ145" s="10">
        <f t="shared" si="116"/>
        <v>0.92486899454063831</v>
      </c>
      <c r="AR145" s="63">
        <f t="shared" si="117"/>
        <v>23.607471904860912</v>
      </c>
      <c r="AS145" s="63">
        <f t="shared" si="118"/>
        <v>5.5815719840326441</v>
      </c>
      <c r="AT145" s="10"/>
      <c r="AU145">
        <f t="shared" si="119"/>
        <v>92.486899454063831</v>
      </c>
    </row>
    <row r="146" spans="7:47" x14ac:dyDescent="0.25">
      <c r="G146">
        <v>137</v>
      </c>
      <c r="H146">
        <f t="shared" si="120"/>
        <v>4.1100000000000003</v>
      </c>
      <c r="I146" s="406">
        <f t="shared" si="97"/>
        <v>0.21695249999999999</v>
      </c>
      <c r="J146" s="407">
        <f t="shared" si="121"/>
        <v>1.4387376315789471</v>
      </c>
      <c r="K146" s="407">
        <f t="shared" si="132"/>
        <v>4.8293688157894739</v>
      </c>
      <c r="L146" s="407">
        <f t="shared" si="98"/>
        <v>3.3906311842105268</v>
      </c>
      <c r="M146" s="63">
        <f t="shared" si="122"/>
        <v>0</v>
      </c>
      <c r="N146" s="406">
        <f t="shared" si="99"/>
        <v>4.1309317549890343</v>
      </c>
      <c r="O146" s="406">
        <f t="shared" si="100"/>
        <v>0.35087192415471974</v>
      </c>
      <c r="P146">
        <f t="shared" si="123"/>
        <v>0.2</v>
      </c>
      <c r="Q146" s="406">
        <f t="shared" si="133"/>
        <v>0.55087192415471975</v>
      </c>
      <c r="R146" s="9">
        <f t="shared" si="101"/>
        <v>0.4153277794426749</v>
      </c>
      <c r="S146" s="9">
        <f t="shared" si="102"/>
        <v>1.7249716437678323E-4</v>
      </c>
      <c r="T146" s="9">
        <f t="shared" si="103"/>
        <v>1.7249716437678323E-4</v>
      </c>
      <c r="U146" s="406">
        <f t="shared" si="104"/>
        <v>1.9241120072138351</v>
      </c>
      <c r="V146" s="408">
        <f t="shared" si="105"/>
        <v>3.7022070163044533E-3</v>
      </c>
      <c r="W146" s="406">
        <f t="shared" si="106"/>
        <v>3.7022070163044533E-3</v>
      </c>
      <c r="X146" s="406">
        <f t="shared" si="107"/>
        <v>1.9241120072138351</v>
      </c>
      <c r="Y146" s="406">
        <f t="shared" si="108"/>
        <v>2.221324209782672E-2</v>
      </c>
      <c r="Z146" s="406">
        <f t="shared" si="124"/>
        <v>0.30644039571954507</v>
      </c>
      <c r="AA146" s="406">
        <f t="shared" si="125"/>
        <v>0.14400000000000002</v>
      </c>
      <c r="AB146" s="406">
        <f t="shared" si="126"/>
        <v>0</v>
      </c>
      <c r="AC146" s="406">
        <f t="shared" si="109"/>
        <v>0.47476284220797538</v>
      </c>
      <c r="AD146" s="406">
        <f t="shared" si="110"/>
        <v>3.6554603195866222</v>
      </c>
      <c r="AE146" s="406">
        <f t="shared" si="111"/>
        <v>8.017434088843399E-2</v>
      </c>
      <c r="AF146" s="406">
        <f t="shared" si="127"/>
        <v>5.9184E-2</v>
      </c>
      <c r="AG146" s="406">
        <f t="shared" si="112"/>
        <v>0.14116924507687498</v>
      </c>
      <c r="AH146" s="406">
        <f t="shared" si="113"/>
        <v>0</v>
      </c>
      <c r="AI146">
        <f t="shared" si="128"/>
        <v>0</v>
      </c>
      <c r="AJ146" s="407">
        <f t="shared" si="129"/>
        <v>0.35963009999999995</v>
      </c>
      <c r="AK146">
        <f t="shared" si="134"/>
        <v>4.8000000000000001E-2</v>
      </c>
      <c r="AL146" s="407">
        <f t="shared" si="130"/>
        <v>0.1215</v>
      </c>
      <c r="AM146" s="407">
        <f t="shared" si="135"/>
        <v>0.31645971316818772</v>
      </c>
      <c r="AN146" s="407">
        <f t="shared" si="114"/>
        <v>0.16949999999999998</v>
      </c>
      <c r="AO146" s="407">
        <f t="shared" si="115"/>
        <v>1.6998088156202511</v>
      </c>
      <c r="AP146">
        <f t="shared" si="131"/>
        <v>20.960999999999999</v>
      </c>
      <c r="AQ146" s="10">
        <f t="shared" si="116"/>
        <v>0.92498904917954383</v>
      </c>
      <c r="AR146" s="63">
        <f t="shared" si="117"/>
        <v>23.738142110398769</v>
      </c>
      <c r="AS146" s="63">
        <f t="shared" si="118"/>
        <v>5.6467698030749993</v>
      </c>
      <c r="AT146" s="10"/>
      <c r="AU146">
        <f t="shared" si="119"/>
        <v>92.498904917954377</v>
      </c>
    </row>
    <row r="147" spans="7:47" x14ac:dyDescent="0.25">
      <c r="G147">
        <v>138</v>
      </c>
      <c r="H147">
        <f t="shared" si="120"/>
        <v>4.1399999999999997</v>
      </c>
      <c r="I147" s="406">
        <f t="shared" si="97"/>
        <v>0.21698499999999998</v>
      </c>
      <c r="J147" s="407">
        <f t="shared" si="121"/>
        <v>1.4389531578947365</v>
      </c>
      <c r="K147" s="407">
        <f t="shared" si="132"/>
        <v>4.8594765789473682</v>
      </c>
      <c r="L147" s="407">
        <f t="shared" si="98"/>
        <v>3.4205234210526312</v>
      </c>
      <c r="M147" s="63">
        <f t="shared" si="122"/>
        <v>0</v>
      </c>
      <c r="N147" s="406">
        <f t="shared" si="99"/>
        <v>4.1607870468479797</v>
      </c>
      <c r="O147" s="406">
        <f t="shared" si="100"/>
        <v>0.3561069391224832</v>
      </c>
      <c r="P147">
        <f t="shared" si="123"/>
        <v>0.2</v>
      </c>
      <c r="Q147" s="406">
        <f t="shared" si="133"/>
        <v>0.55610693912248321</v>
      </c>
      <c r="R147" s="9">
        <f t="shared" si="101"/>
        <v>0.41538999653089415</v>
      </c>
      <c r="S147" s="9">
        <f t="shared" si="102"/>
        <v>1.7254884921793625E-4</v>
      </c>
      <c r="T147" s="9">
        <f t="shared" si="103"/>
        <v>1.7254884921793625E-4</v>
      </c>
      <c r="U147" s="406">
        <f t="shared" si="104"/>
        <v>1.9381632072783634</v>
      </c>
      <c r="V147" s="408">
        <f t="shared" si="105"/>
        <v>3.7564766180475523E-3</v>
      </c>
      <c r="W147" s="406">
        <f t="shared" si="106"/>
        <v>3.7564766180475523E-3</v>
      </c>
      <c r="X147" s="406">
        <f t="shared" si="107"/>
        <v>1.9381632072783634</v>
      </c>
      <c r="Y147" s="406">
        <f t="shared" si="108"/>
        <v>2.2538859708285314E-2</v>
      </c>
      <c r="Z147" s="406">
        <f t="shared" si="124"/>
        <v>0.30868849338306908</v>
      </c>
      <c r="AA147" s="406">
        <f t="shared" si="125"/>
        <v>0.14400000000000002</v>
      </c>
      <c r="AB147" s="406">
        <f t="shared" si="126"/>
        <v>0</v>
      </c>
      <c r="AC147" s="406">
        <f t="shared" si="109"/>
        <v>0.4773792699700542</v>
      </c>
      <c r="AD147" s="406">
        <f t="shared" si="110"/>
        <v>3.6818028506657416</v>
      </c>
      <c r="AE147" s="406">
        <f t="shared" si="111"/>
        <v>8.1334033387022289E-2</v>
      </c>
      <c r="AF147" s="406">
        <f t="shared" si="127"/>
        <v>5.9615999999999995E-2</v>
      </c>
      <c r="AG147" s="406">
        <f t="shared" si="112"/>
        <v>0.1428084635214224</v>
      </c>
      <c r="AH147" s="406">
        <f t="shared" si="113"/>
        <v>0</v>
      </c>
      <c r="AI147">
        <f t="shared" si="128"/>
        <v>0</v>
      </c>
      <c r="AJ147" s="407">
        <f t="shared" si="129"/>
        <v>0.35962739999999999</v>
      </c>
      <c r="AK147">
        <f t="shared" si="134"/>
        <v>4.8000000000000001E-2</v>
      </c>
      <c r="AL147" s="407">
        <f t="shared" si="130"/>
        <v>0.1215</v>
      </c>
      <c r="AM147" s="407">
        <f t="shared" si="135"/>
        <v>0.31645971316818772</v>
      </c>
      <c r="AN147" s="407">
        <f t="shared" si="114"/>
        <v>0.16949999999999998</v>
      </c>
      <c r="AO147" s="407">
        <f t="shared" si="115"/>
        <v>1.7093510980812252</v>
      </c>
      <c r="AP147">
        <f t="shared" si="131"/>
        <v>21.113999999999997</v>
      </c>
      <c r="AQ147" s="10">
        <f t="shared" si="116"/>
        <v>0.92510516572542534</v>
      </c>
      <c r="AR147" s="63">
        <f t="shared" si="117"/>
        <v>23.868963498502708</v>
      </c>
      <c r="AS147" s="63">
        <f t="shared" si="118"/>
        <v>5.7123385408568961</v>
      </c>
      <c r="AT147" s="10"/>
      <c r="AU147">
        <f t="shared" si="119"/>
        <v>92.510516572542528</v>
      </c>
    </row>
    <row r="148" spans="7:47" x14ac:dyDescent="0.25">
      <c r="G148">
        <v>139</v>
      </c>
      <c r="H148">
        <f t="shared" si="120"/>
        <v>4.17</v>
      </c>
      <c r="I148" s="406">
        <f t="shared" si="97"/>
        <v>0.21701749999999997</v>
      </c>
      <c r="J148" s="407">
        <f t="shared" si="121"/>
        <v>1.439168684210526</v>
      </c>
      <c r="K148" s="407">
        <f t="shared" si="132"/>
        <v>4.8895843421052625</v>
      </c>
      <c r="L148" s="407">
        <f t="shared" si="98"/>
        <v>3.4504156578947369</v>
      </c>
      <c r="M148" s="63">
        <f t="shared" si="122"/>
        <v>0</v>
      </c>
      <c r="N148" s="406">
        <f t="shared" si="99"/>
        <v>4.1906444065085049</v>
      </c>
      <c r="O148" s="406">
        <f t="shared" si="100"/>
        <v>0.36138433268275083</v>
      </c>
      <c r="P148">
        <f t="shared" si="123"/>
        <v>0.2</v>
      </c>
      <c r="Q148" s="406">
        <f t="shared" si="133"/>
        <v>0.56138433268275079</v>
      </c>
      <c r="R148" s="9">
        <f t="shared" si="101"/>
        <v>0.41545221361911339</v>
      </c>
      <c r="S148" s="9">
        <f t="shared" si="102"/>
        <v>1.7260054180102141E-4</v>
      </c>
      <c r="T148" s="9">
        <f t="shared" si="103"/>
        <v>1.7260054180102141E-4</v>
      </c>
      <c r="U148" s="406">
        <f t="shared" si="104"/>
        <v>1.9522174427635621</v>
      </c>
      <c r="V148" s="408">
        <f t="shared" si="105"/>
        <v>3.8111529438303021E-3</v>
      </c>
      <c r="W148" s="406">
        <f t="shared" si="106"/>
        <v>3.8111529438303021E-3</v>
      </c>
      <c r="X148" s="406">
        <f t="shared" si="107"/>
        <v>1.9522174427635621</v>
      </c>
      <c r="Y148" s="406">
        <f t="shared" si="108"/>
        <v>2.2866917662981812E-2</v>
      </c>
      <c r="Z148" s="406">
        <f t="shared" si="124"/>
        <v>0.31093659104659316</v>
      </c>
      <c r="AA148" s="406">
        <f t="shared" si="125"/>
        <v>0.14400000000000002</v>
      </c>
      <c r="AB148" s="406">
        <f t="shared" si="126"/>
        <v>0</v>
      </c>
      <c r="AC148" s="406">
        <f t="shared" si="109"/>
        <v>0.47999872698322732</v>
      </c>
      <c r="AD148" s="406">
        <f t="shared" si="110"/>
        <v>3.7081461133524276</v>
      </c>
      <c r="AE148" s="406">
        <f t="shared" si="111"/>
        <v>8.2502085587824292E-2</v>
      </c>
      <c r="AF148" s="406">
        <f t="shared" si="127"/>
        <v>6.0047999999999997E-2</v>
      </c>
      <c r="AG148" s="406">
        <f t="shared" si="112"/>
        <v>0.14445696574002281</v>
      </c>
      <c r="AH148" s="406">
        <f t="shared" si="113"/>
        <v>0</v>
      </c>
      <c r="AI148">
        <f t="shared" si="128"/>
        <v>0</v>
      </c>
      <c r="AJ148" s="407">
        <f t="shared" si="129"/>
        <v>0.35962469999999996</v>
      </c>
      <c r="AK148">
        <f t="shared" si="134"/>
        <v>4.8000000000000001E-2</v>
      </c>
      <c r="AL148" s="407">
        <f t="shared" si="130"/>
        <v>0.1215</v>
      </c>
      <c r="AM148" s="407">
        <f t="shared" si="135"/>
        <v>0.31645971316818772</v>
      </c>
      <c r="AN148" s="407">
        <f t="shared" si="114"/>
        <v>0.16949999999999998</v>
      </c>
      <c r="AO148" s="407">
        <f t="shared" si="115"/>
        <v>1.718948478891632</v>
      </c>
      <c r="AP148">
        <f t="shared" si="131"/>
        <v>21.266999999999999</v>
      </c>
      <c r="AQ148" s="10">
        <f t="shared" si="116"/>
        <v>0.92521742226690484</v>
      </c>
      <c r="AR148" s="63">
        <f t="shared" si="117"/>
        <v>23.999936349161366</v>
      </c>
      <c r="AS148" s="63">
        <f t="shared" si="118"/>
        <v>5.7782786296009121</v>
      </c>
      <c r="AT148" s="10"/>
      <c r="AU148">
        <f t="shared" si="119"/>
        <v>92.521742226690478</v>
      </c>
    </row>
    <row r="149" spans="7:47" x14ac:dyDescent="0.25">
      <c r="G149">
        <v>140</v>
      </c>
      <c r="H149">
        <f t="shared" si="120"/>
        <v>4.1999999999999993</v>
      </c>
      <c r="I149" s="406">
        <f t="shared" si="97"/>
        <v>0.21704999999999997</v>
      </c>
      <c r="J149" s="407">
        <f t="shared" si="121"/>
        <v>1.4393842105263155</v>
      </c>
      <c r="K149" s="407">
        <f t="shared" si="132"/>
        <v>4.9196921052631568</v>
      </c>
      <c r="L149" s="407">
        <f t="shared" si="98"/>
        <v>3.4803078947368418</v>
      </c>
      <c r="M149" s="63">
        <f t="shared" si="122"/>
        <v>0</v>
      </c>
      <c r="N149" s="406">
        <f t="shared" si="99"/>
        <v>4.2205037900854956</v>
      </c>
      <c r="O149" s="406">
        <f t="shared" si="100"/>
        <v>0.36670420398048886</v>
      </c>
      <c r="P149">
        <f t="shared" si="123"/>
        <v>0.2</v>
      </c>
      <c r="Q149" s="406">
        <f t="shared" si="133"/>
        <v>0.56670420398048882</v>
      </c>
      <c r="R149" s="9">
        <f t="shared" si="101"/>
        <v>0.41551443070733263</v>
      </c>
      <c r="S149" s="9">
        <f t="shared" si="102"/>
        <v>1.7265224212603873E-4</v>
      </c>
      <c r="T149" s="9">
        <f t="shared" si="103"/>
        <v>1.7265224212603873E-4</v>
      </c>
      <c r="U149" s="406">
        <f t="shared" si="104"/>
        <v>1.966274693208824</v>
      </c>
      <c r="V149" s="408">
        <f t="shared" si="105"/>
        <v>3.866236169153455E-3</v>
      </c>
      <c r="W149" s="406">
        <f t="shared" si="106"/>
        <v>3.866236169153455E-3</v>
      </c>
      <c r="X149" s="406">
        <f t="shared" si="107"/>
        <v>1.966274693208824</v>
      </c>
      <c r="Y149" s="406">
        <f t="shared" si="108"/>
        <v>2.3197417014920729E-2</v>
      </c>
      <c r="Z149" s="406">
        <f t="shared" si="124"/>
        <v>0.31318468871011723</v>
      </c>
      <c r="AA149" s="406">
        <f t="shared" si="125"/>
        <v>0.14400000000000002</v>
      </c>
      <c r="AB149" s="406">
        <f t="shared" si="126"/>
        <v>0</v>
      </c>
      <c r="AC149" s="406">
        <f t="shared" si="109"/>
        <v>0.48262121885986631</v>
      </c>
      <c r="AD149" s="406">
        <f t="shared" si="110"/>
        <v>3.7344900686670166</v>
      </c>
      <c r="AE149" s="406">
        <f t="shared" si="111"/>
        <v>8.3678496437835467E-2</v>
      </c>
      <c r="AF149" s="406">
        <f t="shared" si="127"/>
        <v>6.0479999999999985E-2</v>
      </c>
      <c r="AG149" s="406">
        <f t="shared" si="112"/>
        <v>0.14611476262079212</v>
      </c>
      <c r="AH149" s="406">
        <f t="shared" si="113"/>
        <v>0</v>
      </c>
      <c r="AI149">
        <f t="shared" si="128"/>
        <v>0</v>
      </c>
      <c r="AJ149" s="407">
        <f t="shared" si="129"/>
        <v>0.35962199999999994</v>
      </c>
      <c r="AK149">
        <f t="shared" si="134"/>
        <v>4.8000000000000001E-2</v>
      </c>
      <c r="AL149" s="407">
        <f t="shared" si="130"/>
        <v>0.1215</v>
      </c>
      <c r="AM149" s="407">
        <f t="shared" si="135"/>
        <v>0.31645971316818772</v>
      </c>
      <c r="AN149" s="407">
        <f t="shared" si="114"/>
        <v>0.16949999999999998</v>
      </c>
      <c r="AO149" s="407">
        <f t="shared" si="115"/>
        <v>1.7286010738724267</v>
      </c>
      <c r="AP149">
        <f t="shared" si="131"/>
        <v>21.419999999999995</v>
      </c>
      <c r="AQ149" s="10">
        <f t="shared" si="116"/>
        <v>0.92532589471147442</v>
      </c>
      <c r="AR149" s="63">
        <f t="shared" si="117"/>
        <v>24.131060942993315</v>
      </c>
      <c r="AS149" s="63">
        <f t="shared" si="118"/>
        <v>5.8445905048316851</v>
      </c>
      <c r="AT149" s="10"/>
      <c r="AU149">
        <f t="shared" si="119"/>
        <v>92.532589471147446</v>
      </c>
    </row>
    <row r="150" spans="7:47" x14ac:dyDescent="0.25">
      <c r="G150">
        <v>141</v>
      </c>
      <c r="H150">
        <f t="shared" si="120"/>
        <v>4.2299999999999995</v>
      </c>
      <c r="I150" s="406">
        <f t="shared" si="97"/>
        <v>0.21708249999999998</v>
      </c>
      <c r="J150" s="407">
        <f t="shared" si="121"/>
        <v>1.439599736842105</v>
      </c>
      <c r="K150" s="407">
        <f t="shared" si="132"/>
        <v>4.949799868421052</v>
      </c>
      <c r="L150" s="407">
        <f t="shared" si="98"/>
        <v>3.5102001315789471</v>
      </c>
      <c r="M150" s="63">
        <f t="shared" si="122"/>
        <v>0</v>
      </c>
      <c r="N150" s="406">
        <f t="shared" si="99"/>
        <v>4.2503651549241024</v>
      </c>
      <c r="O150" s="406">
        <f t="shared" si="100"/>
        <v>0.37206665308004866</v>
      </c>
      <c r="P150">
        <f t="shared" si="123"/>
        <v>0.2</v>
      </c>
      <c r="Q150" s="406">
        <f t="shared" si="133"/>
        <v>0.57206665308004867</v>
      </c>
      <c r="R150" s="9">
        <f t="shared" si="101"/>
        <v>0.41557664779555187</v>
      </c>
      <c r="S150" s="9">
        <f t="shared" si="102"/>
        <v>1.7270395019298819E-4</v>
      </c>
      <c r="T150" s="9">
        <f t="shared" si="103"/>
        <v>1.7270395019298819E-4</v>
      </c>
      <c r="U150" s="406">
        <f t="shared" si="104"/>
        <v>1.9803349387206624</v>
      </c>
      <c r="V150" s="408">
        <f t="shared" si="105"/>
        <v>3.9217264695177697E-3</v>
      </c>
      <c r="W150" s="406">
        <f t="shared" si="106"/>
        <v>3.9217264695177697E-3</v>
      </c>
      <c r="X150" s="406">
        <f t="shared" si="107"/>
        <v>1.9803349387206624</v>
      </c>
      <c r="Y150" s="406">
        <f t="shared" si="108"/>
        <v>2.353035881710662E-2</v>
      </c>
      <c r="Z150" s="406">
        <f t="shared" si="124"/>
        <v>0.31543278637364136</v>
      </c>
      <c r="AA150" s="406">
        <f t="shared" si="125"/>
        <v>0.14400000000000002</v>
      </c>
      <c r="AB150" s="406">
        <f t="shared" si="126"/>
        <v>0</v>
      </c>
      <c r="AC150" s="406">
        <f t="shared" si="109"/>
        <v>0.48524675122497979</v>
      </c>
      <c r="AD150" s="406">
        <f t="shared" si="110"/>
        <v>3.7608346787216291</v>
      </c>
      <c r="AE150" s="406">
        <f t="shared" si="111"/>
        <v>8.4863264884051312E-2</v>
      </c>
      <c r="AF150" s="406">
        <f t="shared" si="127"/>
        <v>6.0911999999999994E-2</v>
      </c>
      <c r="AG150" s="406">
        <f t="shared" si="112"/>
        <v>0.14778186513460767</v>
      </c>
      <c r="AH150" s="406">
        <f t="shared" si="113"/>
        <v>0</v>
      </c>
      <c r="AI150">
        <f t="shared" si="128"/>
        <v>0</v>
      </c>
      <c r="AJ150" s="407">
        <f t="shared" si="129"/>
        <v>0.35961930000000003</v>
      </c>
      <c r="AK150">
        <f t="shared" si="134"/>
        <v>4.8000000000000001E-2</v>
      </c>
      <c r="AL150" s="407">
        <f t="shared" si="130"/>
        <v>0.1215</v>
      </c>
      <c r="AM150" s="407">
        <f t="shared" si="135"/>
        <v>0.31645971316818772</v>
      </c>
      <c r="AN150" s="407">
        <f t="shared" si="114"/>
        <v>0.16949999999999998</v>
      </c>
      <c r="AO150" s="407">
        <f t="shared" si="115"/>
        <v>1.7383089998593468</v>
      </c>
      <c r="AP150">
        <f t="shared" si="131"/>
        <v>21.572999999999997</v>
      </c>
      <c r="AQ150" s="10">
        <f t="shared" si="116"/>
        <v>0.92543065685973125</v>
      </c>
      <c r="AR150" s="63">
        <f t="shared" si="117"/>
        <v>24.262337561248991</v>
      </c>
      <c r="AS150" s="63">
        <f t="shared" si="118"/>
        <v>5.9112746053843068</v>
      </c>
      <c r="AT150" s="10"/>
      <c r="AU150">
        <f t="shared" si="119"/>
        <v>92.543065685973119</v>
      </c>
    </row>
    <row r="151" spans="7:47" x14ac:dyDescent="0.25">
      <c r="G151">
        <v>142</v>
      </c>
      <c r="H151">
        <f t="shared" si="120"/>
        <v>4.26</v>
      </c>
      <c r="I151" s="406">
        <f t="shared" si="97"/>
        <v>0.21711499999999997</v>
      </c>
      <c r="J151" s="407">
        <f t="shared" si="121"/>
        <v>1.4398152631578942</v>
      </c>
      <c r="K151" s="407">
        <f t="shared" si="132"/>
        <v>4.9799076315789472</v>
      </c>
      <c r="L151" s="407">
        <f t="shared" si="98"/>
        <v>3.5400923684210528</v>
      </c>
      <c r="M151" s="63">
        <f t="shared" si="122"/>
        <v>0</v>
      </c>
      <c r="N151" s="406">
        <f t="shared" si="99"/>
        <v>4.280228459557021</v>
      </c>
      <c r="O151" s="406">
        <f t="shared" si="100"/>
        <v>0.37747178097003781</v>
      </c>
      <c r="P151">
        <f t="shared" si="123"/>
        <v>0.2</v>
      </c>
      <c r="Q151" s="406">
        <f t="shared" si="133"/>
        <v>0.57747178097003782</v>
      </c>
      <c r="R151" s="9">
        <f t="shared" si="101"/>
        <v>0.41563886488377105</v>
      </c>
      <c r="S151" s="9">
        <f t="shared" si="102"/>
        <v>1.727556660018697E-4</v>
      </c>
      <c r="T151" s="9">
        <f t="shared" si="103"/>
        <v>1.727556660018697E-4</v>
      </c>
      <c r="U151" s="406">
        <f t="shared" si="104"/>
        <v>1.9943981599530209</v>
      </c>
      <c r="V151" s="408">
        <f t="shared" si="105"/>
        <v>3.9776240204239957E-3</v>
      </c>
      <c r="W151" s="406">
        <f t="shared" si="106"/>
        <v>3.9776240204239957E-3</v>
      </c>
      <c r="X151" s="406">
        <f t="shared" si="107"/>
        <v>1.9943981599530209</v>
      </c>
      <c r="Y151" s="406">
        <f t="shared" si="108"/>
        <v>2.3865744122543976E-2</v>
      </c>
      <c r="Z151" s="406">
        <f t="shared" si="124"/>
        <v>0.31768088403716549</v>
      </c>
      <c r="AA151" s="406">
        <f t="shared" si="125"/>
        <v>0.14400000000000002</v>
      </c>
      <c r="AB151" s="406">
        <f t="shared" si="126"/>
        <v>0</v>
      </c>
      <c r="AC151" s="406">
        <f t="shared" si="109"/>
        <v>0.48787532971625147</v>
      </c>
      <c r="AD151" s="406">
        <f t="shared" si="110"/>
        <v>3.7871799066822631</v>
      </c>
      <c r="AE151" s="406">
        <f t="shared" si="111"/>
        <v>8.6056389873467254E-2</v>
      </c>
      <c r="AF151" s="406">
        <f t="shared" si="127"/>
        <v>6.1343999999999996E-2</v>
      </c>
      <c r="AG151" s="406">
        <f t="shared" si="112"/>
        <v>0.14945828433532005</v>
      </c>
      <c r="AH151" s="406">
        <f t="shared" si="113"/>
        <v>0</v>
      </c>
      <c r="AI151">
        <f t="shared" si="128"/>
        <v>0</v>
      </c>
      <c r="AJ151" s="407">
        <f t="shared" si="129"/>
        <v>0.35961660000000001</v>
      </c>
      <c r="AK151">
        <f t="shared" si="134"/>
        <v>4.8000000000000001E-2</v>
      </c>
      <c r="AL151" s="407">
        <f t="shared" si="130"/>
        <v>0.1215</v>
      </c>
      <c r="AM151" s="407">
        <f t="shared" si="135"/>
        <v>0.31645971316818772</v>
      </c>
      <c r="AN151" s="407">
        <f t="shared" si="114"/>
        <v>0.16949999999999998</v>
      </c>
      <c r="AO151" s="407">
        <f t="shared" si="115"/>
        <v>1.7480723747080351</v>
      </c>
      <c r="AP151">
        <f t="shared" si="131"/>
        <v>21.725999999999999</v>
      </c>
      <c r="AQ151" s="10">
        <f t="shared" si="116"/>
        <v>0.9255317804765959</v>
      </c>
      <c r="AR151" s="63">
        <f t="shared" si="117"/>
        <v>24.393766485812574</v>
      </c>
      <c r="AS151" s="63">
        <f t="shared" si="118"/>
        <v>5.9783313734128019</v>
      </c>
      <c r="AT151" s="10"/>
      <c r="AU151">
        <f t="shared" si="119"/>
        <v>92.553178047659586</v>
      </c>
    </row>
    <row r="152" spans="7:47" x14ac:dyDescent="0.25">
      <c r="G152">
        <v>143</v>
      </c>
      <c r="H152">
        <f t="shared" si="120"/>
        <v>4.29</v>
      </c>
      <c r="I152" s="406">
        <f t="shared" si="97"/>
        <v>0.21714749999999997</v>
      </c>
      <c r="J152" s="407">
        <f t="shared" si="121"/>
        <v>1.4400307894736837</v>
      </c>
      <c r="K152" s="407">
        <f t="shared" si="132"/>
        <v>5.0100153947368415</v>
      </c>
      <c r="L152" s="407">
        <f t="shared" si="98"/>
        <v>3.5699846052631581</v>
      </c>
      <c r="M152" s="63">
        <f t="shared" si="122"/>
        <v>0</v>
      </c>
      <c r="N152" s="406">
        <f t="shared" si="99"/>
        <v>4.3100936636635501</v>
      </c>
      <c r="O152" s="406">
        <f t="shared" si="100"/>
        <v>0.38291968956824662</v>
      </c>
      <c r="P152">
        <f t="shared" si="123"/>
        <v>0.2</v>
      </c>
      <c r="Q152" s="406">
        <f t="shared" si="133"/>
        <v>0.58291968956824669</v>
      </c>
      <c r="R152" s="9">
        <f t="shared" si="101"/>
        <v>0.41570108197199029</v>
      </c>
      <c r="S152" s="9">
        <f t="shared" si="102"/>
        <v>1.7280738955268341E-4</v>
      </c>
      <c r="T152" s="9">
        <f t="shared" si="103"/>
        <v>1.7280738955268341E-4</v>
      </c>
      <c r="U152" s="406">
        <f t="shared" si="104"/>
        <v>2.008464338088404</v>
      </c>
      <c r="V152" s="408">
        <f t="shared" si="105"/>
        <v>4.0339289973728909E-3</v>
      </c>
      <c r="W152" s="406">
        <f t="shared" si="106"/>
        <v>4.0339289973728909E-3</v>
      </c>
      <c r="X152" s="406">
        <f t="shared" si="107"/>
        <v>2.008464338088404</v>
      </c>
      <c r="Y152" s="406">
        <f t="shared" si="108"/>
        <v>2.4203573984237343E-2</v>
      </c>
      <c r="Z152" s="406">
        <f t="shared" si="124"/>
        <v>0.31992898170068956</v>
      </c>
      <c r="AA152" s="406">
        <f t="shared" si="125"/>
        <v>0.14400000000000002</v>
      </c>
      <c r="AB152" s="406">
        <f t="shared" si="126"/>
        <v>0</v>
      </c>
      <c r="AC152" s="406">
        <f t="shared" si="109"/>
        <v>0.49050695998407851</v>
      </c>
      <c r="AD152" s="406">
        <f t="shared" si="110"/>
        <v>3.8135257167324559</v>
      </c>
      <c r="AE152" s="406">
        <f t="shared" si="111"/>
        <v>8.7257870353078748E-2</v>
      </c>
      <c r="AF152" s="406">
        <f t="shared" si="127"/>
        <v>6.1775999999999998E-2</v>
      </c>
      <c r="AG152" s="406">
        <f t="shared" si="112"/>
        <v>0.15114403135996668</v>
      </c>
      <c r="AH152" s="406">
        <f t="shared" si="113"/>
        <v>0</v>
      </c>
      <c r="AI152">
        <f t="shared" si="128"/>
        <v>0</v>
      </c>
      <c r="AJ152" s="407">
        <f t="shared" si="129"/>
        <v>0.35961389999999999</v>
      </c>
      <c r="AK152">
        <f t="shared" si="134"/>
        <v>4.8000000000000001E-2</v>
      </c>
      <c r="AL152" s="407">
        <f t="shared" si="130"/>
        <v>0.1215</v>
      </c>
      <c r="AM152" s="407">
        <f t="shared" si="135"/>
        <v>0.31645971316818772</v>
      </c>
      <c r="AN152" s="407">
        <f t="shared" si="114"/>
        <v>0.16949999999999998</v>
      </c>
      <c r="AO152" s="407">
        <f t="shared" si="115"/>
        <v>1.7578913172992177</v>
      </c>
      <c r="AP152">
        <f t="shared" si="131"/>
        <v>21.878999999999998</v>
      </c>
      <c r="AQ152" s="10">
        <f t="shared" si="116"/>
        <v>0.92562933535965175</v>
      </c>
      <c r="AR152" s="63">
        <f t="shared" si="117"/>
        <v>24.525347999203927</v>
      </c>
      <c r="AS152" s="63">
        <f t="shared" si="118"/>
        <v>6.0457612543986672</v>
      </c>
      <c r="AT152" s="10"/>
      <c r="AU152">
        <f t="shared" si="119"/>
        <v>92.562933535965172</v>
      </c>
    </row>
    <row r="153" spans="7:47" x14ac:dyDescent="0.25">
      <c r="G153">
        <v>144</v>
      </c>
      <c r="H153">
        <f t="shared" si="120"/>
        <v>4.32</v>
      </c>
      <c r="I153" s="406">
        <f t="shared" si="97"/>
        <v>0.21718000000000001</v>
      </c>
      <c r="J153" s="407">
        <f t="shared" si="121"/>
        <v>1.4402463157894736</v>
      </c>
      <c r="K153" s="407">
        <f t="shared" si="132"/>
        <v>5.0401231578947367</v>
      </c>
      <c r="L153" s="407">
        <f t="shared" si="98"/>
        <v>3.5998768421052634</v>
      </c>
      <c r="M153" s="63">
        <f t="shared" si="122"/>
        <v>0</v>
      </c>
      <c r="N153" s="406">
        <f t="shared" si="99"/>
        <v>4.3399607280303165</v>
      </c>
      <c r="O153" s="406">
        <f t="shared" si="100"/>
        <v>0.38841048172662618</v>
      </c>
      <c r="P153">
        <f t="shared" si="123"/>
        <v>0.2</v>
      </c>
      <c r="Q153" s="406">
        <f t="shared" si="133"/>
        <v>0.58841048172662624</v>
      </c>
      <c r="R153" s="9">
        <f t="shared" si="101"/>
        <v>0.4157632990602097</v>
      </c>
      <c r="S153" s="9">
        <f t="shared" si="102"/>
        <v>1.7285912084542937E-4</v>
      </c>
      <c r="T153" s="9">
        <f t="shared" si="103"/>
        <v>1.7285912084542937E-4</v>
      </c>
      <c r="U153" s="406">
        <f t="shared" si="104"/>
        <v>2.0225334548197744</v>
      </c>
      <c r="V153" s="408">
        <f t="shared" si="105"/>
        <v>4.0906415758652122E-3</v>
      </c>
      <c r="W153" s="406">
        <f t="shared" si="106"/>
        <v>4.0906415758652122E-3</v>
      </c>
      <c r="X153" s="406">
        <f t="shared" si="107"/>
        <v>2.0225334548197744</v>
      </c>
      <c r="Y153" s="406">
        <f t="shared" si="108"/>
        <v>2.4543849455191273E-2</v>
      </c>
      <c r="Z153" s="406">
        <f t="shared" si="124"/>
        <v>0.32217707936421364</v>
      </c>
      <c r="AA153" s="406">
        <f t="shared" si="125"/>
        <v>0.14400000000000002</v>
      </c>
      <c r="AB153" s="406">
        <f t="shared" si="126"/>
        <v>0</v>
      </c>
      <c r="AC153" s="406">
        <f t="shared" si="109"/>
        <v>0.49314164769161051</v>
      </c>
      <c r="AD153" s="406">
        <f t="shared" si="110"/>
        <v>3.8398720740384338</v>
      </c>
      <c r="AE153" s="406">
        <f t="shared" si="111"/>
        <v>8.8467705269881333E-2</v>
      </c>
      <c r="AF153" s="406">
        <f t="shared" si="127"/>
        <v>6.2207999999999999E-2</v>
      </c>
      <c r="AG153" s="406">
        <f t="shared" si="112"/>
        <v>0.15283911742898795</v>
      </c>
      <c r="AH153" s="406">
        <f t="shared" si="113"/>
        <v>0</v>
      </c>
      <c r="AI153">
        <f t="shared" si="128"/>
        <v>0</v>
      </c>
      <c r="AJ153" s="407">
        <f t="shared" si="129"/>
        <v>0.35961120000000002</v>
      </c>
      <c r="AK153">
        <f t="shared" si="134"/>
        <v>4.8000000000000001E-2</v>
      </c>
      <c r="AL153" s="407">
        <f t="shared" si="130"/>
        <v>0.1215</v>
      </c>
      <c r="AM153" s="407">
        <f t="shared" si="135"/>
        <v>0.31645971316818772</v>
      </c>
      <c r="AN153" s="407">
        <f t="shared" si="114"/>
        <v>0.16949999999999998</v>
      </c>
      <c r="AO153" s="407">
        <f t="shared" si="115"/>
        <v>1.7677659475439356</v>
      </c>
      <c r="AP153">
        <f t="shared" si="131"/>
        <v>22.032</v>
      </c>
      <c r="AQ153" s="10">
        <f t="shared" si="116"/>
        <v>0.92572338940474486</v>
      </c>
      <c r="AR153" s="63">
        <f t="shared" si="117"/>
        <v>24.657082384580526</v>
      </c>
      <c r="AS153" s="63">
        <f t="shared" si="118"/>
        <v>6.1135646971595179</v>
      </c>
      <c r="AT153" s="10"/>
      <c r="AU153">
        <f t="shared" si="119"/>
        <v>92.572338940474481</v>
      </c>
    </row>
    <row r="154" spans="7:47" x14ac:dyDescent="0.25">
      <c r="G154">
        <v>145</v>
      </c>
      <c r="H154">
        <f t="shared" si="120"/>
        <v>4.3499999999999996</v>
      </c>
      <c r="I154" s="406">
        <f t="shared" si="97"/>
        <v>0.21721249999999995</v>
      </c>
      <c r="J154" s="407">
        <f t="shared" si="121"/>
        <v>1.4404618421052626</v>
      </c>
      <c r="K154" s="407">
        <f t="shared" si="132"/>
        <v>5.0702309210526311</v>
      </c>
      <c r="L154" s="407">
        <f t="shared" si="98"/>
        <v>3.6297690789473682</v>
      </c>
      <c r="M154" s="63">
        <f t="shared" si="122"/>
        <v>0</v>
      </c>
      <c r="N154" s="406">
        <f t="shared" si="99"/>
        <v>4.3698296145136029</v>
      </c>
      <c r="O154" s="406">
        <f t="shared" si="100"/>
        <v>0.39394426123632126</v>
      </c>
      <c r="P154">
        <f t="shared" si="123"/>
        <v>0.2</v>
      </c>
      <c r="Q154" s="406">
        <f t="shared" si="133"/>
        <v>0.59394426123632127</v>
      </c>
      <c r="R154" s="9">
        <f t="shared" si="101"/>
        <v>0.41582551614842883</v>
      </c>
      <c r="S154" s="9">
        <f t="shared" si="102"/>
        <v>1.7291085988010725E-4</v>
      </c>
      <c r="T154" s="9">
        <f t="shared" si="103"/>
        <v>1.7291085988010725E-4</v>
      </c>
      <c r="U154" s="406">
        <f t="shared" si="104"/>
        <v>2.0366054923331878</v>
      </c>
      <c r="V154" s="408">
        <f t="shared" si="105"/>
        <v>4.1477619314017064E-3</v>
      </c>
      <c r="W154" s="406">
        <f t="shared" si="106"/>
        <v>4.1477619314017064E-3</v>
      </c>
      <c r="X154" s="406">
        <f t="shared" si="107"/>
        <v>2.0366054923331878</v>
      </c>
      <c r="Y154" s="406">
        <f t="shared" si="108"/>
        <v>2.4886571588410237E-2</v>
      </c>
      <c r="Z154" s="406">
        <f t="shared" si="124"/>
        <v>0.32442517702773777</v>
      </c>
      <c r="AA154" s="406">
        <f t="shared" si="125"/>
        <v>0.14400000000000002</v>
      </c>
      <c r="AB154" s="406">
        <f t="shared" si="126"/>
        <v>0</v>
      </c>
      <c r="AC154" s="406">
        <f t="shared" si="109"/>
        <v>0.49577939851478742</v>
      </c>
      <c r="AD154" s="406">
        <f t="shared" si="110"/>
        <v>3.8662189447156763</v>
      </c>
      <c r="AE154" s="406">
        <f t="shared" si="111"/>
        <v>8.9685893570870381E-2</v>
      </c>
      <c r="AF154" s="406">
        <f t="shared" si="127"/>
        <v>6.2639999999999987E-2</v>
      </c>
      <c r="AG154" s="406">
        <f t="shared" si="112"/>
        <v>0.15454355384644416</v>
      </c>
      <c r="AH154" s="406">
        <f t="shared" si="113"/>
        <v>0</v>
      </c>
      <c r="AI154">
        <f t="shared" si="128"/>
        <v>0</v>
      </c>
      <c r="AJ154" s="407">
        <f t="shared" si="129"/>
        <v>0.3596085</v>
      </c>
      <c r="AK154">
        <f t="shared" si="134"/>
        <v>4.8000000000000001E-2</v>
      </c>
      <c r="AL154" s="407">
        <f t="shared" si="130"/>
        <v>0.1215</v>
      </c>
      <c r="AM154" s="407">
        <f t="shared" si="135"/>
        <v>0.31645971316818772</v>
      </c>
      <c r="AN154" s="407">
        <f t="shared" si="114"/>
        <v>0.16949999999999998</v>
      </c>
      <c r="AO154" s="407">
        <f t="shared" si="115"/>
        <v>1.7776963863888346</v>
      </c>
      <c r="AP154">
        <f t="shared" si="131"/>
        <v>22.184999999999995</v>
      </c>
      <c r="AQ154" s="10">
        <f t="shared" si="116"/>
        <v>0.92581400866896624</v>
      </c>
      <c r="AR154" s="63">
        <f t="shared" si="117"/>
        <v>24.788969925739369</v>
      </c>
      <c r="AS154" s="63">
        <f t="shared" si="118"/>
        <v>6.1817421538577664</v>
      </c>
      <c r="AT154" s="10"/>
      <c r="AU154">
        <f t="shared" si="119"/>
        <v>92.58140086689663</v>
      </c>
    </row>
    <row r="155" spans="7:47" x14ac:dyDescent="0.25">
      <c r="G155">
        <v>146</v>
      </c>
      <c r="H155">
        <f t="shared" si="120"/>
        <v>4.38</v>
      </c>
      <c r="I155" s="406">
        <f t="shared" si="97"/>
        <v>0.21724499999999999</v>
      </c>
      <c r="J155" s="407">
        <f t="shared" si="121"/>
        <v>1.4406773684210523</v>
      </c>
      <c r="K155" s="407">
        <f t="shared" si="132"/>
        <v>5.1003386842105263</v>
      </c>
      <c r="L155" s="407">
        <f t="shared" si="98"/>
        <v>3.6596613157894735</v>
      </c>
      <c r="M155" s="63">
        <f t="shared" si="122"/>
        <v>0</v>
      </c>
      <c r="N155" s="406">
        <f t="shared" si="99"/>
        <v>4.3997002860032088</v>
      </c>
      <c r="O155" s="406">
        <f t="shared" si="100"/>
        <v>0.39952113283275997</v>
      </c>
      <c r="P155">
        <f t="shared" si="123"/>
        <v>0.2</v>
      </c>
      <c r="Q155" s="406">
        <f t="shared" si="133"/>
        <v>0.59952113283275998</v>
      </c>
      <c r="R155" s="9">
        <f t="shared" si="101"/>
        <v>0.41588773323664813</v>
      </c>
      <c r="S155" s="9">
        <f t="shared" si="102"/>
        <v>1.729626066567174E-4</v>
      </c>
      <c r="T155" s="9">
        <f t="shared" si="103"/>
        <v>1.729626066567174E-4</v>
      </c>
      <c r="U155" s="406">
        <f t="shared" si="104"/>
        <v>2.0506804332911401</v>
      </c>
      <c r="V155" s="408">
        <f t="shared" si="105"/>
        <v>4.2052902394831377E-3</v>
      </c>
      <c r="W155" s="406">
        <f t="shared" si="106"/>
        <v>4.2052902394831377E-3</v>
      </c>
      <c r="X155" s="406">
        <f t="shared" si="107"/>
        <v>2.0506804332911401</v>
      </c>
      <c r="Y155" s="406">
        <f t="shared" si="108"/>
        <v>2.5231741436898828E-2</v>
      </c>
      <c r="Z155" s="406">
        <f t="shared" si="124"/>
        <v>0.32667327469126184</v>
      </c>
      <c r="AA155" s="406">
        <f t="shared" si="125"/>
        <v>0.14400000000000002</v>
      </c>
      <c r="AB155" s="406">
        <f t="shared" si="126"/>
        <v>0</v>
      </c>
      <c r="AC155" s="406">
        <f t="shared" si="109"/>
        <v>0.49842021814237897</v>
      </c>
      <c r="AD155" s="406">
        <f t="shared" si="110"/>
        <v>3.8925662957968457</v>
      </c>
      <c r="AE155" s="406">
        <f t="shared" si="111"/>
        <v>9.0912434203041459E-2</v>
      </c>
      <c r="AF155" s="406">
        <f t="shared" si="127"/>
        <v>6.3072000000000003E-2</v>
      </c>
      <c r="AG155" s="406">
        <f t="shared" si="112"/>
        <v>0.15625735200023555</v>
      </c>
      <c r="AH155" s="406">
        <f t="shared" si="113"/>
        <v>0</v>
      </c>
      <c r="AI155">
        <f t="shared" si="128"/>
        <v>0</v>
      </c>
      <c r="AJ155" s="407">
        <f t="shared" si="129"/>
        <v>0.35960579999999998</v>
      </c>
      <c r="AK155">
        <f t="shared" si="134"/>
        <v>4.8000000000000001E-2</v>
      </c>
      <c r="AL155" s="407">
        <f t="shared" si="130"/>
        <v>0.1215</v>
      </c>
      <c r="AM155" s="407">
        <f t="shared" si="135"/>
        <v>0.31645971316818772</v>
      </c>
      <c r="AN155" s="407">
        <f t="shared" si="114"/>
        <v>0.16949999999999998</v>
      </c>
      <c r="AO155" s="407">
        <f t="shared" si="115"/>
        <v>1.7876827558215143</v>
      </c>
      <c r="AP155">
        <f t="shared" si="131"/>
        <v>22.337999999999997</v>
      </c>
      <c r="AQ155" s="10">
        <f t="shared" si="116"/>
        <v>0.92590125743114371</v>
      </c>
      <c r="AR155" s="63">
        <f t="shared" si="117"/>
        <v>24.921010907118948</v>
      </c>
      <c r="AS155" s="63">
        <f t="shared" si="118"/>
        <v>6.2502940800094215</v>
      </c>
      <c r="AT155" s="10"/>
      <c r="AU155">
        <f t="shared" si="119"/>
        <v>92.59012574311437</v>
      </c>
    </row>
    <row r="156" spans="7:47" x14ac:dyDescent="0.25">
      <c r="G156">
        <v>147</v>
      </c>
      <c r="H156">
        <f t="shared" si="120"/>
        <v>4.41</v>
      </c>
      <c r="I156" s="406">
        <f t="shared" si="97"/>
        <v>0.21727749999999998</v>
      </c>
      <c r="J156" s="407">
        <f t="shared" si="121"/>
        <v>1.4408928947368418</v>
      </c>
      <c r="K156" s="407">
        <f t="shared" si="132"/>
        <v>5.1304464473684206</v>
      </c>
      <c r="L156" s="407">
        <f t="shared" si="98"/>
        <v>3.6895535526315792</v>
      </c>
      <c r="M156" s="63">
        <f t="shared" si="122"/>
        <v>0</v>
      </c>
      <c r="N156" s="406">
        <f t="shared" si="99"/>
        <v>4.4295727063877459</v>
      </c>
      <c r="O156" s="406">
        <f t="shared" si="100"/>
        <v>0.40514120220079453</v>
      </c>
      <c r="P156">
        <f t="shared" si="123"/>
        <v>0.2</v>
      </c>
      <c r="Q156" s="406">
        <f t="shared" si="133"/>
        <v>0.60514120220079448</v>
      </c>
      <c r="R156" s="9">
        <f t="shared" si="101"/>
        <v>0.41594995032486737</v>
      </c>
      <c r="S156" s="9">
        <f t="shared" si="102"/>
        <v>1.7301436117525963E-4</v>
      </c>
      <c r="T156" s="9">
        <f t="shared" si="103"/>
        <v>1.7301436117525963E-4</v>
      </c>
      <c r="U156" s="406">
        <f t="shared" si="104"/>
        <v>2.0647582608165678</v>
      </c>
      <c r="V156" s="408">
        <f t="shared" si="105"/>
        <v>4.263226675610258E-3</v>
      </c>
      <c r="W156" s="406">
        <f t="shared" si="106"/>
        <v>4.263226675610258E-3</v>
      </c>
      <c r="X156" s="406">
        <f t="shared" si="107"/>
        <v>2.0647582608165678</v>
      </c>
      <c r="Y156" s="406">
        <f t="shared" si="108"/>
        <v>2.5579360053661546E-2</v>
      </c>
      <c r="Z156" s="406">
        <f t="shared" si="124"/>
        <v>0.32892137235478597</v>
      </c>
      <c r="AA156" s="406">
        <f t="shared" si="125"/>
        <v>0.14400000000000002</v>
      </c>
      <c r="AB156" s="406">
        <f t="shared" si="126"/>
        <v>0</v>
      </c>
      <c r="AC156" s="406">
        <f t="shared" si="109"/>
        <v>0.50106411227602288</v>
      </c>
      <c r="AD156" s="406">
        <f t="shared" si="110"/>
        <v>3.9189140952009911</v>
      </c>
      <c r="AE156" s="406">
        <f t="shared" si="111"/>
        <v>9.2147326113390007E-2</v>
      </c>
      <c r="AF156" s="406">
        <f t="shared" si="127"/>
        <v>6.3504000000000005E-2</v>
      </c>
      <c r="AG156" s="406">
        <f t="shared" si="112"/>
        <v>0.15798052336232313</v>
      </c>
      <c r="AH156" s="406">
        <f t="shared" si="113"/>
        <v>0</v>
      </c>
      <c r="AI156">
        <f t="shared" si="128"/>
        <v>0</v>
      </c>
      <c r="AJ156" s="407">
        <f t="shared" si="129"/>
        <v>0.35960310000000001</v>
      </c>
      <c r="AK156">
        <f t="shared" si="134"/>
        <v>4.8000000000000001E-2</v>
      </c>
      <c r="AL156" s="407">
        <f t="shared" si="130"/>
        <v>0.1215</v>
      </c>
      <c r="AM156" s="407">
        <f t="shared" si="135"/>
        <v>0.31645971316818772</v>
      </c>
      <c r="AN156" s="407">
        <f t="shared" si="114"/>
        <v>0.16949999999999998</v>
      </c>
      <c r="AO156" s="407">
        <f t="shared" si="115"/>
        <v>1.7977251788759259</v>
      </c>
      <c r="AP156">
        <f t="shared" si="131"/>
        <v>22.491</v>
      </c>
      <c r="AQ156" s="10">
        <f t="shared" si="116"/>
        <v>0.92598519824995096</v>
      </c>
      <c r="AR156" s="63">
        <f t="shared" si="117"/>
        <v>25.053205613801143</v>
      </c>
      <c r="AS156" s="63">
        <f t="shared" si="118"/>
        <v>6.3192209344929253</v>
      </c>
      <c r="AT156" s="10"/>
      <c r="AU156">
        <f t="shared" si="119"/>
        <v>92.598519824995094</v>
      </c>
    </row>
    <row r="157" spans="7:47" x14ac:dyDescent="0.25">
      <c r="G157">
        <v>148</v>
      </c>
      <c r="H157">
        <f t="shared" si="120"/>
        <v>4.4399999999999995</v>
      </c>
      <c r="I157" s="406">
        <f t="shared" si="97"/>
        <v>0.21730999999999998</v>
      </c>
      <c r="J157" s="407">
        <f t="shared" si="121"/>
        <v>1.4411084210526313</v>
      </c>
      <c r="K157" s="407">
        <f t="shared" si="132"/>
        <v>5.1605542105263149</v>
      </c>
      <c r="L157" s="407">
        <f t="shared" si="98"/>
        <v>3.7194457894736841</v>
      </c>
      <c r="M157" s="63">
        <f t="shared" si="122"/>
        <v>0</v>
      </c>
      <c r="N157" s="406">
        <f t="shared" si="99"/>
        <v>4.4594468405213368</v>
      </c>
      <c r="O157" s="406">
        <f t="shared" si="100"/>
        <v>0.41080457597990172</v>
      </c>
      <c r="P157">
        <f t="shared" si="123"/>
        <v>0.2</v>
      </c>
      <c r="Q157" s="406">
        <f t="shared" si="133"/>
        <v>0.61080457597990168</v>
      </c>
      <c r="R157" s="9">
        <f t="shared" si="101"/>
        <v>0.41601216741308661</v>
      </c>
      <c r="S157" s="9">
        <f t="shared" si="102"/>
        <v>1.73066123435734E-4</v>
      </c>
      <c r="T157" s="9">
        <f t="shared" si="103"/>
        <v>1.73066123435734E-4</v>
      </c>
      <c r="U157" s="406">
        <f t="shared" si="104"/>
        <v>2.0788389584775002</v>
      </c>
      <c r="V157" s="408">
        <f t="shared" si="105"/>
        <v>4.3215714152838175E-3</v>
      </c>
      <c r="W157" s="406">
        <f t="shared" si="106"/>
        <v>4.3215714152838175E-3</v>
      </c>
      <c r="X157" s="406">
        <f t="shared" si="107"/>
        <v>2.0788389584775002</v>
      </c>
      <c r="Y157" s="406">
        <f t="shared" si="108"/>
        <v>2.5929428491702905E-2</v>
      </c>
      <c r="Z157" s="406">
        <f t="shared" si="124"/>
        <v>0.33116947001830999</v>
      </c>
      <c r="AA157" s="406">
        <f t="shared" si="125"/>
        <v>0.14400000000000002</v>
      </c>
      <c r="AB157" s="406">
        <f t="shared" si="126"/>
        <v>0</v>
      </c>
      <c r="AC157" s="406">
        <f t="shared" si="109"/>
        <v>0.50371108663026432</v>
      </c>
      <c r="AD157" s="406">
        <f t="shared" si="110"/>
        <v>3.9452623117039907</v>
      </c>
      <c r="AE157" s="406">
        <f t="shared" si="111"/>
        <v>9.3390568248911496E-2</v>
      </c>
      <c r="AF157" s="406">
        <f t="shared" si="127"/>
        <v>6.3935999999999993E-2</v>
      </c>
      <c r="AG157" s="406">
        <f t="shared" si="112"/>
        <v>0.15971307948895258</v>
      </c>
      <c r="AH157" s="406">
        <f t="shared" si="113"/>
        <v>0</v>
      </c>
      <c r="AI157">
        <f t="shared" si="128"/>
        <v>0</v>
      </c>
      <c r="AJ157" s="407">
        <f t="shared" si="129"/>
        <v>0.35960039999999999</v>
      </c>
      <c r="AK157">
        <f t="shared" si="134"/>
        <v>4.8000000000000001E-2</v>
      </c>
      <c r="AL157" s="407">
        <f t="shared" si="130"/>
        <v>0.1215</v>
      </c>
      <c r="AM157" s="407">
        <f t="shared" si="135"/>
        <v>0.31645971316818772</v>
      </c>
      <c r="AN157" s="407">
        <f t="shared" si="114"/>
        <v>0.16949999999999998</v>
      </c>
      <c r="AO157" s="407">
        <f t="shared" si="115"/>
        <v>1.807823779637838</v>
      </c>
      <c r="AP157">
        <f t="shared" si="131"/>
        <v>22.643999999999995</v>
      </c>
      <c r="AQ157" s="10">
        <f t="shared" si="116"/>
        <v>0.92606589201974787</v>
      </c>
      <c r="AR157" s="63">
        <f t="shared" si="117"/>
        <v>25.185554331513217</v>
      </c>
      <c r="AS157" s="63">
        <f t="shared" si="118"/>
        <v>6.3885231795581028</v>
      </c>
      <c r="AT157" s="10"/>
      <c r="AU157">
        <f t="shared" si="119"/>
        <v>92.606589201974785</v>
      </c>
    </row>
    <row r="158" spans="7:47" x14ac:dyDescent="0.25">
      <c r="G158">
        <v>149</v>
      </c>
      <c r="H158">
        <f t="shared" si="120"/>
        <v>4.47</v>
      </c>
      <c r="I158" s="406">
        <f t="shared" si="97"/>
        <v>0.21734249999999999</v>
      </c>
      <c r="J158" s="407">
        <f t="shared" si="121"/>
        <v>1.4413239473684207</v>
      </c>
      <c r="K158" s="407">
        <f t="shared" si="132"/>
        <v>5.1906619736842101</v>
      </c>
      <c r="L158" s="407">
        <f t="shared" si="98"/>
        <v>3.7493380263157894</v>
      </c>
      <c r="M158" s="63">
        <f t="shared" si="122"/>
        <v>0</v>
      </c>
      <c r="N158" s="406">
        <f t="shared" si="99"/>
        <v>4.4893226541916249</v>
      </c>
      <c r="O158" s="406">
        <f t="shared" si="100"/>
        <v>0.41651136176943715</v>
      </c>
      <c r="P158">
        <f t="shared" si="123"/>
        <v>0.2</v>
      </c>
      <c r="Q158" s="406">
        <f t="shared" si="133"/>
        <v>0.61651136176943711</v>
      </c>
      <c r="R158" s="9">
        <f t="shared" si="101"/>
        <v>0.41607438450130591</v>
      </c>
      <c r="S158" s="9">
        <f t="shared" si="102"/>
        <v>1.7311789343814056E-4</v>
      </c>
      <c r="T158" s="9">
        <f t="shared" si="103"/>
        <v>1.7311789343814056E-4</v>
      </c>
      <c r="U158" s="406">
        <f t="shared" si="104"/>
        <v>2.092922510272317</v>
      </c>
      <c r="V158" s="408">
        <f t="shared" si="105"/>
        <v>4.3803246340045768E-3</v>
      </c>
      <c r="W158" s="406">
        <f t="shared" si="106"/>
        <v>4.3803246340045768E-3</v>
      </c>
      <c r="X158" s="406">
        <f t="shared" si="107"/>
        <v>2.092922510272317</v>
      </c>
      <c r="Y158" s="406">
        <f t="shared" si="108"/>
        <v>2.6281947804027463E-2</v>
      </c>
      <c r="Z158" s="406">
        <f t="shared" si="124"/>
        <v>0.33341756768183417</v>
      </c>
      <c r="AA158" s="406">
        <f t="shared" si="125"/>
        <v>0.14400000000000002</v>
      </c>
      <c r="AB158" s="406">
        <f t="shared" si="126"/>
        <v>0</v>
      </c>
      <c r="AC158" s="406">
        <f t="shared" si="109"/>
        <v>0.50636114693259571</v>
      </c>
      <c r="AD158" s="406">
        <f t="shared" si="110"/>
        <v>3.971610914910165</v>
      </c>
      <c r="AE158" s="406">
        <f t="shared" si="111"/>
        <v>9.4642159556601352E-2</v>
      </c>
      <c r="AF158" s="406">
        <f t="shared" si="127"/>
        <v>6.4367999999999995E-2</v>
      </c>
      <c r="AG158" s="406">
        <f t="shared" si="112"/>
        <v>0.16145503202087916</v>
      </c>
      <c r="AH158" s="406">
        <f t="shared" si="113"/>
        <v>0</v>
      </c>
      <c r="AI158">
        <f t="shared" si="128"/>
        <v>0</v>
      </c>
      <c r="AJ158" s="407">
        <f t="shared" si="129"/>
        <v>0.35959769999999996</v>
      </c>
      <c r="AK158">
        <f t="shared" si="134"/>
        <v>4.8000000000000001E-2</v>
      </c>
      <c r="AL158" s="407">
        <f t="shared" si="130"/>
        <v>0.1215</v>
      </c>
      <c r="AM158" s="407">
        <f t="shared" si="135"/>
        <v>0.31645971316818772</v>
      </c>
      <c r="AN158" s="407">
        <f t="shared" si="114"/>
        <v>0.16949999999999998</v>
      </c>
      <c r="AO158" s="407">
        <f t="shared" si="115"/>
        <v>1.8179786832503546</v>
      </c>
      <c r="AP158">
        <f t="shared" si="131"/>
        <v>22.796999999999997</v>
      </c>
      <c r="AQ158" s="10">
        <f t="shared" si="116"/>
        <v>0.9261433980242515</v>
      </c>
      <c r="AR158" s="63">
        <f t="shared" si="117"/>
        <v>25.318057346629786</v>
      </c>
      <c r="AS158" s="63">
        <f t="shared" si="118"/>
        <v>6.4582012808351665</v>
      </c>
      <c r="AT158" s="10"/>
      <c r="AU158">
        <f t="shared" si="119"/>
        <v>92.61433980242515</v>
      </c>
    </row>
    <row r="159" spans="7:47" x14ac:dyDescent="0.25">
      <c r="G159">
        <v>150</v>
      </c>
      <c r="H159">
        <f t="shared" si="120"/>
        <v>4.5</v>
      </c>
      <c r="I159" s="406">
        <f t="shared" si="97"/>
        <v>0.21737499999999998</v>
      </c>
      <c r="J159" s="407">
        <f t="shared" si="121"/>
        <v>1.4415394736842102</v>
      </c>
      <c r="K159" s="407">
        <f t="shared" si="132"/>
        <v>5.2207697368421053</v>
      </c>
      <c r="L159" s="407">
        <f t="shared" si="98"/>
        <v>3.7792302631578947</v>
      </c>
      <c r="M159" s="63">
        <f t="shared" si="122"/>
        <v>0</v>
      </c>
      <c r="N159" s="406">
        <f t="shared" si="99"/>
        <v>4.5192001140890499</v>
      </c>
      <c r="O159" s="406">
        <f t="shared" si="100"/>
        <v>0.4222616681339475</v>
      </c>
      <c r="P159">
        <f t="shared" si="123"/>
        <v>0.2</v>
      </c>
      <c r="Q159" s="406">
        <f t="shared" si="133"/>
        <v>0.62226166813394745</v>
      </c>
      <c r="R159" s="9">
        <f t="shared" si="101"/>
        <v>0.41613660158952515</v>
      </c>
      <c r="S159" s="9">
        <f t="shared" si="102"/>
        <v>1.7316967118247921E-4</v>
      </c>
      <c r="T159" s="9">
        <f t="shared" si="103"/>
        <v>1.7316967118247921E-4</v>
      </c>
      <c r="U159" s="406">
        <f t="shared" si="104"/>
        <v>2.1070089006155839</v>
      </c>
      <c r="V159" s="408">
        <f t="shared" si="105"/>
        <v>4.4394865072732914E-3</v>
      </c>
      <c r="W159" s="406">
        <f t="shared" si="106"/>
        <v>4.4394865072732914E-3</v>
      </c>
      <c r="X159" s="406">
        <f t="shared" si="107"/>
        <v>2.1070089006155839</v>
      </c>
      <c r="Y159" s="406">
        <f t="shared" si="108"/>
        <v>2.663691904363975E-2</v>
      </c>
      <c r="Z159" s="406">
        <f t="shared" si="124"/>
        <v>0.3356656653453583</v>
      </c>
      <c r="AA159" s="406">
        <f t="shared" si="125"/>
        <v>0.14400000000000002</v>
      </c>
      <c r="AB159" s="406">
        <f t="shared" si="126"/>
        <v>0</v>
      </c>
      <c r="AC159" s="406">
        <f t="shared" si="109"/>
        <v>0.50901429892349415</v>
      </c>
      <c r="AD159" s="406">
        <f t="shared" si="110"/>
        <v>3.9979598752250118</v>
      </c>
      <c r="AE159" s="406">
        <f t="shared" si="111"/>
        <v>9.5902098983455156E-2</v>
      </c>
      <c r="AF159" s="406">
        <f t="shared" si="127"/>
        <v>6.4799999999999996E-2</v>
      </c>
      <c r="AG159" s="406">
        <f t="shared" si="112"/>
        <v>0.16320639268359513</v>
      </c>
      <c r="AH159" s="406">
        <f t="shared" si="113"/>
        <v>0</v>
      </c>
      <c r="AI159">
        <f t="shared" si="128"/>
        <v>0</v>
      </c>
      <c r="AJ159" s="407">
        <f t="shared" si="129"/>
        <v>0.359595</v>
      </c>
      <c r="AK159">
        <f t="shared" si="134"/>
        <v>4.8000000000000001E-2</v>
      </c>
      <c r="AL159" s="407">
        <f t="shared" si="130"/>
        <v>0.1215</v>
      </c>
      <c r="AM159" s="407">
        <f t="shared" si="135"/>
        <v>0.31645971316818772</v>
      </c>
      <c r="AN159" s="407">
        <f t="shared" si="114"/>
        <v>0.16949999999999998</v>
      </c>
      <c r="AO159" s="407">
        <f t="shared" si="115"/>
        <v>1.8281900159194928</v>
      </c>
      <c r="AP159">
        <f t="shared" si="131"/>
        <v>22.95</v>
      </c>
      <c r="AQ159" s="10">
        <f t="shared" si="116"/>
        <v>0.92621777398813565</v>
      </c>
      <c r="AR159" s="63">
        <f t="shared" si="117"/>
        <v>25.450714946174706</v>
      </c>
      <c r="AS159" s="63">
        <f t="shared" si="118"/>
        <v>6.5282557073438054</v>
      </c>
      <c r="AT159" s="10"/>
      <c r="AU159">
        <f t="shared" si="119"/>
        <v>92.621777398813563</v>
      </c>
    </row>
    <row r="160" spans="7:47" x14ac:dyDescent="0.25">
      <c r="G160">
        <v>151</v>
      </c>
      <c r="H160">
        <f t="shared" si="120"/>
        <v>4.53</v>
      </c>
      <c r="I160" s="406">
        <f t="shared" si="97"/>
        <v>0.2174075</v>
      </c>
      <c r="J160" s="407">
        <f t="shared" si="121"/>
        <v>1.4417549999999999</v>
      </c>
      <c r="K160" s="407">
        <f t="shared" si="132"/>
        <v>5.2508775000000005</v>
      </c>
      <c r="L160" s="407">
        <f t="shared" si="98"/>
        <v>3.8091225000000004</v>
      </c>
      <c r="M160" s="63">
        <f t="shared" si="122"/>
        <v>0</v>
      </c>
      <c r="N160" s="406">
        <f t="shared" si="99"/>
        <v>4.5490791877773189</v>
      </c>
      <c r="O160" s="406">
        <f t="shared" si="100"/>
        <v>0.42805560460853798</v>
      </c>
      <c r="P160">
        <f t="shared" si="123"/>
        <v>0.2</v>
      </c>
      <c r="Q160" s="406">
        <f t="shared" si="133"/>
        <v>0.62805560460853793</v>
      </c>
      <c r="R160" s="9">
        <f t="shared" si="101"/>
        <v>0.41619881867774444</v>
      </c>
      <c r="S160" s="9">
        <f t="shared" si="102"/>
        <v>1.7322145666875E-4</v>
      </c>
      <c r="T160" s="9">
        <f t="shared" si="103"/>
        <v>1.7322145666875E-4</v>
      </c>
      <c r="U160" s="406">
        <f t="shared" si="104"/>
        <v>2.1210981143244441</v>
      </c>
      <c r="V160" s="408">
        <f t="shared" si="105"/>
        <v>4.4990572105907123E-3</v>
      </c>
      <c r="W160" s="406">
        <f t="shared" si="106"/>
        <v>4.4990572105907123E-3</v>
      </c>
      <c r="X160" s="406">
        <f t="shared" si="107"/>
        <v>2.1210981143244441</v>
      </c>
      <c r="Y160" s="406">
        <f t="shared" si="108"/>
        <v>2.6994343263544277E-2</v>
      </c>
      <c r="Z160" s="406">
        <f t="shared" si="124"/>
        <v>0.33791376300888237</v>
      </c>
      <c r="AA160" s="406">
        <f t="shared" si="125"/>
        <v>0.14400000000000002</v>
      </c>
      <c r="AB160" s="406">
        <f t="shared" si="126"/>
        <v>0</v>
      </c>
      <c r="AC160" s="406">
        <f t="shared" si="109"/>
        <v>0.51167054835646275</v>
      </c>
      <c r="AD160" s="406">
        <f t="shared" si="110"/>
        <v>4.0243091638289972</v>
      </c>
      <c r="AE160" s="406">
        <f t="shared" si="111"/>
        <v>9.7170385476468266E-2</v>
      </c>
      <c r="AF160" s="406">
        <f t="shared" si="127"/>
        <v>6.5231999999999998E-2</v>
      </c>
      <c r="AG160" s="406">
        <f t="shared" si="112"/>
        <v>0.16496717328755872</v>
      </c>
      <c r="AH160" s="406">
        <f t="shared" si="113"/>
        <v>0</v>
      </c>
      <c r="AI160">
        <f t="shared" si="128"/>
        <v>0</v>
      </c>
      <c r="AJ160" s="407">
        <f t="shared" si="129"/>
        <v>0.35959229999999998</v>
      </c>
      <c r="AK160">
        <f t="shared" si="134"/>
        <v>4.8000000000000001E-2</v>
      </c>
      <c r="AL160" s="407">
        <f t="shared" si="130"/>
        <v>0.1215</v>
      </c>
      <c r="AM160" s="407">
        <f t="shared" si="135"/>
        <v>0.31645971316818772</v>
      </c>
      <c r="AN160" s="407">
        <f t="shared" si="114"/>
        <v>0.16949999999999998</v>
      </c>
      <c r="AO160" s="407">
        <f t="shared" si="115"/>
        <v>1.8384579049198189</v>
      </c>
      <c r="AP160">
        <f t="shared" si="131"/>
        <v>23.102999999999998</v>
      </c>
      <c r="AQ160" s="10">
        <f t="shared" si="116"/>
        <v>0.92628907612665368</v>
      </c>
      <c r="AR160" s="63">
        <f t="shared" si="117"/>
        <v>25.583527417823138</v>
      </c>
      <c r="AS160" s="63">
        <f t="shared" si="118"/>
        <v>6.5986869315023489</v>
      </c>
      <c r="AT160" s="10"/>
      <c r="AU160">
        <f t="shared" si="119"/>
        <v>92.628907612665373</v>
      </c>
    </row>
    <row r="161" spans="7:47" x14ac:dyDescent="0.25">
      <c r="G161">
        <v>152</v>
      </c>
      <c r="H161">
        <f t="shared" si="120"/>
        <v>4.5600000000000005</v>
      </c>
      <c r="I161" s="406">
        <f t="shared" si="97"/>
        <v>0.21743999999999997</v>
      </c>
      <c r="J161" s="407">
        <f t="shared" si="121"/>
        <v>1.4419705263157891</v>
      </c>
      <c r="K161" s="407">
        <f t="shared" si="132"/>
        <v>5.2809852631578948</v>
      </c>
      <c r="L161" s="407">
        <f t="shared" si="98"/>
        <v>3.8390147368421061</v>
      </c>
      <c r="M161" s="63">
        <f t="shared" si="122"/>
        <v>0</v>
      </c>
      <c r="N161" s="406">
        <f t="shared" si="99"/>
        <v>4.5789598436650385</v>
      </c>
      <c r="O161" s="406">
        <f t="shared" si="100"/>
        <v>0.43389328170430047</v>
      </c>
      <c r="P161">
        <f t="shared" si="123"/>
        <v>0.2</v>
      </c>
      <c r="Q161" s="406">
        <f t="shared" si="133"/>
        <v>0.63389328170430048</v>
      </c>
      <c r="R161" s="9">
        <f t="shared" si="101"/>
        <v>0.41626103576596363</v>
      </c>
      <c r="S161" s="9">
        <f t="shared" si="102"/>
        <v>1.7327324989695287E-4</v>
      </c>
      <c r="T161" s="9">
        <f t="shared" si="103"/>
        <v>1.7327324989695287E-4</v>
      </c>
      <c r="U161" s="406">
        <f t="shared" si="104"/>
        <v>2.1351901366055417</v>
      </c>
      <c r="V161" s="408">
        <f t="shared" si="105"/>
        <v>4.5590369194575915E-3</v>
      </c>
      <c r="W161" s="406">
        <f t="shared" si="106"/>
        <v>4.5590369194575915E-3</v>
      </c>
      <c r="X161" s="406">
        <f t="shared" si="107"/>
        <v>2.1351901366055417</v>
      </c>
      <c r="Y161" s="406">
        <f t="shared" si="108"/>
        <v>2.7354221516745551E-2</v>
      </c>
      <c r="Z161" s="406">
        <f t="shared" si="124"/>
        <v>0.34016186067240645</v>
      </c>
      <c r="AA161" s="406">
        <f t="shared" si="125"/>
        <v>0.14400000000000002</v>
      </c>
      <c r="AB161" s="406">
        <f t="shared" si="126"/>
        <v>0</v>
      </c>
      <c r="AC161" s="406">
        <f t="shared" si="109"/>
        <v>0.51432990099806941</v>
      </c>
      <c r="AD161" s="406">
        <f t="shared" si="110"/>
        <v>4.0506587526523834</v>
      </c>
      <c r="AE161" s="406">
        <f t="shared" si="111"/>
        <v>9.8447017982636179E-2</v>
      </c>
      <c r="AF161" s="406">
        <f t="shared" si="127"/>
        <v>6.5664E-2</v>
      </c>
      <c r="AG161" s="406">
        <f t="shared" si="112"/>
        <v>0.16673738572842561</v>
      </c>
      <c r="AH161" s="406">
        <f t="shared" si="113"/>
        <v>0</v>
      </c>
      <c r="AI161">
        <f t="shared" si="128"/>
        <v>0</v>
      </c>
      <c r="AJ161" s="407">
        <f t="shared" si="129"/>
        <v>0.35958959999999995</v>
      </c>
      <c r="AK161">
        <f t="shared" si="134"/>
        <v>4.8000000000000001E-2</v>
      </c>
      <c r="AL161" s="407">
        <f t="shared" si="130"/>
        <v>0.1215</v>
      </c>
      <c r="AM161" s="407">
        <f t="shared" si="135"/>
        <v>0.31645971316818772</v>
      </c>
      <c r="AN161" s="407">
        <f t="shared" si="114"/>
        <v>0.16949999999999998</v>
      </c>
      <c r="AO161" s="407">
        <f t="shared" si="115"/>
        <v>1.8487824786001499</v>
      </c>
      <c r="AP161">
        <f t="shared" si="131"/>
        <v>23.256</v>
      </c>
      <c r="AQ161" s="10">
        <f t="shared" si="116"/>
        <v>0.92635735919336915</v>
      </c>
      <c r="AR161" s="63">
        <f t="shared" si="117"/>
        <v>25.716495049903472</v>
      </c>
      <c r="AS161" s="63">
        <f t="shared" si="118"/>
        <v>6.6694954291370241</v>
      </c>
      <c r="AT161" s="10"/>
      <c r="AU161">
        <f t="shared" si="119"/>
        <v>92.635735919336909</v>
      </c>
    </row>
    <row r="162" spans="7:47" x14ac:dyDescent="0.25">
      <c r="G162">
        <v>153</v>
      </c>
      <c r="H162">
        <f t="shared" si="120"/>
        <v>4.59</v>
      </c>
      <c r="I162" s="406">
        <f t="shared" si="97"/>
        <v>0.21747249999999999</v>
      </c>
      <c r="J162" s="407">
        <f t="shared" si="121"/>
        <v>1.4421860526315786</v>
      </c>
      <c r="K162" s="407">
        <f t="shared" si="132"/>
        <v>5.3110930263157892</v>
      </c>
      <c r="L162" s="407">
        <f t="shared" si="98"/>
        <v>3.8689069736842105</v>
      </c>
      <c r="M162" s="63">
        <f t="shared" si="122"/>
        <v>0</v>
      </c>
      <c r="N162" s="406">
        <f t="shared" si="99"/>
        <v>4.6088420509784331</v>
      </c>
      <c r="O162" s="406">
        <f t="shared" si="100"/>
        <v>0.43977481091379733</v>
      </c>
      <c r="P162">
        <f t="shared" si="123"/>
        <v>0.2</v>
      </c>
      <c r="Q162" s="406">
        <f t="shared" si="133"/>
        <v>0.63977481091379729</v>
      </c>
      <c r="R162" s="9">
        <f t="shared" si="101"/>
        <v>0.41632325285418287</v>
      </c>
      <c r="S162" s="9">
        <f t="shared" si="102"/>
        <v>1.7332505086708788E-4</v>
      </c>
      <c r="T162" s="9">
        <f t="shared" si="103"/>
        <v>1.7332505086708788E-4</v>
      </c>
      <c r="U162" s="406">
        <f t="shared" si="104"/>
        <v>2.1492849530424518</v>
      </c>
      <c r="V162" s="408">
        <f t="shared" si="105"/>
        <v>4.6194258093746939E-3</v>
      </c>
      <c r="W162" s="406">
        <f t="shared" si="106"/>
        <v>4.6194258093746939E-3</v>
      </c>
      <c r="X162" s="406">
        <f t="shared" si="107"/>
        <v>2.1492849530424518</v>
      </c>
      <c r="Y162" s="406">
        <f t="shared" si="108"/>
        <v>2.7716554856248164E-2</v>
      </c>
      <c r="Z162" s="406">
        <f t="shared" si="124"/>
        <v>0.34240995833593058</v>
      </c>
      <c r="AA162" s="406">
        <f t="shared" si="125"/>
        <v>0.14400000000000002</v>
      </c>
      <c r="AB162" s="406">
        <f t="shared" si="126"/>
        <v>0</v>
      </c>
      <c r="AC162" s="406">
        <f t="shared" si="109"/>
        <v>0.51699236262798665</v>
      </c>
      <c r="AD162" s="406">
        <f t="shared" si="110"/>
        <v>4.0770086143510165</v>
      </c>
      <c r="AE162" s="406">
        <f t="shared" si="111"/>
        <v>9.9731995448954378E-2</v>
      </c>
      <c r="AF162" s="406">
        <f t="shared" si="127"/>
        <v>6.6096000000000002E-2</v>
      </c>
      <c r="AG162" s="406">
        <f t="shared" si="112"/>
        <v>0.16851704198728187</v>
      </c>
      <c r="AH162" s="406">
        <f t="shared" si="113"/>
        <v>0</v>
      </c>
      <c r="AI162">
        <f t="shared" si="128"/>
        <v>0</v>
      </c>
      <c r="AJ162" s="407">
        <f t="shared" si="129"/>
        <v>0.35958689999999999</v>
      </c>
      <c r="AK162">
        <f t="shared" si="134"/>
        <v>4.8000000000000001E-2</v>
      </c>
      <c r="AL162" s="407">
        <f t="shared" si="130"/>
        <v>0.1215</v>
      </c>
      <c r="AM162" s="407">
        <f t="shared" si="135"/>
        <v>0.31645971316818772</v>
      </c>
      <c r="AN162" s="407">
        <f t="shared" si="114"/>
        <v>0.16949999999999998</v>
      </c>
      <c r="AO162" s="407">
        <f t="shared" si="115"/>
        <v>1.8591638663893075</v>
      </c>
      <c r="AP162">
        <f t="shared" si="131"/>
        <v>23.408999999999999</v>
      </c>
      <c r="AQ162" s="10">
        <f t="shared" si="116"/>
        <v>0.92642267652608135</v>
      </c>
      <c r="AR162" s="63">
        <f t="shared" si="117"/>
        <v>25.849618131399332</v>
      </c>
      <c r="AS162" s="63">
        <f t="shared" si="118"/>
        <v>6.7406816794912752</v>
      </c>
      <c r="AT162" s="10"/>
      <c r="AU162">
        <f t="shared" si="119"/>
        <v>92.64226765260814</v>
      </c>
    </row>
    <row r="163" spans="7:47" x14ac:dyDescent="0.25">
      <c r="G163">
        <v>154</v>
      </c>
      <c r="H163">
        <f t="shared" si="120"/>
        <v>4.62</v>
      </c>
      <c r="I163" s="406">
        <f t="shared" si="97"/>
        <v>0.21750499999999998</v>
      </c>
      <c r="J163" s="407">
        <f t="shared" si="121"/>
        <v>1.4424015789473681</v>
      </c>
      <c r="K163" s="407">
        <f t="shared" si="132"/>
        <v>5.3412007894736844</v>
      </c>
      <c r="L163" s="407">
        <f t="shared" si="98"/>
        <v>3.8987992105263158</v>
      </c>
      <c r="M163" s="63">
        <f t="shared" si="122"/>
        <v>0</v>
      </c>
      <c r="N163" s="406">
        <f t="shared" si="99"/>
        <v>4.6387257797351156</v>
      </c>
      <c r="O163" s="406">
        <f t="shared" si="100"/>
        <v>0.44570030471660449</v>
      </c>
      <c r="P163">
        <f t="shared" si="123"/>
        <v>0.2</v>
      </c>
      <c r="Q163" s="406">
        <f t="shared" si="133"/>
        <v>0.64570030471660456</v>
      </c>
      <c r="R163" s="9">
        <f t="shared" si="101"/>
        <v>0.41638546994240211</v>
      </c>
      <c r="S163" s="9">
        <f t="shared" si="102"/>
        <v>1.7337685957915505E-4</v>
      </c>
      <c r="T163" s="9">
        <f t="shared" si="103"/>
        <v>1.7337685957915505E-4</v>
      </c>
      <c r="U163" s="406">
        <f t="shared" si="104"/>
        <v>2.163382549583583</v>
      </c>
      <c r="V163" s="408">
        <f t="shared" si="105"/>
        <v>4.6802240558427646E-3</v>
      </c>
      <c r="W163" s="406">
        <f t="shared" si="106"/>
        <v>4.6802240558427646E-3</v>
      </c>
      <c r="X163" s="406">
        <f t="shared" si="107"/>
        <v>2.163382549583583</v>
      </c>
      <c r="Y163" s="406">
        <f t="shared" si="108"/>
        <v>2.8081344335056584E-2</v>
      </c>
      <c r="Z163" s="406">
        <f t="shared" si="124"/>
        <v>0.34465805599945465</v>
      </c>
      <c r="AA163" s="406">
        <f t="shared" si="125"/>
        <v>0.14400000000000002</v>
      </c>
      <c r="AB163" s="406">
        <f t="shared" si="126"/>
        <v>0</v>
      </c>
      <c r="AC163" s="406">
        <f t="shared" si="109"/>
        <v>0.51965793903903146</v>
      </c>
      <c r="AD163" s="406">
        <f t="shared" si="110"/>
        <v>4.1033587222830512</v>
      </c>
      <c r="AE163" s="406">
        <f t="shared" si="111"/>
        <v>0.10102531682241836</v>
      </c>
      <c r="AF163" s="406">
        <f t="shared" si="127"/>
        <v>6.6528000000000004E-2</v>
      </c>
      <c r="AG163" s="406">
        <f t="shared" si="112"/>
        <v>0.1703061541308791</v>
      </c>
      <c r="AH163" s="406">
        <f t="shared" si="113"/>
        <v>0</v>
      </c>
      <c r="AI163">
        <f t="shared" si="128"/>
        <v>0</v>
      </c>
      <c r="AJ163" s="407">
        <f t="shared" si="129"/>
        <v>0.35958420000000002</v>
      </c>
      <c r="AK163">
        <f t="shared" si="134"/>
        <v>4.8000000000000001E-2</v>
      </c>
      <c r="AL163" s="407">
        <f t="shared" si="130"/>
        <v>0.1215</v>
      </c>
      <c r="AM163" s="407">
        <f t="shared" si="135"/>
        <v>0.31645971316818772</v>
      </c>
      <c r="AN163" s="407">
        <f t="shared" si="114"/>
        <v>0.16949999999999998</v>
      </c>
      <c r="AO163" s="407">
        <f t="shared" si="115"/>
        <v>1.8696021988019371</v>
      </c>
      <c r="AP163">
        <f t="shared" si="131"/>
        <v>23.561999999999998</v>
      </c>
      <c r="AQ163" s="10">
        <f t="shared" si="116"/>
        <v>0.92648508009102115</v>
      </c>
      <c r="AR163" s="63">
        <f t="shared" si="117"/>
        <v>25.982896951951574</v>
      </c>
      <c r="AS163" s="63">
        <f t="shared" si="118"/>
        <v>6.8122461652351642</v>
      </c>
      <c r="AT163" s="10"/>
      <c r="AU163">
        <f t="shared" si="119"/>
        <v>92.648508009102116</v>
      </c>
    </row>
    <row r="164" spans="7:47" x14ac:dyDescent="0.25">
      <c r="G164">
        <v>155</v>
      </c>
      <c r="H164">
        <f t="shared" si="120"/>
        <v>4.6500000000000004</v>
      </c>
      <c r="I164" s="406">
        <f t="shared" si="97"/>
        <v>0.21753749999999997</v>
      </c>
      <c r="J164" s="407">
        <f t="shared" si="121"/>
        <v>1.4426171052631573</v>
      </c>
      <c r="K164" s="407">
        <f t="shared" si="132"/>
        <v>5.3713085526315787</v>
      </c>
      <c r="L164" s="407">
        <f t="shared" si="98"/>
        <v>3.9286914473684216</v>
      </c>
      <c r="M164" s="63">
        <f t="shared" si="122"/>
        <v>0</v>
      </c>
      <c r="N164" s="406">
        <f t="shared" si="99"/>
        <v>4.6686110007188599</v>
      </c>
      <c r="O164" s="406">
        <f t="shared" si="100"/>
        <v>0.45166987658491509</v>
      </c>
      <c r="P164">
        <f t="shared" si="123"/>
        <v>0.2</v>
      </c>
      <c r="Q164" s="406">
        <f t="shared" si="133"/>
        <v>0.65166987658491515</v>
      </c>
      <c r="R164" s="9">
        <f t="shared" si="101"/>
        <v>0.41644768703062129</v>
      </c>
      <c r="S164" s="9">
        <f t="shared" si="102"/>
        <v>1.7342867603315431E-4</v>
      </c>
      <c r="T164" s="9">
        <f t="shared" si="103"/>
        <v>1.7342867603315431E-4</v>
      </c>
      <c r="U164" s="406">
        <f t="shared" si="104"/>
        <v>2.1774829125305581</v>
      </c>
      <c r="V164" s="408">
        <f t="shared" si="105"/>
        <v>4.7414318343625625E-3</v>
      </c>
      <c r="W164" s="406">
        <f t="shared" si="106"/>
        <v>4.7414318343625625E-3</v>
      </c>
      <c r="X164" s="406">
        <f t="shared" si="107"/>
        <v>2.1774829125305581</v>
      </c>
      <c r="Y164" s="406">
        <f t="shared" si="108"/>
        <v>2.8448591006175375E-2</v>
      </c>
      <c r="Z164" s="406">
        <f t="shared" si="124"/>
        <v>0.34690615366297878</v>
      </c>
      <c r="AA164" s="406">
        <f t="shared" si="125"/>
        <v>0.14400000000000002</v>
      </c>
      <c r="AB164" s="406">
        <f t="shared" si="126"/>
        <v>0</v>
      </c>
      <c r="AC164" s="406">
        <f t="shared" si="109"/>
        <v>0.52232663603720497</v>
      </c>
      <c r="AD164" s="406">
        <f t="shared" si="110"/>
        <v>4.129709050486559</v>
      </c>
      <c r="AE164" s="406">
        <f t="shared" si="111"/>
        <v>0.10232698105002359</v>
      </c>
      <c r="AF164" s="406">
        <f t="shared" si="127"/>
        <v>6.6960000000000006E-2</v>
      </c>
      <c r="AG164" s="406">
        <f t="shared" si="112"/>
        <v>0.17210473431187165</v>
      </c>
      <c r="AH164" s="406">
        <f t="shared" si="113"/>
        <v>0</v>
      </c>
      <c r="AI164">
        <f t="shared" si="128"/>
        <v>0</v>
      </c>
      <c r="AJ164" s="407">
        <f t="shared" si="129"/>
        <v>0.3595815</v>
      </c>
      <c r="AK164">
        <f t="shared" si="134"/>
        <v>4.8000000000000001E-2</v>
      </c>
      <c r="AL164" s="407">
        <f t="shared" si="130"/>
        <v>0.1215</v>
      </c>
      <c r="AM164" s="407">
        <f t="shared" si="135"/>
        <v>0.31645971316818772</v>
      </c>
      <c r="AN164" s="407">
        <f t="shared" si="114"/>
        <v>0.16949999999999998</v>
      </c>
      <c r="AO164" s="407">
        <f t="shared" si="115"/>
        <v>1.8800976074443874</v>
      </c>
      <c r="AP164">
        <f t="shared" si="131"/>
        <v>23.715</v>
      </c>
      <c r="AQ164" s="10">
        <f t="shared" si="116"/>
        <v>0.92654462052539477</v>
      </c>
      <c r="AR164" s="63">
        <f t="shared" si="117"/>
        <v>26.116331801860248</v>
      </c>
      <c r="AS164" s="63">
        <f t="shared" si="118"/>
        <v>6.8841893724748662</v>
      </c>
      <c r="AT164" s="10"/>
      <c r="AU164">
        <f t="shared" si="119"/>
        <v>92.654462052539472</v>
      </c>
    </row>
    <row r="165" spans="7:47" x14ac:dyDescent="0.25">
      <c r="G165">
        <v>156</v>
      </c>
      <c r="H165">
        <f t="shared" si="120"/>
        <v>4.68</v>
      </c>
      <c r="I165" s="406">
        <f t="shared" si="97"/>
        <v>0.21757000000000001</v>
      </c>
      <c r="J165" s="407">
        <f t="shared" si="121"/>
        <v>1.4428326315789473</v>
      </c>
      <c r="K165" s="407">
        <f t="shared" si="132"/>
        <v>5.401416315789473</v>
      </c>
      <c r="L165" s="407">
        <f t="shared" si="98"/>
        <v>3.958583684210526</v>
      </c>
      <c r="M165" s="63">
        <f t="shared" si="122"/>
        <v>0</v>
      </c>
      <c r="N165" s="406">
        <f t="shared" si="99"/>
        <v>4.6984976854553286</v>
      </c>
      <c r="O165" s="406">
        <f t="shared" si="100"/>
        <v>0.45768364098920139</v>
      </c>
      <c r="P165">
        <f t="shared" si="123"/>
        <v>0.2</v>
      </c>
      <c r="Q165" s="406">
        <f t="shared" si="133"/>
        <v>0.6576836409892014</v>
      </c>
      <c r="R165" s="9">
        <f t="shared" si="101"/>
        <v>0.4165099041188407</v>
      </c>
      <c r="S165" s="9">
        <f t="shared" si="102"/>
        <v>1.7348050022908588E-4</v>
      </c>
      <c r="T165" s="9">
        <f t="shared" si="103"/>
        <v>1.7348050022908588E-4</v>
      </c>
      <c r="U165" s="406">
        <f t="shared" si="104"/>
        <v>2.1915860285270212</v>
      </c>
      <c r="V165" s="408">
        <f t="shared" si="105"/>
        <v>4.8030493204348421E-3</v>
      </c>
      <c r="W165" s="406">
        <f t="shared" si="106"/>
        <v>4.8030493204348421E-3</v>
      </c>
      <c r="X165" s="406">
        <f t="shared" si="107"/>
        <v>2.1915860285270212</v>
      </c>
      <c r="Y165" s="406">
        <f t="shared" si="108"/>
        <v>2.8818295922609052E-2</v>
      </c>
      <c r="Z165" s="406">
        <f t="shared" si="124"/>
        <v>0.3491542513265028</v>
      </c>
      <c r="AA165" s="406">
        <f t="shared" si="125"/>
        <v>0.14400000000000002</v>
      </c>
      <c r="AB165" s="406">
        <f t="shared" si="126"/>
        <v>0</v>
      </c>
      <c r="AC165" s="406">
        <f t="shared" si="109"/>
        <v>0.52499845944173307</v>
      </c>
      <c r="AD165" s="406">
        <f t="shared" si="110"/>
        <v>4.1560595736579904</v>
      </c>
      <c r="AE165" s="406">
        <f t="shared" si="111"/>
        <v>0.10363698707876542</v>
      </c>
      <c r="AF165" s="406">
        <f t="shared" si="127"/>
        <v>6.7391999999999994E-2</v>
      </c>
      <c r="AG165" s="406">
        <f t="shared" si="112"/>
        <v>0.17391279476905541</v>
      </c>
      <c r="AH165" s="406">
        <f t="shared" si="113"/>
        <v>0</v>
      </c>
      <c r="AI165">
        <f t="shared" si="128"/>
        <v>0</v>
      </c>
      <c r="AJ165" s="407">
        <f t="shared" si="129"/>
        <v>0.35957879999999998</v>
      </c>
      <c r="AK165">
        <f t="shared" si="134"/>
        <v>4.8000000000000001E-2</v>
      </c>
      <c r="AL165" s="407">
        <f t="shared" si="130"/>
        <v>0.1215</v>
      </c>
      <c r="AM165" s="407">
        <f t="shared" si="135"/>
        <v>0.31645971316818772</v>
      </c>
      <c r="AN165" s="407">
        <f t="shared" si="114"/>
        <v>0.16949999999999998</v>
      </c>
      <c r="AO165" s="407">
        <f t="shared" si="115"/>
        <v>1.8906502250206538</v>
      </c>
      <c r="AP165">
        <f t="shared" si="131"/>
        <v>23.867999999999999</v>
      </c>
      <c r="AQ165" s="10">
        <f t="shared" si="116"/>
        <v>0.92660134717834819</v>
      </c>
      <c r="AR165" s="63">
        <f t="shared" si="117"/>
        <v>26.249922972086654</v>
      </c>
      <c r="AS165" s="63">
        <f t="shared" si="118"/>
        <v>6.9565117907622165</v>
      </c>
      <c r="AT165" s="10"/>
      <c r="AU165">
        <f t="shared" si="119"/>
        <v>92.660134717834822</v>
      </c>
    </row>
    <row r="166" spans="7:47" x14ac:dyDescent="0.25">
      <c r="G166">
        <v>157</v>
      </c>
      <c r="H166">
        <f t="shared" si="120"/>
        <v>4.71</v>
      </c>
      <c r="I166" s="406">
        <f t="shared" si="97"/>
        <v>0.2176025</v>
      </c>
      <c r="J166" s="407">
        <f t="shared" si="121"/>
        <v>1.4430481578947367</v>
      </c>
      <c r="K166" s="407">
        <f t="shared" si="132"/>
        <v>5.4315240789473682</v>
      </c>
      <c r="L166" s="407">
        <f t="shared" si="98"/>
        <v>3.9884759210526317</v>
      </c>
      <c r="M166" s="63">
        <f t="shared" si="122"/>
        <v>0</v>
      </c>
      <c r="N166" s="406">
        <f t="shared" si="99"/>
        <v>4.7283858061887196</v>
      </c>
      <c r="O166" s="406">
        <f t="shared" si="100"/>
        <v>0.46374171340393794</v>
      </c>
      <c r="P166">
        <f t="shared" si="123"/>
        <v>0.2</v>
      </c>
      <c r="Q166" s="406">
        <f t="shared" si="133"/>
        <v>0.66374171340393795</v>
      </c>
      <c r="R166" s="9">
        <f t="shared" si="101"/>
        <v>0.41657212120705994</v>
      </c>
      <c r="S166" s="9">
        <f t="shared" si="102"/>
        <v>1.7353233216694944E-4</v>
      </c>
      <c r="T166" s="9">
        <f t="shared" si="103"/>
        <v>1.7353233216694944E-4</v>
      </c>
      <c r="U166" s="406">
        <f t="shared" si="104"/>
        <v>2.2056918845478757</v>
      </c>
      <c r="V166" s="408">
        <f t="shared" si="105"/>
        <v>4.8650766895603596E-3</v>
      </c>
      <c r="W166" s="406">
        <f t="shared" si="106"/>
        <v>4.8650766895603596E-3</v>
      </c>
      <c r="X166" s="406">
        <f t="shared" si="107"/>
        <v>2.2056918845478757</v>
      </c>
      <c r="Y166" s="406">
        <f t="shared" si="108"/>
        <v>2.9190460137362154E-2</v>
      </c>
      <c r="Z166" s="406">
        <f t="shared" si="124"/>
        <v>0.35140234899002687</v>
      </c>
      <c r="AA166" s="406">
        <f t="shared" si="125"/>
        <v>0.14400000000000002</v>
      </c>
      <c r="AB166" s="406">
        <f t="shared" si="126"/>
        <v>0</v>
      </c>
      <c r="AC166" s="406">
        <f t="shared" si="109"/>
        <v>0.52767341508510657</v>
      </c>
      <c r="AD166" s="406">
        <f t="shared" si="110"/>
        <v>4.1824102671314529</v>
      </c>
      <c r="AE166" s="406">
        <f t="shared" si="111"/>
        <v>0.10495533385563956</v>
      </c>
      <c r="AF166" s="406">
        <f t="shared" si="127"/>
        <v>6.7823999999999995E-2</v>
      </c>
      <c r="AG166" s="406">
        <f t="shared" si="112"/>
        <v>0.17573034782760985</v>
      </c>
      <c r="AH166" s="406">
        <f t="shared" si="113"/>
        <v>0</v>
      </c>
      <c r="AI166">
        <f t="shared" si="128"/>
        <v>0</v>
      </c>
      <c r="AJ166" s="407">
        <f t="shared" si="129"/>
        <v>0.35957610000000001</v>
      </c>
      <c r="AK166">
        <f t="shared" si="134"/>
        <v>4.8000000000000001E-2</v>
      </c>
      <c r="AL166" s="407">
        <f t="shared" si="130"/>
        <v>0.1215</v>
      </c>
      <c r="AM166" s="407">
        <f t="shared" si="135"/>
        <v>0.31645971316818772</v>
      </c>
      <c r="AN166" s="407">
        <f t="shared" si="114"/>
        <v>0.16949999999999998</v>
      </c>
      <c r="AO166" s="407">
        <f t="shared" si="115"/>
        <v>1.9012601853383817</v>
      </c>
      <c r="AP166">
        <f t="shared" si="131"/>
        <v>24.020999999999997</v>
      </c>
      <c r="AQ166" s="10">
        <f t="shared" si="116"/>
        <v>0.92665530815041597</v>
      </c>
      <c r="AR166" s="63">
        <f t="shared" si="117"/>
        <v>26.383670754255327</v>
      </c>
      <c r="AS166" s="63">
        <f t="shared" si="118"/>
        <v>7.0292139131043943</v>
      </c>
      <c r="AT166" s="10"/>
      <c r="AU166">
        <f t="shared" si="119"/>
        <v>92.665530815041592</v>
      </c>
    </row>
    <row r="167" spans="7:47" x14ac:dyDescent="0.25">
      <c r="G167">
        <v>158</v>
      </c>
      <c r="H167">
        <f t="shared" si="120"/>
        <v>4.74</v>
      </c>
      <c r="I167" s="406">
        <f t="shared" si="97"/>
        <v>0.217635</v>
      </c>
      <c r="J167" s="407">
        <f t="shared" si="121"/>
        <v>1.4432636842105262</v>
      </c>
      <c r="K167" s="407">
        <f t="shared" si="132"/>
        <v>5.4616318421052634</v>
      </c>
      <c r="L167" s="407">
        <f t="shared" si="98"/>
        <v>4.018368157894737</v>
      </c>
      <c r="M167" s="63">
        <f t="shared" si="122"/>
        <v>0</v>
      </c>
      <c r="N167" s="406">
        <f t="shared" si="99"/>
        <v>4.7582753358592802</v>
      </c>
      <c r="O167" s="406">
        <f t="shared" si="100"/>
        <v>0.46984421031338486</v>
      </c>
      <c r="P167">
        <f t="shared" si="123"/>
        <v>0.2</v>
      </c>
      <c r="Q167" s="406">
        <f t="shared" si="133"/>
        <v>0.66984421031338481</v>
      </c>
      <c r="R167" s="9">
        <f t="shared" si="101"/>
        <v>0.41663433829527918</v>
      </c>
      <c r="S167" s="9">
        <f t="shared" si="102"/>
        <v>1.7358417184674512E-4</v>
      </c>
      <c r="T167" s="9">
        <f t="shared" si="103"/>
        <v>1.7358417184674512E-4</v>
      </c>
      <c r="U167" s="406">
        <f t="shared" si="104"/>
        <v>2.2198004678889194</v>
      </c>
      <c r="V167" s="408">
        <f t="shared" si="105"/>
        <v>4.9275141172398654E-3</v>
      </c>
      <c r="W167" s="406">
        <f t="shared" si="106"/>
        <v>4.9275141172398654E-3</v>
      </c>
      <c r="X167" s="406">
        <f t="shared" si="107"/>
        <v>2.2198004678889194</v>
      </c>
      <c r="Y167" s="406">
        <f t="shared" si="108"/>
        <v>2.9565084703439194E-2</v>
      </c>
      <c r="Z167" s="406">
        <f t="shared" si="124"/>
        <v>0.35365044665355105</v>
      </c>
      <c r="AA167" s="406">
        <f t="shared" si="125"/>
        <v>0.14400000000000002</v>
      </c>
      <c r="AB167" s="406">
        <f t="shared" si="126"/>
        <v>0</v>
      </c>
      <c r="AC167" s="406">
        <f t="shared" si="109"/>
        <v>0.53035150881312165</v>
      </c>
      <c r="AD167" s="406">
        <f t="shared" si="110"/>
        <v>4.2087611068587485</v>
      </c>
      <c r="AE167" s="406">
        <f t="shared" si="111"/>
        <v>0.10628202032764128</v>
      </c>
      <c r="AF167" s="406">
        <f t="shared" si="127"/>
        <v>6.8255999999999997E-2</v>
      </c>
      <c r="AG167" s="406">
        <f t="shared" si="112"/>
        <v>0.17755740589933997</v>
      </c>
      <c r="AH167" s="406">
        <f t="shared" si="113"/>
        <v>0</v>
      </c>
      <c r="AI167">
        <f t="shared" si="128"/>
        <v>0</v>
      </c>
      <c r="AJ167" s="407">
        <f t="shared" si="129"/>
        <v>0.35957339999999999</v>
      </c>
      <c r="AK167">
        <f t="shared" si="134"/>
        <v>4.8000000000000001E-2</v>
      </c>
      <c r="AL167" s="407">
        <f t="shared" si="130"/>
        <v>0.1215</v>
      </c>
      <c r="AM167" s="407">
        <f t="shared" si="135"/>
        <v>0.31645971316818772</v>
      </c>
      <c r="AN167" s="407">
        <f t="shared" si="114"/>
        <v>0.16949999999999998</v>
      </c>
      <c r="AO167" s="407">
        <f t="shared" si="115"/>
        <v>1.9119276233149329</v>
      </c>
      <c r="AP167">
        <f t="shared" si="131"/>
        <v>24.173999999999999</v>
      </c>
      <c r="AQ167" s="10">
        <f t="shared" si="116"/>
        <v>0.92670655033152427</v>
      </c>
      <c r="AR167" s="63">
        <f t="shared" si="117"/>
        <v>26.517575440656081</v>
      </c>
      <c r="AS167" s="63">
        <f t="shared" si="118"/>
        <v>7.1022962359735988</v>
      </c>
      <c r="AT167" s="10"/>
      <c r="AU167">
        <f t="shared" si="119"/>
        <v>92.670655033152428</v>
      </c>
    </row>
    <row r="168" spans="7:47" x14ac:dyDescent="0.25">
      <c r="G168">
        <v>159</v>
      </c>
      <c r="H168">
        <f t="shared" si="120"/>
        <v>4.7700000000000005</v>
      </c>
      <c r="I168" s="406">
        <f t="shared" si="97"/>
        <v>0.21766749999999999</v>
      </c>
      <c r="J168" s="407">
        <f t="shared" si="121"/>
        <v>1.4434792105263154</v>
      </c>
      <c r="K168" s="407">
        <f t="shared" si="132"/>
        <v>5.4917396052631577</v>
      </c>
      <c r="L168" s="407">
        <f t="shared" si="98"/>
        <v>4.0482603947368432</v>
      </c>
      <c r="M168" s="63">
        <f t="shared" si="122"/>
        <v>0</v>
      </c>
      <c r="N168" s="406">
        <f t="shared" si="99"/>
        <v>4.7881662480816676</v>
      </c>
      <c r="O168" s="406">
        <f t="shared" si="100"/>
        <v>0.47599124921743358</v>
      </c>
      <c r="P168">
        <f t="shared" si="123"/>
        <v>0.2</v>
      </c>
      <c r="Q168" s="406">
        <f t="shared" si="133"/>
        <v>0.67599124921743359</v>
      </c>
      <c r="R168" s="9">
        <f t="shared" si="101"/>
        <v>0.41669655538349837</v>
      </c>
      <c r="S168" s="9">
        <f t="shared" si="102"/>
        <v>1.7363601926847293E-4</v>
      </c>
      <c r="T168" s="9">
        <f t="shared" si="103"/>
        <v>1.7363601926847293E-4</v>
      </c>
      <c r="U168" s="406">
        <f t="shared" si="104"/>
        <v>2.233911766156873</v>
      </c>
      <c r="V168" s="408">
        <f t="shared" si="105"/>
        <v>4.99036177897412E-3</v>
      </c>
      <c r="W168" s="406">
        <f t="shared" si="106"/>
        <v>4.99036177897412E-3</v>
      </c>
      <c r="X168" s="406">
        <f t="shared" si="107"/>
        <v>2.233911766156873</v>
      </c>
      <c r="Y168" s="406">
        <f t="shared" si="108"/>
        <v>2.994217067384472E-2</v>
      </c>
      <c r="Z168" s="406">
        <f t="shared" si="124"/>
        <v>0.35589854431707518</v>
      </c>
      <c r="AA168" s="406">
        <f t="shared" si="125"/>
        <v>0.14400000000000002</v>
      </c>
      <c r="AB168" s="406">
        <f t="shared" si="126"/>
        <v>0</v>
      </c>
      <c r="AC168" s="406">
        <f t="shared" si="109"/>
        <v>0.53303274648491983</v>
      </c>
      <c r="AD168" s="406">
        <f t="shared" si="110"/>
        <v>4.2351120693901771</v>
      </c>
      <c r="AE168" s="406">
        <f t="shared" si="111"/>
        <v>0.10761704544176609</v>
      </c>
      <c r="AF168" s="406">
        <f t="shared" si="127"/>
        <v>6.8687999999999999E-2</v>
      </c>
      <c r="AG168" s="406">
        <f t="shared" si="112"/>
        <v>0.1793939814829224</v>
      </c>
      <c r="AH168" s="406">
        <f t="shared" si="113"/>
        <v>0</v>
      </c>
      <c r="AI168">
        <f t="shared" si="128"/>
        <v>0</v>
      </c>
      <c r="AJ168" s="407">
        <f t="shared" si="129"/>
        <v>0.35957069999999997</v>
      </c>
      <c r="AK168">
        <f t="shared" si="134"/>
        <v>4.8000000000000001E-2</v>
      </c>
      <c r="AL168" s="407">
        <f t="shared" si="130"/>
        <v>0.1215</v>
      </c>
      <c r="AM168" s="407">
        <f t="shared" si="135"/>
        <v>0.31645971316818772</v>
      </c>
      <c r="AN168" s="407">
        <f t="shared" si="114"/>
        <v>0.16949999999999998</v>
      </c>
      <c r="AO168" s="407">
        <f t="shared" si="115"/>
        <v>1.9226526749835182</v>
      </c>
      <c r="AP168">
        <f t="shared" si="131"/>
        <v>24.327000000000002</v>
      </c>
      <c r="AQ168" s="10">
        <f t="shared" si="116"/>
        <v>0.92675511943760513</v>
      </c>
      <c r="AR168" s="63">
        <f t="shared" si="117"/>
        <v>26.651637324245993</v>
      </c>
      <c r="AS168" s="63">
        <f t="shared" si="118"/>
        <v>7.1757592593168962</v>
      </c>
      <c r="AT168" s="10"/>
      <c r="AU168">
        <f t="shared" si="119"/>
        <v>92.675511943760512</v>
      </c>
    </row>
    <row r="169" spans="7:47" x14ac:dyDescent="0.25">
      <c r="G169">
        <v>160</v>
      </c>
      <c r="H169">
        <f t="shared" si="120"/>
        <v>4.8000000000000007</v>
      </c>
      <c r="I169" s="406">
        <f t="shared" si="97"/>
        <v>0.2177</v>
      </c>
      <c r="J169" s="407">
        <f t="shared" si="121"/>
        <v>1.4436947368421049</v>
      </c>
      <c r="K169" s="407">
        <f t="shared" si="132"/>
        <v>5.5218473684210529</v>
      </c>
      <c r="L169" s="407">
        <f t="shared" si="98"/>
        <v>4.0781526315789485</v>
      </c>
      <c r="M169" s="63">
        <f t="shared" si="122"/>
        <v>0</v>
      </c>
      <c r="N169" s="406">
        <f t="shared" si="99"/>
        <v>4.8180585171241059</v>
      </c>
      <c r="O169" s="406">
        <f t="shared" si="100"/>
        <v>0.48218294863751415</v>
      </c>
      <c r="P169">
        <f t="shared" si="123"/>
        <v>0.2</v>
      </c>
      <c r="Q169" s="406">
        <f t="shared" si="133"/>
        <v>0.68218294863751416</v>
      </c>
      <c r="R169" s="9">
        <f t="shared" si="101"/>
        <v>0.41675877247171761</v>
      </c>
      <c r="S169" s="9">
        <f t="shared" si="102"/>
        <v>1.7368787443213288E-4</v>
      </c>
      <c r="T169" s="9">
        <f t="shared" si="103"/>
        <v>1.7368787443213288E-4</v>
      </c>
      <c r="U169" s="406">
        <f t="shared" si="104"/>
        <v>2.2480257672597697</v>
      </c>
      <c r="V169" s="408">
        <f t="shared" si="105"/>
        <v>5.0536198502638763E-3</v>
      </c>
      <c r="W169" s="406">
        <f t="shared" si="106"/>
        <v>5.0536198502638763E-3</v>
      </c>
      <c r="X169" s="406">
        <f t="shared" si="107"/>
        <v>2.2480257672597697</v>
      </c>
      <c r="Y169" s="406">
        <f t="shared" si="108"/>
        <v>3.032171910158326E-2</v>
      </c>
      <c r="Z169" s="406">
        <f t="shared" si="124"/>
        <v>0.35814664198059926</v>
      </c>
      <c r="AA169" s="406">
        <f t="shared" si="125"/>
        <v>0.14400000000000002</v>
      </c>
      <c r="AB169" s="406">
        <f t="shared" si="126"/>
        <v>0</v>
      </c>
      <c r="AC169" s="406">
        <f t="shared" si="109"/>
        <v>0.53571713397302956</v>
      </c>
      <c r="AD169" s="406">
        <f t="shared" si="110"/>
        <v>4.2614631318560363</v>
      </c>
      <c r="AE169" s="406">
        <f t="shared" si="111"/>
        <v>0.10896040814500954</v>
      </c>
      <c r="AF169" s="406">
        <f t="shared" si="127"/>
        <v>6.9120000000000015E-2</v>
      </c>
      <c r="AG169" s="406">
        <f t="shared" si="112"/>
        <v>0.18124008716415246</v>
      </c>
      <c r="AH169" s="406">
        <f t="shared" si="113"/>
        <v>0</v>
      </c>
      <c r="AI169">
        <f t="shared" si="128"/>
        <v>0</v>
      </c>
      <c r="AJ169" s="407">
        <f t="shared" si="129"/>
        <v>0.359568</v>
      </c>
      <c r="AK169">
        <f t="shared" si="134"/>
        <v>4.8000000000000001E-2</v>
      </c>
      <c r="AL169" s="407">
        <f t="shared" si="130"/>
        <v>0.1215</v>
      </c>
      <c r="AM169" s="407">
        <f t="shared" si="135"/>
        <v>0.31645971316818772</v>
      </c>
      <c r="AN169" s="407">
        <f t="shared" si="114"/>
        <v>0.16949999999999998</v>
      </c>
      <c r="AO169" s="407">
        <f t="shared" si="115"/>
        <v>1.9334354774993923</v>
      </c>
      <c r="AP169">
        <f t="shared" si="131"/>
        <v>24.48</v>
      </c>
      <c r="AQ169" s="10">
        <f t="shared" si="116"/>
        <v>0.92680106004588414</v>
      </c>
      <c r="AR169" s="63">
        <f t="shared" si="117"/>
        <v>26.785856698651479</v>
      </c>
      <c r="AS169" s="63">
        <f t="shared" si="118"/>
        <v>7.2496034865660981</v>
      </c>
      <c r="AT169" s="10"/>
      <c r="AU169">
        <f t="shared" si="119"/>
        <v>92.68010600458841</v>
      </c>
    </row>
    <row r="170" spans="7:47" x14ac:dyDescent="0.25">
      <c r="G170">
        <v>161</v>
      </c>
      <c r="H170">
        <f t="shared" si="120"/>
        <v>4.83</v>
      </c>
      <c r="I170" s="406">
        <f t="shared" si="97"/>
        <v>0.21773249999999997</v>
      </c>
      <c r="J170" s="407">
        <f t="shared" si="121"/>
        <v>1.4439102631578944</v>
      </c>
      <c r="K170" s="407">
        <f t="shared" si="132"/>
        <v>5.5519551315789473</v>
      </c>
      <c r="L170" s="407">
        <f t="shared" si="98"/>
        <v>4.1080448684210529</v>
      </c>
      <c r="M170" s="63">
        <f t="shared" si="122"/>
        <v>0</v>
      </c>
      <c r="N170" s="406">
        <f t="shared" si="99"/>
        <v>4.8479521178883074</v>
      </c>
      <c r="O170" s="406">
        <f t="shared" si="100"/>
        <v>0.48841942812256434</v>
      </c>
      <c r="P170">
        <f t="shared" si="123"/>
        <v>0.2</v>
      </c>
      <c r="Q170" s="406">
        <f t="shared" si="133"/>
        <v>0.6884194281225644</v>
      </c>
      <c r="R170" s="9">
        <f t="shared" si="101"/>
        <v>0.41682098955993685</v>
      </c>
      <c r="S170" s="9">
        <f t="shared" si="102"/>
        <v>1.7373973733772499E-4</v>
      </c>
      <c r="T170" s="9">
        <f t="shared" si="103"/>
        <v>1.7373973733772499E-4</v>
      </c>
      <c r="U170" s="406">
        <f t="shared" si="104"/>
        <v>2.2621424593977024</v>
      </c>
      <c r="V170" s="408">
        <f t="shared" si="105"/>
        <v>5.1172885066098862E-3</v>
      </c>
      <c r="W170" s="406">
        <f t="shared" si="106"/>
        <v>5.1172885066098862E-3</v>
      </c>
      <c r="X170" s="406">
        <f t="shared" si="107"/>
        <v>2.2621424593977024</v>
      </c>
      <c r="Y170" s="406">
        <f t="shared" si="108"/>
        <v>3.0703731039659315E-2</v>
      </c>
      <c r="Z170" s="406">
        <f t="shared" si="124"/>
        <v>0.36039473964412327</v>
      </c>
      <c r="AA170" s="406">
        <f t="shared" si="125"/>
        <v>0.14400000000000002</v>
      </c>
      <c r="AB170" s="406">
        <f t="shared" si="126"/>
        <v>0</v>
      </c>
      <c r="AC170" s="406">
        <f t="shared" si="109"/>
        <v>0.53840467716340656</v>
      </c>
      <c r="AD170" s="406">
        <f t="shared" si="110"/>
        <v>4.287814271948803</v>
      </c>
      <c r="AE170" s="406">
        <f t="shared" si="111"/>
        <v>0.11031210738436706</v>
      </c>
      <c r="AF170" s="406">
        <f t="shared" si="127"/>
        <v>6.9552000000000003E-2</v>
      </c>
      <c r="AG170" s="406">
        <f t="shared" si="112"/>
        <v>0.18309573561619319</v>
      </c>
      <c r="AH170" s="406">
        <f t="shared" si="113"/>
        <v>0</v>
      </c>
      <c r="AI170">
        <f t="shared" si="128"/>
        <v>0</v>
      </c>
      <c r="AJ170" s="407">
        <f t="shared" si="129"/>
        <v>0.35956529999999998</v>
      </c>
      <c r="AK170">
        <f t="shared" si="134"/>
        <v>4.8000000000000001E-2</v>
      </c>
      <c r="AL170" s="407">
        <f t="shared" si="130"/>
        <v>0.1215</v>
      </c>
      <c r="AM170" s="407">
        <f t="shared" si="135"/>
        <v>0.31645971316818772</v>
      </c>
      <c r="AN170" s="407">
        <f t="shared" si="114"/>
        <v>0.16949999999999998</v>
      </c>
      <c r="AO170" s="407">
        <f t="shared" si="115"/>
        <v>1.9442761691461115</v>
      </c>
      <c r="AP170">
        <f t="shared" si="131"/>
        <v>24.632999999999999</v>
      </c>
      <c r="AQ170" s="10">
        <f t="shared" si="116"/>
        <v>0.92684441562889563</v>
      </c>
      <c r="AR170" s="63">
        <f t="shared" si="117"/>
        <v>26.920233858170327</v>
      </c>
      <c r="AS170" s="63">
        <f t="shared" si="118"/>
        <v>7.3238294246477276</v>
      </c>
      <c r="AT170" s="10"/>
      <c r="AU170">
        <f t="shared" si="119"/>
        <v>92.68444156288956</v>
      </c>
    </row>
    <row r="171" spans="7:47" x14ac:dyDescent="0.25">
      <c r="G171">
        <v>162</v>
      </c>
      <c r="H171">
        <f t="shared" si="120"/>
        <v>4.8600000000000003</v>
      </c>
      <c r="I171" s="406">
        <f t="shared" si="97"/>
        <v>0.21776499999999999</v>
      </c>
      <c r="J171" s="407">
        <f t="shared" si="121"/>
        <v>1.4441257894736839</v>
      </c>
      <c r="K171" s="407">
        <f t="shared" si="132"/>
        <v>5.5820628947368425</v>
      </c>
      <c r="L171" s="407">
        <f t="shared" si="98"/>
        <v>4.1379371052631582</v>
      </c>
      <c r="M171" s="63">
        <f t="shared" si="122"/>
        <v>0</v>
      </c>
      <c r="N171" s="406">
        <f t="shared" si="99"/>
        <v>4.8778470258901363</v>
      </c>
      <c r="O171" s="406">
        <f t="shared" si="100"/>
        <v>0.49470080825506429</v>
      </c>
      <c r="P171">
        <f t="shared" si="123"/>
        <v>0.2</v>
      </c>
      <c r="Q171" s="406">
        <f t="shared" si="133"/>
        <v>0.69470080825506431</v>
      </c>
      <c r="R171" s="9">
        <f t="shared" si="101"/>
        <v>0.41688320664815615</v>
      </c>
      <c r="S171" s="9">
        <f t="shared" si="102"/>
        <v>1.7379160798524927E-4</v>
      </c>
      <c r="T171" s="9">
        <f t="shared" si="103"/>
        <v>1.7379160798524927E-4</v>
      </c>
      <c r="U171" s="406">
        <f t="shared" si="104"/>
        <v>2.2762618310539118</v>
      </c>
      <c r="V171" s="408">
        <f t="shared" si="105"/>
        <v>5.1813679235129069E-3</v>
      </c>
      <c r="W171" s="406">
        <f t="shared" si="106"/>
        <v>5.1813679235129069E-3</v>
      </c>
      <c r="X171" s="406">
        <f t="shared" si="107"/>
        <v>2.2762618310539118</v>
      </c>
      <c r="Y171" s="406">
        <f t="shared" si="108"/>
        <v>3.1088207541077443E-2</v>
      </c>
      <c r="Z171" s="406">
        <f t="shared" si="124"/>
        <v>0.36264283730764746</v>
      </c>
      <c r="AA171" s="406">
        <f t="shared" si="125"/>
        <v>0.14400000000000002</v>
      </c>
      <c r="AB171" s="406">
        <f t="shared" si="126"/>
        <v>0</v>
      </c>
      <c r="AC171" s="406">
        <f t="shared" si="109"/>
        <v>0.54109538195547502</v>
      </c>
      <c r="AD171" s="406">
        <f t="shared" si="110"/>
        <v>4.3141654679059709</v>
      </c>
      <c r="AE171" s="406">
        <f t="shared" si="111"/>
        <v>0.11167214210683407</v>
      </c>
      <c r="AF171" s="406">
        <f t="shared" si="127"/>
        <v>6.9984000000000005E-2</v>
      </c>
      <c r="AG171" s="406">
        <f t="shared" si="112"/>
        <v>0.18496093959982693</v>
      </c>
      <c r="AH171" s="406">
        <f t="shared" si="113"/>
        <v>0</v>
      </c>
      <c r="AI171">
        <f t="shared" si="128"/>
        <v>0</v>
      </c>
      <c r="AJ171" s="407">
        <f t="shared" si="129"/>
        <v>0.35956259999999995</v>
      </c>
      <c r="AK171">
        <f t="shared" si="134"/>
        <v>4.8000000000000001E-2</v>
      </c>
      <c r="AL171" s="407">
        <f t="shared" si="130"/>
        <v>0.1215</v>
      </c>
      <c r="AM171" s="407">
        <f t="shared" si="135"/>
        <v>0.31645971316818772</v>
      </c>
      <c r="AN171" s="407">
        <f t="shared" si="114"/>
        <v>0.16949999999999998</v>
      </c>
      <c r="AO171" s="407">
        <f t="shared" si="115"/>
        <v>1.9551748893418641</v>
      </c>
      <c r="AP171">
        <f t="shared" si="131"/>
        <v>24.786000000000001</v>
      </c>
      <c r="AQ171" s="10">
        <f t="shared" si="116"/>
        <v>0.92688522858727751</v>
      </c>
      <c r="AR171" s="63">
        <f t="shared" si="117"/>
        <v>27.05476909777375</v>
      </c>
      <c r="AS171" s="63">
        <f t="shared" si="118"/>
        <v>7.3984375839930774</v>
      </c>
      <c r="AT171" s="10"/>
      <c r="AU171">
        <f t="shared" si="119"/>
        <v>92.688522858727751</v>
      </c>
    </row>
    <row r="172" spans="7:47" x14ac:dyDescent="0.25">
      <c r="G172">
        <v>163</v>
      </c>
      <c r="H172">
        <f t="shared" si="120"/>
        <v>4.8899999999999997</v>
      </c>
      <c r="I172" s="406">
        <f t="shared" si="97"/>
        <v>0.2177975</v>
      </c>
      <c r="J172" s="407">
        <f t="shared" si="121"/>
        <v>1.4443413157894736</v>
      </c>
      <c r="K172" s="407">
        <f t="shared" si="132"/>
        <v>5.6121706578947368</v>
      </c>
      <c r="L172" s="407">
        <f t="shared" si="98"/>
        <v>4.1678293421052626</v>
      </c>
      <c r="M172" s="63">
        <f t="shared" si="122"/>
        <v>0</v>
      </c>
      <c r="N172" s="406">
        <f t="shared" si="99"/>
        <v>4.9077432172409656</v>
      </c>
      <c r="O172" s="406">
        <f t="shared" si="100"/>
        <v>0.50102721065713185</v>
      </c>
      <c r="P172">
        <f t="shared" si="123"/>
        <v>0.2</v>
      </c>
      <c r="Q172" s="406">
        <f t="shared" si="133"/>
        <v>0.70102721065713181</v>
      </c>
      <c r="R172" s="9">
        <f t="shared" si="101"/>
        <v>0.41694542373637544</v>
      </c>
      <c r="S172" s="9">
        <f t="shared" si="102"/>
        <v>1.7384348637470567E-4</v>
      </c>
      <c r="T172" s="9">
        <f t="shared" si="103"/>
        <v>1.7384348637470567E-4</v>
      </c>
      <c r="U172" s="406">
        <f t="shared" si="104"/>
        <v>2.2903838709861923</v>
      </c>
      <c r="V172" s="408">
        <f t="shared" si="105"/>
        <v>5.2458582764736946E-3</v>
      </c>
      <c r="W172" s="406">
        <f t="shared" si="106"/>
        <v>5.2458582764736946E-3</v>
      </c>
      <c r="X172" s="406">
        <f t="shared" si="107"/>
        <v>2.2903838709861923</v>
      </c>
      <c r="Y172" s="406">
        <f t="shared" si="108"/>
        <v>3.1475149658842169E-2</v>
      </c>
      <c r="Z172" s="406">
        <f t="shared" si="124"/>
        <v>0.36489093497117148</v>
      </c>
      <c r="AA172" s="406">
        <f t="shared" si="125"/>
        <v>0.14400000000000002</v>
      </c>
      <c r="AB172" s="406">
        <f t="shared" si="126"/>
        <v>0</v>
      </c>
      <c r="AC172" s="406">
        <f t="shared" si="109"/>
        <v>0.54378925426216795</v>
      </c>
      <c r="AD172" s="406">
        <f t="shared" si="110"/>
        <v>4.3405166984935111</v>
      </c>
      <c r="AE172" s="406">
        <f t="shared" si="111"/>
        <v>0.11304051125940605</v>
      </c>
      <c r="AF172" s="406">
        <f t="shared" si="127"/>
        <v>7.0415999999999992E-2</v>
      </c>
      <c r="AG172" s="406">
        <f t="shared" si="112"/>
        <v>0.18683571196370888</v>
      </c>
      <c r="AH172" s="406">
        <f t="shared" si="113"/>
        <v>0</v>
      </c>
      <c r="AI172">
        <f t="shared" si="128"/>
        <v>0</v>
      </c>
      <c r="AJ172" s="407">
        <f t="shared" si="129"/>
        <v>0.35955989999999999</v>
      </c>
      <c r="AK172">
        <f t="shared" si="134"/>
        <v>4.8000000000000001E-2</v>
      </c>
      <c r="AL172" s="407">
        <f t="shared" si="130"/>
        <v>0.1215</v>
      </c>
      <c r="AM172" s="407">
        <f t="shared" si="135"/>
        <v>0.31645971316818772</v>
      </c>
      <c r="AN172" s="407">
        <f t="shared" si="114"/>
        <v>0.16949999999999998</v>
      </c>
      <c r="AO172" s="407">
        <f t="shared" si="115"/>
        <v>1.9661317786458572</v>
      </c>
      <c r="AP172">
        <f t="shared" si="131"/>
        <v>24.938999999999997</v>
      </c>
      <c r="AQ172" s="10">
        <f t="shared" si="116"/>
        <v>0.92692354028139934</v>
      </c>
      <c r="AR172" s="63">
        <f t="shared" si="117"/>
        <v>27.189462713108398</v>
      </c>
      <c r="AS172" s="63">
        <f t="shared" si="118"/>
        <v>7.4734284785483549</v>
      </c>
      <c r="AT172" s="10"/>
      <c r="AU172">
        <f t="shared" si="119"/>
        <v>92.692354028139931</v>
      </c>
    </row>
    <row r="173" spans="7:47" x14ac:dyDescent="0.25">
      <c r="G173">
        <v>164</v>
      </c>
      <c r="H173">
        <f t="shared" si="120"/>
        <v>4.92</v>
      </c>
      <c r="I173" s="406">
        <f t="shared" si="97"/>
        <v>0.21782999999999997</v>
      </c>
      <c r="J173" s="407">
        <f t="shared" si="121"/>
        <v>1.4445568421052628</v>
      </c>
      <c r="K173" s="407">
        <f t="shared" si="132"/>
        <v>5.6422784210526311</v>
      </c>
      <c r="L173" s="407">
        <f t="shared" si="98"/>
        <v>4.1977215789473687</v>
      </c>
      <c r="M173" s="63">
        <f t="shared" si="122"/>
        <v>0</v>
      </c>
      <c r="N173" s="406">
        <f t="shared" si="99"/>
        <v>4.9376406686297143</v>
      </c>
      <c r="O173" s="406">
        <f t="shared" si="100"/>
        <v>0.50739875799668488</v>
      </c>
      <c r="P173">
        <f t="shared" si="123"/>
        <v>0.2</v>
      </c>
      <c r="Q173" s="406">
        <f t="shared" si="133"/>
        <v>0.70739875799668495</v>
      </c>
      <c r="R173" s="9">
        <f t="shared" si="101"/>
        <v>0.41700764082459463</v>
      </c>
      <c r="S173" s="9">
        <f t="shared" si="102"/>
        <v>1.7389537250609414E-4</v>
      </c>
      <c r="T173" s="9">
        <f t="shared" si="103"/>
        <v>1.7389537250609414E-4</v>
      </c>
      <c r="U173" s="406">
        <f t="shared" si="104"/>
        <v>2.3045085682186128</v>
      </c>
      <c r="V173" s="408">
        <f t="shared" si="105"/>
        <v>5.3107597409930013E-3</v>
      </c>
      <c r="W173" s="406">
        <f t="shared" si="106"/>
        <v>5.3107597409930013E-3</v>
      </c>
      <c r="X173" s="406">
        <f t="shared" si="107"/>
        <v>2.3045085682186128</v>
      </c>
      <c r="Y173" s="406">
        <f t="shared" si="108"/>
        <v>3.1864558445958008E-2</v>
      </c>
      <c r="Z173" s="406">
        <f t="shared" si="124"/>
        <v>0.36713903263469561</v>
      </c>
      <c r="AA173" s="406">
        <f t="shared" si="125"/>
        <v>0.14400000000000002</v>
      </c>
      <c r="AB173" s="406">
        <f t="shared" si="126"/>
        <v>0</v>
      </c>
      <c r="AC173" s="406">
        <f t="shared" si="109"/>
        <v>0.54648630000997023</v>
      </c>
      <c r="AD173" s="406">
        <f t="shared" si="110"/>
        <v>4.3668679429899289</v>
      </c>
      <c r="AE173" s="406">
        <f t="shared" si="111"/>
        <v>0.11441721378907854</v>
      </c>
      <c r="AF173" s="406">
        <f t="shared" si="127"/>
        <v>7.0847999999999994E-2</v>
      </c>
      <c r="AG173" s="406">
        <f t="shared" si="112"/>
        <v>0.18872006564462249</v>
      </c>
      <c r="AH173" s="406">
        <f t="shared" si="113"/>
        <v>0</v>
      </c>
      <c r="AI173">
        <f t="shared" si="128"/>
        <v>0</v>
      </c>
      <c r="AJ173" s="407">
        <f t="shared" si="129"/>
        <v>0.35955719999999997</v>
      </c>
      <c r="AK173">
        <f t="shared" si="134"/>
        <v>4.8000000000000001E-2</v>
      </c>
      <c r="AL173" s="407">
        <f t="shared" si="130"/>
        <v>0.1215</v>
      </c>
      <c r="AM173" s="407">
        <f t="shared" si="135"/>
        <v>0.31645971316818772</v>
      </c>
      <c r="AN173" s="407">
        <f t="shared" si="114"/>
        <v>0.16949999999999998</v>
      </c>
      <c r="AO173" s="407">
        <f t="shared" si="115"/>
        <v>1.9771469787647769</v>
      </c>
      <c r="AP173">
        <f t="shared" si="131"/>
        <v>25.091999999999999</v>
      </c>
      <c r="AQ173" s="10">
        <f t="shared" si="116"/>
        <v>0.92695939106186798</v>
      </c>
      <c r="AR173" s="63">
        <f t="shared" si="117"/>
        <v>27.324315000498512</v>
      </c>
      <c r="AS173" s="63">
        <f t="shared" si="118"/>
        <v>7.5488026257848997</v>
      </c>
      <c r="AT173" s="10"/>
      <c r="AU173">
        <f t="shared" si="119"/>
        <v>92.695939106186799</v>
      </c>
    </row>
    <row r="174" spans="7:47" x14ac:dyDescent="0.25">
      <c r="G174">
        <v>165</v>
      </c>
      <c r="H174">
        <f t="shared" si="120"/>
        <v>4.9499999999999993</v>
      </c>
      <c r="I174" s="406">
        <f t="shared" ref="I174:I209" si="136">(Vout+Rdcr*H174+RdsonBot*H174)/(Vin-RdsonTop*H174+RdsonBot*H174)</f>
        <v>0.21786249999999999</v>
      </c>
      <c r="J174" s="407">
        <f t="shared" si="121"/>
        <v>1.4447723684210525</v>
      </c>
      <c r="K174" s="407">
        <f t="shared" si="132"/>
        <v>5.6723861842105254</v>
      </c>
      <c r="L174" s="407">
        <f t="shared" ref="L174:L209" si="137">H174-J174/2</f>
        <v>4.2276138157894732</v>
      </c>
      <c r="M174" s="63">
        <f t="shared" si="122"/>
        <v>0</v>
      </c>
      <c r="N174" s="406">
        <f t="shared" ref="N174:N209" si="138">SQRT(H174^2+(J174^2)/12)</f>
        <v>4.9675393573055269</v>
      </c>
      <c r="O174" s="406">
        <f t="shared" ref="O174:O209" si="139">(N174^2*Rdcr*(1+Ltc*Ta-Ltc*25))/(1-N174^2*Rdcr*Ltc*ThetaCa)</f>
        <v>0.51381557399366684</v>
      </c>
      <c r="P174">
        <f t="shared" si="123"/>
        <v>0.2</v>
      </c>
      <c r="Q174" s="406">
        <f t="shared" si="133"/>
        <v>0.71381557399366691</v>
      </c>
      <c r="R174" s="9">
        <f t="shared" ref="R174:R209" si="140">J174/(2*SQRT(3))</f>
        <v>0.41706985791281392</v>
      </c>
      <c r="S174" s="9">
        <f t="shared" ref="S174:S209" si="141">RCoutEsr*R174^2</f>
        <v>1.7394726637941479E-4</v>
      </c>
      <c r="T174" s="9">
        <f t="shared" ref="T174:T209" si="142">S174</f>
        <v>1.7394726637941479E-4</v>
      </c>
      <c r="U174" s="406">
        <f t="shared" ref="U174:U209" si="143">SQRT(I174)*SQRT(H174^2+(J174^2)/12)</f>
        <v>2.3186359120335354</v>
      </c>
      <c r="V174" s="408">
        <f t="shared" ref="V174:V209" si="144">RCinEsr*U174^2</f>
        <v>5.3760724925715842E-3</v>
      </c>
      <c r="W174" s="406">
        <f t="shared" ref="W174:W209" si="145">V174</f>
        <v>5.3760724925715842E-3</v>
      </c>
      <c r="X174" s="406">
        <f t="shared" ref="X174:X209" si="146">SQRT(I174)*SQRT(H174^2+(J174^2)/12)</f>
        <v>2.3186359120335354</v>
      </c>
      <c r="Y174" s="406">
        <f t="shared" ref="Y174:Y209" si="147">RdsonTop*X174^2</f>
        <v>3.2256434955429507E-2</v>
      </c>
      <c r="Z174" s="406">
        <f t="shared" si="124"/>
        <v>0.36938713029821962</v>
      </c>
      <c r="AA174" s="406">
        <f t="shared" si="125"/>
        <v>0.14400000000000002</v>
      </c>
      <c r="AB174" s="406">
        <f t="shared" si="126"/>
        <v>0</v>
      </c>
      <c r="AC174" s="406">
        <f t="shared" ref="AC174:AC209" si="148">(AB174+AA174+Z174+Y174*(1+RdsonTopTc*Ta-RdsonTopTc*25))/(1-Y174*RdsonTopTc*ThetaJaTop)</f>
        <v>0.54918652513895772</v>
      </c>
      <c r="AD174" s="406">
        <f t="shared" ref="AD174:AD209" si="149">SQRT(1-I174)*SQRT(H174^2+(J174^2)/12)</f>
        <v>4.3932191811708901</v>
      </c>
      <c r="AE174" s="406">
        <f t="shared" ref="AE174:AE209" si="150">RdsonBot*AD174^2</f>
        <v>0.11580224864284695</v>
      </c>
      <c r="AF174" s="406">
        <f t="shared" si="127"/>
        <v>7.1279999999999982E-2</v>
      </c>
      <c r="AG174" s="406">
        <f t="shared" ref="AG174:AG209" si="151">(AF174+AE174*(1+RdsonBotTc*Ta-RdsonBotTc*25))/(1-AE174*RdsonBotTc*ThetaJaBot)</f>
        <v>0.19061401366773692</v>
      </c>
      <c r="AH174" s="406">
        <f t="shared" ref="AH174:AH209" si="152">IF(RDSON_sense=1, 0, AD174^2*Rshunt)</f>
        <v>0</v>
      </c>
      <c r="AI174">
        <f t="shared" si="128"/>
        <v>0</v>
      </c>
      <c r="AJ174" s="407">
        <f t="shared" si="129"/>
        <v>0.3595545</v>
      </c>
      <c r="AK174">
        <f t="shared" si="134"/>
        <v>4.8000000000000001E-2</v>
      </c>
      <c r="AL174" s="407">
        <f t="shared" si="130"/>
        <v>0.1215</v>
      </c>
      <c r="AM174" s="407">
        <f t="shared" si="135"/>
        <v>0.31645971316818772</v>
      </c>
      <c r="AN174" s="407">
        <f t="shared" ref="AN174:AN209" si="153">SUM(AK174:AL174)</f>
        <v>0.16949999999999998</v>
      </c>
      <c r="AO174" s="407">
        <f t="shared" ref="AO174:AO209" si="154">SUM(Q174,T174,W174,AC174,AJ174,AI174,AG174,AN174, AH174)</f>
        <v>1.9882206325593126</v>
      </c>
      <c r="AP174">
        <f t="shared" si="131"/>
        <v>25.244999999999994</v>
      </c>
      <c r="AQ174" s="10">
        <f t="shared" ref="AQ174:AQ209" si="155">AP174/(AP174+AO174)</f>
        <v>0.92699282029896057</v>
      </c>
      <c r="AR174" s="63">
        <f t="shared" ref="AR174:AR209" si="156">ThetaJaTop*AC174</f>
        <v>27.459326256947886</v>
      </c>
      <c r="AS174" s="63">
        <f t="shared" ref="AS174:AS209" si="157">AG174*ThetaJaBot</f>
        <v>7.6245605467094766</v>
      </c>
      <c r="AT174" s="10"/>
      <c r="AU174">
        <f t="shared" ref="AU174:AU209" si="158">AQ174*100</f>
        <v>92.699282029896054</v>
      </c>
    </row>
    <row r="175" spans="7:47" x14ac:dyDescent="0.25">
      <c r="G175">
        <v>166</v>
      </c>
      <c r="H175">
        <f t="shared" si="120"/>
        <v>4.9799999999999995</v>
      </c>
      <c r="I175" s="406">
        <f t="shared" si="136"/>
        <v>0.21789499999999998</v>
      </c>
      <c r="J175" s="407">
        <f t="shared" si="121"/>
        <v>1.4449878947368417</v>
      </c>
      <c r="K175" s="407">
        <f t="shared" si="132"/>
        <v>5.7024939473684206</v>
      </c>
      <c r="L175" s="407">
        <f t="shared" si="137"/>
        <v>4.2575060526315784</v>
      </c>
      <c r="M175" s="63">
        <f t="shared" si="122"/>
        <v>0</v>
      </c>
      <c r="N175" s="406">
        <f t="shared" si="138"/>
        <v>4.9974392610610749</v>
      </c>
      <c r="O175" s="406">
        <f t="shared" si="139"/>
        <v>0.52027778342633946</v>
      </c>
      <c r="P175">
        <f t="shared" si="123"/>
        <v>0.2</v>
      </c>
      <c r="Q175" s="406">
        <f t="shared" si="133"/>
        <v>0.72027778342633941</v>
      </c>
      <c r="R175" s="9">
        <f t="shared" si="140"/>
        <v>0.41713207500103311</v>
      </c>
      <c r="S175" s="9">
        <f t="shared" si="141"/>
        <v>1.7399916799466751E-4</v>
      </c>
      <c r="T175" s="9">
        <f t="shared" si="142"/>
        <v>1.7399916799466751E-4</v>
      </c>
      <c r="U175" s="406">
        <f t="shared" si="143"/>
        <v>2.332765891963914</v>
      </c>
      <c r="V175" s="408">
        <f t="shared" si="144"/>
        <v>5.4417967067101952E-3</v>
      </c>
      <c r="W175" s="406">
        <f t="shared" si="145"/>
        <v>5.4417967067101952E-3</v>
      </c>
      <c r="X175" s="406">
        <f t="shared" si="146"/>
        <v>2.332765891963914</v>
      </c>
      <c r="Y175" s="406">
        <f t="shared" si="147"/>
        <v>3.2650780240261169E-2</v>
      </c>
      <c r="Z175" s="406">
        <f t="shared" si="124"/>
        <v>0.37163522796174375</v>
      </c>
      <c r="AA175" s="406">
        <f t="shared" si="125"/>
        <v>0.14400000000000002</v>
      </c>
      <c r="AB175" s="406">
        <f t="shared" si="126"/>
        <v>0</v>
      </c>
      <c r="AC175" s="406">
        <f t="shared" si="148"/>
        <v>0.55188993560284094</v>
      </c>
      <c r="AD175" s="406">
        <f t="shared" si="149"/>
        <v>4.4195703932944062</v>
      </c>
      <c r="AE175" s="406">
        <f t="shared" si="150"/>
        <v>0.11719561476770683</v>
      </c>
      <c r="AF175" s="406">
        <f t="shared" si="127"/>
        <v>7.1711999999999998E-2</v>
      </c>
      <c r="AG175" s="406">
        <f t="shared" si="151"/>
        <v>0.1925175691468671</v>
      </c>
      <c r="AH175" s="406">
        <f t="shared" si="152"/>
        <v>0</v>
      </c>
      <c r="AI175">
        <f t="shared" si="128"/>
        <v>0</v>
      </c>
      <c r="AJ175" s="407">
        <f t="shared" si="129"/>
        <v>0.35955180000000003</v>
      </c>
      <c r="AK175">
        <f t="shared" si="134"/>
        <v>4.8000000000000001E-2</v>
      </c>
      <c r="AL175" s="407">
        <f t="shared" si="130"/>
        <v>0.1215</v>
      </c>
      <c r="AM175" s="407">
        <f t="shared" si="135"/>
        <v>0.31645971316818772</v>
      </c>
      <c r="AN175" s="407">
        <f t="shared" si="153"/>
        <v>0.16949999999999998</v>
      </c>
      <c r="AO175" s="407">
        <f t="shared" si="154"/>
        <v>1.9993528840507522</v>
      </c>
      <c r="AP175">
        <f t="shared" si="131"/>
        <v>25.397999999999996</v>
      </c>
      <c r="AQ175" s="10">
        <f t="shared" si="155"/>
        <v>0.92702386641102597</v>
      </c>
      <c r="AR175" s="63">
        <f t="shared" si="156"/>
        <v>27.594496780142048</v>
      </c>
      <c r="AS175" s="63">
        <f t="shared" si="157"/>
        <v>7.7007027658746843</v>
      </c>
      <c r="AT175" s="10"/>
      <c r="AU175">
        <f t="shared" si="158"/>
        <v>92.702386641102592</v>
      </c>
    </row>
    <row r="176" spans="7:47" x14ac:dyDescent="0.25">
      <c r="G176">
        <v>167</v>
      </c>
      <c r="H176">
        <f t="shared" si="120"/>
        <v>5.01</v>
      </c>
      <c r="I176" s="406">
        <f t="shared" si="136"/>
        <v>0.21792749999999997</v>
      </c>
      <c r="J176" s="407">
        <f t="shared" si="121"/>
        <v>1.4452034210526312</v>
      </c>
      <c r="K176" s="407">
        <f t="shared" si="132"/>
        <v>5.7326017105263158</v>
      </c>
      <c r="L176" s="407">
        <f t="shared" si="137"/>
        <v>4.2873982894736837</v>
      </c>
      <c r="M176" s="63">
        <f t="shared" si="122"/>
        <v>0</v>
      </c>
      <c r="N176" s="406">
        <f t="shared" si="138"/>
        <v>5.0273403582164446</v>
      </c>
      <c r="O176" s="406">
        <f t="shared" si="139"/>
        <v>0.52678551213764002</v>
      </c>
      <c r="P176">
        <f t="shared" si="123"/>
        <v>0.2</v>
      </c>
      <c r="Q176" s="406">
        <f t="shared" si="133"/>
        <v>0.72678551213764009</v>
      </c>
      <c r="R176" s="9">
        <f t="shared" si="140"/>
        <v>0.41719429208925235</v>
      </c>
      <c r="S176" s="9">
        <f t="shared" si="141"/>
        <v>1.740510773518524E-4</v>
      </c>
      <c r="T176" s="9">
        <f t="shared" si="142"/>
        <v>1.740510773518524E-4</v>
      </c>
      <c r="U176" s="406">
        <f t="shared" si="143"/>
        <v>2.3468984977858747</v>
      </c>
      <c r="V176" s="408">
        <f t="shared" si="144"/>
        <v>5.5079325589095958E-3</v>
      </c>
      <c r="W176" s="406">
        <f t="shared" si="145"/>
        <v>5.5079325589095958E-3</v>
      </c>
      <c r="X176" s="406">
        <f t="shared" si="146"/>
        <v>2.3468984977858747</v>
      </c>
      <c r="Y176" s="406">
        <f t="shared" si="147"/>
        <v>3.3047595353457575E-2</v>
      </c>
      <c r="Z176" s="406">
        <f t="shared" si="124"/>
        <v>0.37388332562526783</v>
      </c>
      <c r="AA176" s="406">
        <f t="shared" si="125"/>
        <v>0.14400000000000002</v>
      </c>
      <c r="AB176" s="406">
        <f t="shared" si="126"/>
        <v>0</v>
      </c>
      <c r="AC176" s="406">
        <f t="shared" si="148"/>
        <v>0.55459653736900538</v>
      </c>
      <c r="AD176" s="406">
        <f t="shared" si="149"/>
        <v>4.4459215600865312</v>
      </c>
      <c r="AE176" s="406">
        <f t="shared" si="150"/>
        <v>0.11859731111065352</v>
      </c>
      <c r="AF176" s="406">
        <f t="shared" si="127"/>
        <v>7.2144E-2</v>
      </c>
      <c r="AG176" s="406">
        <f t="shared" si="151"/>
        <v>0.19443074528473511</v>
      </c>
      <c r="AH176" s="406">
        <f t="shared" si="152"/>
        <v>0</v>
      </c>
      <c r="AI176">
        <f t="shared" si="128"/>
        <v>0</v>
      </c>
      <c r="AJ176" s="407">
        <f t="shared" si="129"/>
        <v>0.35954910000000001</v>
      </c>
      <c r="AK176">
        <f t="shared" si="134"/>
        <v>4.8000000000000001E-2</v>
      </c>
      <c r="AL176" s="407">
        <f t="shared" si="130"/>
        <v>0.1215</v>
      </c>
      <c r="AM176" s="407">
        <f t="shared" si="135"/>
        <v>0.31645971316818772</v>
      </c>
      <c r="AN176" s="407">
        <f t="shared" si="153"/>
        <v>0.16949999999999998</v>
      </c>
      <c r="AO176" s="407">
        <f t="shared" si="154"/>
        <v>2.0105438784276419</v>
      </c>
      <c r="AP176">
        <f t="shared" si="131"/>
        <v>25.550999999999998</v>
      </c>
      <c r="AQ176" s="10">
        <f t="shared" si="155"/>
        <v>0.92705256689189708</v>
      </c>
      <c r="AR176" s="63">
        <f t="shared" si="156"/>
        <v>27.729826868450267</v>
      </c>
      <c r="AS176" s="63">
        <f t="shared" si="157"/>
        <v>7.7772298113894047</v>
      </c>
      <c r="AT176" s="10"/>
      <c r="AU176">
        <f t="shared" si="158"/>
        <v>92.70525668918971</v>
      </c>
    </row>
    <row r="177" spans="7:47" x14ac:dyDescent="0.25">
      <c r="G177">
        <v>168</v>
      </c>
      <c r="H177">
        <f t="shared" si="120"/>
        <v>5.04</v>
      </c>
      <c r="I177" s="406">
        <f t="shared" si="136"/>
        <v>0.21795999999999996</v>
      </c>
      <c r="J177" s="407">
        <f t="shared" si="121"/>
        <v>1.4454189473684205</v>
      </c>
      <c r="K177" s="407">
        <f t="shared" si="132"/>
        <v>5.7627094736842102</v>
      </c>
      <c r="L177" s="407">
        <f t="shared" si="137"/>
        <v>4.3172905263157899</v>
      </c>
      <c r="M177" s="63">
        <f t="shared" si="122"/>
        <v>0</v>
      </c>
      <c r="N177" s="406">
        <f t="shared" si="138"/>
        <v>5.0572426276036007</v>
      </c>
      <c r="O177" s="406">
        <f t="shared" si="139"/>
        <v>0.53333888704160692</v>
      </c>
      <c r="P177">
        <f t="shared" si="123"/>
        <v>0.2</v>
      </c>
      <c r="Q177" s="406">
        <f t="shared" si="133"/>
        <v>0.73333888704160688</v>
      </c>
      <c r="R177" s="9">
        <f t="shared" si="140"/>
        <v>0.41725650917747154</v>
      </c>
      <c r="S177" s="9">
        <f t="shared" si="141"/>
        <v>1.7410299445096939E-4</v>
      </c>
      <c r="T177" s="9">
        <f t="shared" si="142"/>
        <v>1.7410299445096939E-4</v>
      </c>
      <c r="U177" s="406">
        <f t="shared" si="143"/>
        <v>2.3610337195115476</v>
      </c>
      <c r="V177" s="408">
        <f t="shared" si="144"/>
        <v>5.5744802246705336E-3</v>
      </c>
      <c r="W177" s="406">
        <f t="shared" si="145"/>
        <v>5.5744802246705336E-3</v>
      </c>
      <c r="X177" s="406">
        <f t="shared" si="146"/>
        <v>2.3610337195115476</v>
      </c>
      <c r="Y177" s="406">
        <f t="shared" si="147"/>
        <v>3.3446881348023198E-2</v>
      </c>
      <c r="Z177" s="406">
        <f t="shared" si="124"/>
        <v>0.37613142328879196</v>
      </c>
      <c r="AA177" s="406">
        <f t="shared" si="125"/>
        <v>0.14400000000000002</v>
      </c>
      <c r="AB177" s="406">
        <f t="shared" si="126"/>
        <v>0</v>
      </c>
      <c r="AC177" s="406">
        <f t="shared" si="148"/>
        <v>0.55730633641855365</v>
      </c>
      <c r="AD177" s="406">
        <f t="shared" si="149"/>
        <v>4.4722726627275797</v>
      </c>
      <c r="AE177" s="406">
        <f t="shared" si="150"/>
        <v>0.12000733661868263</v>
      </c>
      <c r="AF177" s="406">
        <f t="shared" si="127"/>
        <v>7.2576000000000002E-2</v>
      </c>
      <c r="AG177" s="406">
        <f t="shared" si="151"/>
        <v>0.19635355537323479</v>
      </c>
      <c r="AH177" s="406">
        <f t="shared" si="152"/>
        <v>0</v>
      </c>
      <c r="AI177">
        <f t="shared" si="128"/>
        <v>0</v>
      </c>
      <c r="AJ177" s="407">
        <f t="shared" si="129"/>
        <v>0.35954639999999999</v>
      </c>
      <c r="AK177">
        <f t="shared" si="134"/>
        <v>4.8000000000000001E-2</v>
      </c>
      <c r="AL177" s="407">
        <f t="shared" si="130"/>
        <v>0.1215</v>
      </c>
      <c r="AM177" s="407">
        <f t="shared" si="135"/>
        <v>0.31645971316818772</v>
      </c>
      <c r="AN177" s="407">
        <f t="shared" si="153"/>
        <v>0.16949999999999998</v>
      </c>
      <c r="AO177" s="407">
        <f t="shared" si="154"/>
        <v>2.0217937620525168</v>
      </c>
      <c r="AP177">
        <f t="shared" si="131"/>
        <v>25.703999999999997</v>
      </c>
      <c r="AQ177" s="10">
        <f t="shared" si="155"/>
        <v>0.92707895833735565</v>
      </c>
      <c r="AR177" s="63">
        <f t="shared" si="156"/>
        <v>27.865316820927681</v>
      </c>
      <c r="AS177" s="63">
        <f t="shared" si="157"/>
        <v>7.8541422149293911</v>
      </c>
      <c r="AT177" s="10"/>
      <c r="AU177">
        <f t="shared" si="158"/>
        <v>92.707895833735563</v>
      </c>
    </row>
    <row r="178" spans="7:47" x14ac:dyDescent="0.25">
      <c r="G178">
        <v>169</v>
      </c>
      <c r="H178">
        <f t="shared" si="120"/>
        <v>5.07</v>
      </c>
      <c r="I178" s="406">
        <f t="shared" si="136"/>
        <v>0.21799250000000001</v>
      </c>
      <c r="J178" s="407">
        <f t="shared" si="121"/>
        <v>1.4456344736842104</v>
      </c>
      <c r="K178" s="407">
        <f t="shared" si="132"/>
        <v>5.7928172368421054</v>
      </c>
      <c r="L178" s="407">
        <f t="shared" si="137"/>
        <v>4.3471827631578952</v>
      </c>
      <c r="M178" s="63">
        <f t="shared" si="122"/>
        <v>0</v>
      </c>
      <c r="N178" s="406">
        <f t="shared" si="138"/>
        <v>5.0871460485513902</v>
      </c>
      <c r="O178" s="406">
        <f t="shared" si="139"/>
        <v>0.53993803612987179</v>
      </c>
      <c r="P178">
        <f t="shared" si="123"/>
        <v>0.2</v>
      </c>
      <c r="Q178" s="406">
        <f t="shared" si="133"/>
        <v>0.73993803612987175</v>
      </c>
      <c r="R178" s="9">
        <f t="shared" si="140"/>
        <v>0.41731872626569094</v>
      </c>
      <c r="S178" s="9">
        <f t="shared" si="141"/>
        <v>1.7415491929201869E-4</v>
      </c>
      <c r="T178" s="9">
        <f t="shared" si="142"/>
        <v>1.7415491929201869E-4</v>
      </c>
      <c r="U178" s="406">
        <f t="shared" si="143"/>
        <v>2.3751715473821604</v>
      </c>
      <c r="V178" s="408">
        <f t="shared" si="144"/>
        <v>5.6414398794937658E-3</v>
      </c>
      <c r="W178" s="406">
        <f t="shared" si="145"/>
        <v>5.6414398794937658E-3</v>
      </c>
      <c r="X178" s="406">
        <f t="shared" si="146"/>
        <v>2.3751715473821604</v>
      </c>
      <c r="Y178" s="406">
        <f t="shared" si="147"/>
        <v>3.3848639276962598E-2</v>
      </c>
      <c r="Z178" s="406">
        <f t="shared" si="124"/>
        <v>0.37837952095231608</v>
      </c>
      <c r="AA178" s="406">
        <f t="shared" si="125"/>
        <v>0.14400000000000002</v>
      </c>
      <c r="AB178" s="406">
        <f t="shared" si="126"/>
        <v>0</v>
      </c>
      <c r="AC178" s="406">
        <f t="shared" si="148"/>
        <v>0.56001933874634835</v>
      </c>
      <c r="AD178" s="406">
        <f t="shared" si="149"/>
        <v>4.4986236828388142</v>
      </c>
      <c r="AE178" s="406">
        <f t="shared" si="150"/>
        <v>0.12142569023878955</v>
      </c>
      <c r="AF178" s="406">
        <f t="shared" si="127"/>
        <v>7.3008000000000003E-2</v>
      </c>
      <c r="AG178" s="406">
        <f t="shared" si="151"/>
        <v>0.19828601279369709</v>
      </c>
      <c r="AH178" s="406">
        <f t="shared" si="152"/>
        <v>0</v>
      </c>
      <c r="AI178">
        <f t="shared" si="128"/>
        <v>0</v>
      </c>
      <c r="AJ178" s="407">
        <f t="shared" si="129"/>
        <v>0.35954370000000002</v>
      </c>
      <c r="AK178">
        <f t="shared" si="134"/>
        <v>4.8000000000000001E-2</v>
      </c>
      <c r="AL178" s="407">
        <f t="shared" si="130"/>
        <v>0.1215</v>
      </c>
      <c r="AM178" s="407">
        <f t="shared" si="135"/>
        <v>0.31645971316818772</v>
      </c>
      <c r="AN178" s="407">
        <f t="shared" si="153"/>
        <v>0.16949999999999998</v>
      </c>
      <c r="AO178" s="407">
        <f t="shared" si="154"/>
        <v>2.0331026824687033</v>
      </c>
      <c r="AP178">
        <f t="shared" si="131"/>
        <v>25.856999999999999</v>
      </c>
      <c r="AQ178" s="10">
        <f t="shared" si="155"/>
        <v>0.92710307647068368</v>
      </c>
      <c r="AR178" s="63">
        <f t="shared" si="156"/>
        <v>28.000966937317418</v>
      </c>
      <c r="AS178" s="63">
        <f t="shared" si="157"/>
        <v>7.9314405117478834</v>
      </c>
      <c r="AT178" s="10"/>
      <c r="AU178">
        <f t="shared" si="158"/>
        <v>92.710307647068362</v>
      </c>
    </row>
    <row r="179" spans="7:47" x14ac:dyDescent="0.25">
      <c r="G179">
        <v>170</v>
      </c>
      <c r="H179">
        <f t="shared" si="120"/>
        <v>5.0999999999999996</v>
      </c>
      <c r="I179" s="406">
        <f t="shared" si="136"/>
        <v>0.218025</v>
      </c>
      <c r="J179" s="407">
        <f t="shared" si="121"/>
        <v>1.4458499999999999</v>
      </c>
      <c r="K179" s="407">
        <f t="shared" si="132"/>
        <v>5.8229249999999997</v>
      </c>
      <c r="L179" s="407">
        <f t="shared" si="137"/>
        <v>4.3770749999999996</v>
      </c>
      <c r="M179" s="63">
        <f t="shared" si="122"/>
        <v>0</v>
      </c>
      <c r="N179" s="406">
        <f t="shared" si="138"/>
        <v>5.1170506008710719</v>
      </c>
      <c r="O179" s="406">
        <f t="shared" si="139"/>
        <v>0.54658308847822057</v>
      </c>
      <c r="P179">
        <f t="shared" si="123"/>
        <v>0.2</v>
      </c>
      <c r="Q179" s="406">
        <f t="shared" si="133"/>
        <v>0.74658308847822052</v>
      </c>
      <c r="R179" s="9">
        <f t="shared" si="140"/>
        <v>0.41738094335391018</v>
      </c>
      <c r="S179" s="9">
        <f t="shared" si="141"/>
        <v>1.7420685187499998E-4</v>
      </c>
      <c r="T179" s="9">
        <f t="shared" si="142"/>
        <v>1.7420685187499998E-4</v>
      </c>
      <c r="U179" s="406">
        <f t="shared" si="143"/>
        <v>2.3893119718613653</v>
      </c>
      <c r="V179" s="408">
        <f t="shared" si="144"/>
        <v>5.7088116988800461E-3</v>
      </c>
      <c r="W179" s="406">
        <f t="shared" si="145"/>
        <v>5.7088116988800461E-3</v>
      </c>
      <c r="X179" s="406">
        <f t="shared" si="146"/>
        <v>2.3893119718613653</v>
      </c>
      <c r="Y179" s="406">
        <f t="shared" si="147"/>
        <v>3.4252870193280278E-2</v>
      </c>
      <c r="Z179" s="406">
        <f t="shared" si="124"/>
        <v>0.3806276186158401</v>
      </c>
      <c r="AA179" s="406">
        <f t="shared" si="125"/>
        <v>0.14400000000000002</v>
      </c>
      <c r="AB179" s="406">
        <f t="shared" si="126"/>
        <v>0</v>
      </c>
      <c r="AC179" s="406">
        <f t="shared" si="148"/>
        <v>0.56273555036105261</v>
      </c>
      <c r="AD179" s="406">
        <f t="shared" si="149"/>
        <v>4.5249746024696043</v>
      </c>
      <c r="AE179" s="406">
        <f t="shared" si="150"/>
        <v>0.12285237091796972</v>
      </c>
      <c r="AF179" s="406">
        <f t="shared" si="127"/>
        <v>7.3439999999999991E-2</v>
      </c>
      <c r="AG179" s="406">
        <f t="shared" si="151"/>
        <v>0.20022813101715878</v>
      </c>
      <c r="AH179" s="406">
        <f t="shared" si="152"/>
        <v>0</v>
      </c>
      <c r="AI179">
        <f t="shared" si="128"/>
        <v>0</v>
      </c>
      <c r="AJ179" s="407">
        <f t="shared" si="129"/>
        <v>0.359541</v>
      </c>
      <c r="AK179">
        <f t="shared" si="134"/>
        <v>4.8000000000000001E-2</v>
      </c>
      <c r="AL179" s="407">
        <f t="shared" si="130"/>
        <v>0.1215</v>
      </c>
      <c r="AM179" s="407">
        <f t="shared" si="135"/>
        <v>0.31645971316818772</v>
      </c>
      <c r="AN179" s="407">
        <f t="shared" si="153"/>
        <v>0.16949999999999998</v>
      </c>
      <c r="AO179" s="407">
        <f t="shared" si="154"/>
        <v>2.0444707884071871</v>
      </c>
      <c r="AP179">
        <f t="shared" si="131"/>
        <v>26.009999999999998</v>
      </c>
      <c r="AQ179" s="10">
        <f t="shared" si="155"/>
        <v>0.92712495616734225</v>
      </c>
      <c r="AR179" s="63">
        <f t="shared" si="156"/>
        <v>28.136777518052629</v>
      </c>
      <c r="AS179" s="63">
        <f t="shared" si="157"/>
        <v>8.0091252406863518</v>
      </c>
      <c r="AT179" s="10"/>
      <c r="AU179">
        <f t="shared" si="158"/>
        <v>92.71249561673423</v>
      </c>
    </row>
    <row r="180" spans="7:47" x14ac:dyDescent="0.25">
      <c r="G180">
        <v>171</v>
      </c>
      <c r="H180">
        <f t="shared" si="120"/>
        <v>5.13</v>
      </c>
      <c r="I180" s="406">
        <f t="shared" si="136"/>
        <v>0.21805749999999999</v>
      </c>
      <c r="J180" s="407">
        <f t="shared" si="121"/>
        <v>1.4460655263157893</v>
      </c>
      <c r="K180" s="407">
        <f t="shared" si="132"/>
        <v>5.8530327631578949</v>
      </c>
      <c r="L180" s="407">
        <f t="shared" si="137"/>
        <v>4.4069672368421049</v>
      </c>
      <c r="M180" s="63">
        <f t="shared" si="122"/>
        <v>0</v>
      </c>
      <c r="N180" s="406">
        <f t="shared" si="138"/>
        <v>5.1469562648423501</v>
      </c>
      <c r="O180" s="406">
        <f t="shared" si="139"/>
        <v>0.55327417425322289</v>
      </c>
      <c r="P180">
        <f t="shared" si="123"/>
        <v>0.2</v>
      </c>
      <c r="Q180" s="406">
        <f t="shared" si="133"/>
        <v>0.75327417425322296</v>
      </c>
      <c r="R180" s="9">
        <f t="shared" si="140"/>
        <v>0.41744316044212942</v>
      </c>
      <c r="S180" s="9">
        <f t="shared" si="141"/>
        <v>1.7425879219991341E-4</v>
      </c>
      <c r="T180" s="9">
        <f t="shared" si="142"/>
        <v>1.7425879219991341E-4</v>
      </c>
      <c r="U180" s="406">
        <f t="shared" si="143"/>
        <v>2.4034549836288037</v>
      </c>
      <c r="V180" s="408">
        <f t="shared" si="144"/>
        <v>5.7765958583301334E-3</v>
      </c>
      <c r="W180" s="406">
        <f t="shared" si="145"/>
        <v>5.7765958583301334E-3</v>
      </c>
      <c r="X180" s="406">
        <f t="shared" si="146"/>
        <v>2.4034549836288037</v>
      </c>
      <c r="Y180" s="406">
        <f t="shared" si="147"/>
        <v>3.4659575149980804E-2</v>
      </c>
      <c r="Z180" s="406">
        <f t="shared" si="124"/>
        <v>0.38287571627936429</v>
      </c>
      <c r="AA180" s="406">
        <f t="shared" si="125"/>
        <v>0.14400000000000002</v>
      </c>
      <c r="AB180" s="406">
        <f t="shared" si="126"/>
        <v>0</v>
      </c>
      <c r="AC180" s="406">
        <f t="shared" si="148"/>
        <v>0.56545497728517424</v>
      </c>
      <c r="AD180" s="406">
        <f t="shared" si="149"/>
        <v>4.5513254040850324</v>
      </c>
      <c r="AE180" s="406">
        <f t="shared" si="150"/>
        <v>0.1242873776032187</v>
      </c>
      <c r="AF180" s="406">
        <f t="shared" si="127"/>
        <v>7.3871999999999993E-2</v>
      </c>
      <c r="AG180" s="406">
        <f t="shared" si="151"/>
        <v>0.20217992360463294</v>
      </c>
      <c r="AH180" s="406">
        <f t="shared" si="152"/>
        <v>0</v>
      </c>
      <c r="AI180">
        <f t="shared" si="128"/>
        <v>0</v>
      </c>
      <c r="AJ180" s="407">
        <f t="shared" si="129"/>
        <v>0.35953829999999998</v>
      </c>
      <c r="AK180">
        <f t="shared" si="134"/>
        <v>4.8000000000000001E-2</v>
      </c>
      <c r="AL180" s="407">
        <f t="shared" si="130"/>
        <v>0.1215</v>
      </c>
      <c r="AM180" s="407">
        <f t="shared" si="135"/>
        <v>0.31645971316818772</v>
      </c>
      <c r="AN180" s="407">
        <f t="shared" si="153"/>
        <v>0.16949999999999998</v>
      </c>
      <c r="AO180" s="407">
        <f t="shared" si="154"/>
        <v>2.0558982297935602</v>
      </c>
      <c r="AP180">
        <f t="shared" si="131"/>
        <v>26.162999999999997</v>
      </c>
      <c r="AQ180" s="10">
        <f t="shared" si="155"/>
        <v>0.92714463147881021</v>
      </c>
      <c r="AR180" s="63">
        <f t="shared" si="156"/>
        <v>28.272748864258713</v>
      </c>
      <c r="AS180" s="63">
        <f t="shared" si="157"/>
        <v>8.0871969441853171</v>
      </c>
      <c r="AT180" s="10"/>
      <c r="AU180">
        <f t="shared" si="158"/>
        <v>92.71446314788102</v>
      </c>
    </row>
    <row r="181" spans="7:47" x14ac:dyDescent="0.25">
      <c r="G181">
        <v>172</v>
      </c>
      <c r="H181">
        <f t="shared" si="120"/>
        <v>5.16</v>
      </c>
      <c r="I181" s="406">
        <f t="shared" si="136"/>
        <v>0.21809000000000001</v>
      </c>
      <c r="J181" s="407">
        <f t="shared" si="121"/>
        <v>1.4462810526315786</v>
      </c>
      <c r="K181" s="407">
        <f t="shared" si="132"/>
        <v>5.8831405263157892</v>
      </c>
      <c r="L181" s="407">
        <f t="shared" si="137"/>
        <v>4.4368594736842111</v>
      </c>
      <c r="M181" s="63">
        <f t="shared" si="122"/>
        <v>0</v>
      </c>
      <c r="N181" s="406">
        <f t="shared" si="138"/>
        <v>5.176863021199881</v>
      </c>
      <c r="O181" s="406">
        <f t="shared" si="139"/>
        <v>0.5600114247189304</v>
      </c>
      <c r="P181">
        <f t="shared" si="123"/>
        <v>0.2</v>
      </c>
      <c r="Q181" s="406">
        <f t="shared" si="133"/>
        <v>0.76001142471893046</v>
      </c>
      <c r="R181" s="9">
        <f t="shared" si="140"/>
        <v>0.41750537753034861</v>
      </c>
      <c r="S181" s="9">
        <f t="shared" si="141"/>
        <v>1.7431074026675892E-4</v>
      </c>
      <c r="T181" s="9">
        <f t="shared" si="142"/>
        <v>1.7431074026675892E-4</v>
      </c>
      <c r="U181" s="406">
        <f t="shared" si="143"/>
        <v>2.417600573573885</v>
      </c>
      <c r="V181" s="408">
        <f t="shared" si="144"/>
        <v>5.8447925333447786E-3</v>
      </c>
      <c r="W181" s="406">
        <f t="shared" si="145"/>
        <v>5.8447925333447786E-3</v>
      </c>
      <c r="X181" s="406">
        <f t="shared" si="146"/>
        <v>2.417600573573885</v>
      </c>
      <c r="Y181" s="406">
        <f t="shared" si="147"/>
        <v>3.506875520006867E-2</v>
      </c>
      <c r="Z181" s="406">
        <f t="shared" si="124"/>
        <v>0.38512381394288842</v>
      </c>
      <c r="AA181" s="406">
        <f t="shared" si="125"/>
        <v>0.14400000000000002</v>
      </c>
      <c r="AB181" s="406">
        <f t="shared" si="126"/>
        <v>0</v>
      </c>
      <c r="AC181" s="406">
        <f t="shared" si="148"/>
        <v>0.56817762555510687</v>
      </c>
      <c r="AD181" s="406">
        <f t="shared" si="149"/>
        <v>4.5776760705539203</v>
      </c>
      <c r="AE181" s="406">
        <f t="shared" si="150"/>
        <v>0.12573070924153187</v>
      </c>
      <c r="AF181" s="406">
        <f t="shared" si="127"/>
        <v>7.4303999999999995E-2</v>
      </c>
      <c r="AG181" s="406">
        <f t="shared" si="151"/>
        <v>0.20414140420738089</v>
      </c>
      <c r="AH181" s="406">
        <f t="shared" si="152"/>
        <v>0</v>
      </c>
      <c r="AI181">
        <f t="shared" si="128"/>
        <v>0</v>
      </c>
      <c r="AJ181" s="407">
        <f t="shared" si="129"/>
        <v>0.35953559999999996</v>
      </c>
      <c r="AK181">
        <f t="shared" si="134"/>
        <v>4.8000000000000001E-2</v>
      </c>
      <c r="AL181" s="407">
        <f t="shared" si="130"/>
        <v>0.1215</v>
      </c>
      <c r="AM181" s="407">
        <f t="shared" si="135"/>
        <v>0.31645971316818772</v>
      </c>
      <c r="AN181" s="407">
        <f t="shared" si="153"/>
        <v>0.16949999999999998</v>
      </c>
      <c r="AO181" s="407">
        <f t="shared" si="154"/>
        <v>2.0673851577550293</v>
      </c>
      <c r="AP181">
        <f t="shared" si="131"/>
        <v>26.315999999999999</v>
      </c>
      <c r="AQ181" s="10">
        <f t="shared" si="155"/>
        <v>0.92716213565561367</v>
      </c>
      <c r="AR181" s="63">
        <f t="shared" si="156"/>
        <v>28.408881277755345</v>
      </c>
      <c r="AS181" s="63">
        <f t="shared" si="157"/>
        <v>8.1656561682952358</v>
      </c>
      <c r="AT181" s="10"/>
      <c r="AU181">
        <f t="shared" si="158"/>
        <v>92.716213565561361</v>
      </c>
    </row>
    <row r="182" spans="7:47" x14ac:dyDescent="0.25">
      <c r="G182">
        <v>173</v>
      </c>
      <c r="H182">
        <f t="shared" si="120"/>
        <v>5.1899999999999995</v>
      </c>
      <c r="I182" s="406">
        <f t="shared" si="136"/>
        <v>0.21812249999999997</v>
      </c>
      <c r="J182" s="407">
        <f t="shared" si="121"/>
        <v>1.4464965789473681</v>
      </c>
      <c r="K182" s="407">
        <f t="shared" si="132"/>
        <v>5.9132482894736835</v>
      </c>
      <c r="L182" s="407">
        <f t="shared" si="137"/>
        <v>4.4667517105263155</v>
      </c>
      <c r="M182" s="63">
        <f t="shared" si="122"/>
        <v>0</v>
      </c>
      <c r="N182" s="406">
        <f t="shared" si="138"/>
        <v>5.206770851120254</v>
      </c>
      <c r="O182" s="406">
        <f t="shared" si="139"/>
        <v>0.56679497224364594</v>
      </c>
      <c r="P182">
        <f t="shared" si="123"/>
        <v>0.2</v>
      </c>
      <c r="Q182" s="406">
        <f t="shared" si="133"/>
        <v>0.76679497224364601</v>
      </c>
      <c r="R182" s="9">
        <f t="shared" si="140"/>
        <v>0.41756759461856785</v>
      </c>
      <c r="S182" s="9">
        <f t="shared" si="141"/>
        <v>1.7436269607553663E-4</v>
      </c>
      <c r="T182" s="9">
        <f t="shared" si="142"/>
        <v>1.7436269607553663E-4</v>
      </c>
      <c r="U182" s="406">
        <f t="shared" si="143"/>
        <v>2.4317487327897869</v>
      </c>
      <c r="V182" s="408">
        <f t="shared" si="144"/>
        <v>5.9134018994247339E-3</v>
      </c>
      <c r="W182" s="406">
        <f t="shared" si="145"/>
        <v>5.9134018994247339E-3</v>
      </c>
      <c r="X182" s="406">
        <f t="shared" si="146"/>
        <v>2.4317487327897869</v>
      </c>
      <c r="Y182" s="406">
        <f t="shared" si="147"/>
        <v>3.5480411396548409E-2</v>
      </c>
      <c r="Z182" s="406">
        <f t="shared" si="124"/>
        <v>0.38737191160641243</v>
      </c>
      <c r="AA182" s="406">
        <f t="shared" si="125"/>
        <v>0.14400000000000002</v>
      </c>
      <c r="AB182" s="406">
        <f t="shared" si="126"/>
        <v>0</v>
      </c>
      <c r="AC182" s="406">
        <f t="shared" si="148"/>
        <v>0.57090350122117228</v>
      </c>
      <c r="AD182" s="406">
        <f t="shared" si="149"/>
        <v>4.6040265851372748</v>
      </c>
      <c r="AE182" s="406">
        <f t="shared" si="150"/>
        <v>0.12718236477990477</v>
      </c>
      <c r="AF182" s="406">
        <f t="shared" si="127"/>
        <v>7.4735999999999997E-2</v>
      </c>
      <c r="AG182" s="406">
        <f t="shared" si="151"/>
        <v>0.20611258656718762</v>
      </c>
      <c r="AH182" s="406">
        <f t="shared" si="152"/>
        <v>0</v>
      </c>
      <c r="AI182">
        <f t="shared" si="128"/>
        <v>0</v>
      </c>
      <c r="AJ182" s="407">
        <f t="shared" si="129"/>
        <v>0.35953289999999999</v>
      </c>
      <c r="AK182">
        <f t="shared" si="134"/>
        <v>4.8000000000000001E-2</v>
      </c>
      <c r="AL182" s="407">
        <f t="shared" si="130"/>
        <v>0.1215</v>
      </c>
      <c r="AM182" s="407">
        <f t="shared" si="135"/>
        <v>0.31645971316818772</v>
      </c>
      <c r="AN182" s="407">
        <f t="shared" si="153"/>
        <v>0.16949999999999998</v>
      </c>
      <c r="AO182" s="407">
        <f t="shared" si="154"/>
        <v>2.0789317246275063</v>
      </c>
      <c r="AP182">
        <f t="shared" si="131"/>
        <v>26.468999999999994</v>
      </c>
      <c r="AQ182" s="10">
        <f t="shared" si="155"/>
        <v>0.9271775011695832</v>
      </c>
      <c r="AR182" s="63">
        <f t="shared" si="156"/>
        <v>28.545175061058615</v>
      </c>
      <c r="AS182" s="63">
        <f t="shared" si="157"/>
        <v>8.2445034626875042</v>
      </c>
      <c r="AT182" s="10"/>
      <c r="AU182">
        <f t="shared" si="158"/>
        <v>92.717750116958314</v>
      </c>
    </row>
    <row r="183" spans="7:47" x14ac:dyDescent="0.25">
      <c r="G183">
        <v>174</v>
      </c>
      <c r="H183">
        <f t="shared" si="120"/>
        <v>5.22</v>
      </c>
      <c r="I183" s="406">
        <f t="shared" si="136"/>
        <v>0.21815499999999999</v>
      </c>
      <c r="J183" s="407">
        <f t="shared" si="121"/>
        <v>1.4467121052631575</v>
      </c>
      <c r="K183" s="407">
        <f t="shared" si="132"/>
        <v>5.9433560526315787</v>
      </c>
      <c r="L183" s="407">
        <f t="shared" si="137"/>
        <v>4.4966439473684208</v>
      </c>
      <c r="M183" s="63">
        <f t="shared" si="122"/>
        <v>0</v>
      </c>
      <c r="N183" s="406">
        <f t="shared" si="138"/>
        <v>5.2366797362094086</v>
      </c>
      <c r="O183" s="406">
        <f t="shared" si="139"/>
        <v>0.57362495030676441</v>
      </c>
      <c r="P183">
        <f t="shared" si="123"/>
        <v>0.2</v>
      </c>
      <c r="Q183" s="406">
        <f t="shared" si="133"/>
        <v>0.77362495030676448</v>
      </c>
      <c r="R183" s="9">
        <f t="shared" si="140"/>
        <v>0.41762981170678715</v>
      </c>
      <c r="S183" s="9">
        <f t="shared" si="141"/>
        <v>1.7441465962624652E-4</v>
      </c>
      <c r="T183" s="9">
        <f t="shared" si="142"/>
        <v>1.7441465962624652E-4</v>
      </c>
      <c r="U183" s="406">
        <f t="shared" si="143"/>
        <v>2.4458994525676565</v>
      </c>
      <c r="V183" s="408">
        <f t="shared" si="144"/>
        <v>5.9824241320707615E-3</v>
      </c>
      <c r="W183" s="406">
        <f t="shared" si="145"/>
        <v>5.9824241320707615E-3</v>
      </c>
      <c r="X183" s="406">
        <f t="shared" si="146"/>
        <v>2.4458994525676565</v>
      </c>
      <c r="Y183" s="406">
        <f t="shared" si="147"/>
        <v>3.5894544792424571E-2</v>
      </c>
      <c r="Z183" s="406">
        <f t="shared" si="124"/>
        <v>0.38962000926993656</v>
      </c>
      <c r="AA183" s="406">
        <f t="shared" si="125"/>
        <v>0.14400000000000002</v>
      </c>
      <c r="AB183" s="406">
        <f t="shared" si="126"/>
        <v>0</v>
      </c>
      <c r="AC183" s="406">
        <f t="shared" si="148"/>
        <v>0.57363261034766511</v>
      </c>
      <c r="AD183" s="406">
        <f t="shared" si="149"/>
        <v>4.6303769314771213</v>
      </c>
      <c r="AE183" s="406">
        <f t="shared" si="150"/>
        <v>0.12864234316533291</v>
      </c>
      <c r="AF183" s="406">
        <f t="shared" si="127"/>
        <v>7.5167999999999999E-2</v>
      </c>
      <c r="AG183" s="406">
        <f t="shared" si="151"/>
        <v>0.20809348451663839</v>
      </c>
      <c r="AH183" s="406">
        <f t="shared" si="152"/>
        <v>0</v>
      </c>
      <c r="AI183">
        <f t="shared" si="128"/>
        <v>0</v>
      </c>
      <c r="AJ183" s="407">
        <f t="shared" si="129"/>
        <v>0.35953019999999997</v>
      </c>
      <c r="AK183">
        <f t="shared" si="134"/>
        <v>4.8000000000000001E-2</v>
      </c>
      <c r="AL183" s="407">
        <f t="shared" si="130"/>
        <v>0.1215</v>
      </c>
      <c r="AM183" s="407">
        <f t="shared" si="135"/>
        <v>0.31645971316818772</v>
      </c>
      <c r="AN183" s="407">
        <f t="shared" si="153"/>
        <v>0.16949999999999998</v>
      </c>
      <c r="AO183" s="407">
        <f t="shared" si="154"/>
        <v>2.0905380839627652</v>
      </c>
      <c r="AP183">
        <f t="shared" si="131"/>
        <v>26.621999999999996</v>
      </c>
      <c r="AQ183" s="10">
        <f t="shared" si="155"/>
        <v>0.92719075973536369</v>
      </c>
      <c r="AR183" s="63">
        <f t="shared" si="156"/>
        <v>28.681630517383255</v>
      </c>
      <c r="AS183" s="63">
        <f t="shared" si="157"/>
        <v>8.3237393806655362</v>
      </c>
      <c r="AT183" s="10"/>
      <c r="AU183">
        <f t="shared" si="158"/>
        <v>92.719075973536363</v>
      </c>
    </row>
    <row r="184" spans="7:47" x14ac:dyDescent="0.25">
      <c r="G184">
        <v>175</v>
      </c>
      <c r="H184">
        <f t="shared" si="120"/>
        <v>5.25</v>
      </c>
      <c r="I184" s="406">
        <f t="shared" si="136"/>
        <v>0.21818750000000001</v>
      </c>
      <c r="J184" s="407">
        <f t="shared" si="121"/>
        <v>1.4469276315789474</v>
      </c>
      <c r="K184" s="407">
        <f t="shared" si="132"/>
        <v>5.9734638157894739</v>
      </c>
      <c r="L184" s="407">
        <f t="shared" si="137"/>
        <v>4.5265361842105261</v>
      </c>
      <c r="M184" s="63">
        <f t="shared" si="122"/>
        <v>0</v>
      </c>
      <c r="N184" s="406">
        <f t="shared" si="138"/>
        <v>5.2665896584904814</v>
      </c>
      <c r="O184" s="406">
        <f t="shared" si="139"/>
        <v>0.58050149350568281</v>
      </c>
      <c r="P184">
        <f t="shared" si="123"/>
        <v>0.2</v>
      </c>
      <c r="Q184" s="406">
        <f t="shared" si="133"/>
        <v>0.78050149350568288</v>
      </c>
      <c r="R184" s="9">
        <f t="shared" si="140"/>
        <v>0.4176920287950065</v>
      </c>
      <c r="S184" s="9">
        <f t="shared" si="141"/>
        <v>1.7446663091888852E-4</v>
      </c>
      <c r="T184" s="9">
        <f t="shared" si="142"/>
        <v>1.7446663091888852E-4</v>
      </c>
      <c r="U184" s="406">
        <f t="shared" si="143"/>
        <v>2.4600527243910064</v>
      </c>
      <c r="V184" s="408">
        <f t="shared" si="144"/>
        <v>6.0518594067836134E-3</v>
      </c>
      <c r="W184" s="406">
        <f t="shared" si="145"/>
        <v>6.0518594067836134E-3</v>
      </c>
      <c r="X184" s="406">
        <f t="shared" si="146"/>
        <v>2.4600527243910064</v>
      </c>
      <c r="Y184" s="406">
        <f t="shared" si="147"/>
        <v>3.6311156440701681E-2</v>
      </c>
      <c r="Z184" s="406">
        <f t="shared" si="124"/>
        <v>0.39186810693346069</v>
      </c>
      <c r="AA184" s="406">
        <f t="shared" si="125"/>
        <v>0.14400000000000002</v>
      </c>
      <c r="AB184" s="406">
        <f t="shared" si="126"/>
        <v>0</v>
      </c>
      <c r="AC184" s="406">
        <f t="shared" si="148"/>
        <v>0.57636495901289364</v>
      </c>
      <c r="AD184" s="406">
        <f t="shared" si="149"/>
        <v>4.6567270935857161</v>
      </c>
      <c r="AE184" s="406">
        <f t="shared" si="150"/>
        <v>0.13011064334481165</v>
      </c>
      <c r="AF184" s="406">
        <f t="shared" si="127"/>
        <v>7.5600000000000001E-2</v>
      </c>
      <c r="AG184" s="406">
        <f t="shared" si="151"/>
        <v>0.21008411197939769</v>
      </c>
      <c r="AH184" s="406">
        <f t="shared" si="152"/>
        <v>0</v>
      </c>
      <c r="AI184">
        <f t="shared" si="128"/>
        <v>0</v>
      </c>
      <c r="AJ184" s="407">
        <f t="shared" si="129"/>
        <v>0.35952749999999994</v>
      </c>
      <c r="AK184">
        <f t="shared" si="134"/>
        <v>4.8000000000000001E-2</v>
      </c>
      <c r="AL184" s="407">
        <f t="shared" si="130"/>
        <v>0.1215</v>
      </c>
      <c r="AM184" s="407">
        <f t="shared" si="135"/>
        <v>0.31645971316818772</v>
      </c>
      <c r="AN184" s="407">
        <f t="shared" si="153"/>
        <v>0.16949999999999998</v>
      </c>
      <c r="AO184" s="407">
        <f t="shared" si="154"/>
        <v>2.1022043905356766</v>
      </c>
      <c r="AP184">
        <f t="shared" si="131"/>
        <v>26.774999999999999</v>
      </c>
      <c r="AQ184" s="10">
        <f t="shared" si="155"/>
        <v>0.92720194233120923</v>
      </c>
      <c r="AR184" s="63">
        <f t="shared" si="156"/>
        <v>28.818247950644682</v>
      </c>
      <c r="AS184" s="63">
        <f t="shared" si="157"/>
        <v>8.4033644791759077</v>
      </c>
      <c r="AT184" s="10"/>
      <c r="AU184">
        <f t="shared" si="158"/>
        <v>92.720194233120921</v>
      </c>
    </row>
    <row r="185" spans="7:47" x14ac:dyDescent="0.25">
      <c r="G185">
        <v>176</v>
      </c>
      <c r="H185">
        <f t="shared" si="120"/>
        <v>5.28</v>
      </c>
      <c r="I185" s="406">
        <f t="shared" si="136"/>
        <v>0.21821999999999997</v>
      </c>
      <c r="J185" s="407">
        <f t="shared" si="121"/>
        <v>1.4471431578947365</v>
      </c>
      <c r="K185" s="407">
        <f t="shared" si="132"/>
        <v>6.0035715789473683</v>
      </c>
      <c r="L185" s="407">
        <f t="shared" si="137"/>
        <v>4.5564284210526322</v>
      </c>
      <c r="M185" s="63">
        <f t="shared" si="122"/>
        <v>0</v>
      </c>
      <c r="N185" s="406">
        <f t="shared" si="138"/>
        <v>5.2965006003920614</v>
      </c>
      <c r="O185" s="406">
        <f t="shared" si="139"/>
        <v>0.58742473756278457</v>
      </c>
      <c r="P185">
        <f t="shared" si="123"/>
        <v>0.2</v>
      </c>
      <c r="Q185" s="406">
        <f t="shared" si="133"/>
        <v>0.78742473756278453</v>
      </c>
      <c r="R185" s="9">
        <f t="shared" si="140"/>
        <v>0.41775424588322563</v>
      </c>
      <c r="S185" s="9">
        <f t="shared" si="141"/>
        <v>1.7451860995346255E-4</v>
      </c>
      <c r="T185" s="9">
        <f t="shared" si="142"/>
        <v>1.7451860995346255E-4</v>
      </c>
      <c r="U185" s="406">
        <f t="shared" si="143"/>
        <v>2.4742085399303035</v>
      </c>
      <c r="V185" s="408">
        <f t="shared" si="144"/>
        <v>6.1217078990640442E-3</v>
      </c>
      <c r="W185" s="406">
        <f t="shared" si="145"/>
        <v>6.1217078990640442E-3</v>
      </c>
      <c r="X185" s="406">
        <f t="shared" si="146"/>
        <v>2.4742085399303035</v>
      </c>
      <c r="Y185" s="406">
        <f t="shared" si="147"/>
        <v>3.6730247394384269E-2</v>
      </c>
      <c r="Z185" s="406">
        <f t="shared" si="124"/>
        <v>0.39411620459698476</v>
      </c>
      <c r="AA185" s="406">
        <f t="shared" si="125"/>
        <v>0.14400000000000002</v>
      </c>
      <c r="AB185" s="406">
        <f t="shared" si="126"/>
        <v>0</v>
      </c>
      <c r="AC185" s="406">
        <f t="shared" si="148"/>
        <v>0.5791005533092235</v>
      </c>
      <c r="AD185" s="406">
        <f t="shared" si="149"/>
        <v>4.6830770558351293</v>
      </c>
      <c r="AE185" s="406">
        <f t="shared" si="150"/>
        <v>0.13158726426533654</v>
      </c>
      <c r="AF185" s="406">
        <f t="shared" si="127"/>
        <v>7.6032000000000002E-2</v>
      </c>
      <c r="AG185" s="406">
        <f t="shared" si="151"/>
        <v>0.21208448297049098</v>
      </c>
      <c r="AH185" s="406">
        <f t="shared" si="152"/>
        <v>0</v>
      </c>
      <c r="AI185">
        <f t="shared" si="128"/>
        <v>0</v>
      </c>
      <c r="AJ185" s="407">
        <f t="shared" si="129"/>
        <v>0.35952479999999998</v>
      </c>
      <c r="AK185">
        <f t="shared" si="134"/>
        <v>4.8000000000000001E-2</v>
      </c>
      <c r="AL185" s="407">
        <f t="shared" si="130"/>
        <v>0.1215</v>
      </c>
      <c r="AM185" s="407">
        <f t="shared" si="135"/>
        <v>0.31645971316818772</v>
      </c>
      <c r="AN185" s="407">
        <f t="shared" si="153"/>
        <v>0.16949999999999998</v>
      </c>
      <c r="AO185" s="407">
        <f t="shared" si="154"/>
        <v>2.1139308003515165</v>
      </c>
      <c r="AP185">
        <f t="shared" si="131"/>
        <v>26.928000000000001</v>
      </c>
      <c r="AQ185" s="10">
        <f t="shared" si="155"/>
        <v>0.92721107921908796</v>
      </c>
      <c r="AR185" s="63">
        <f t="shared" si="156"/>
        <v>28.955027665461174</v>
      </c>
      <c r="AS185" s="63">
        <f t="shared" si="157"/>
        <v>8.4833793188196402</v>
      </c>
      <c r="AT185" s="10"/>
      <c r="AU185">
        <f t="shared" si="158"/>
        <v>92.721107921908796</v>
      </c>
    </row>
    <row r="186" spans="7:47" x14ac:dyDescent="0.25">
      <c r="G186">
        <v>177</v>
      </c>
      <c r="H186">
        <f t="shared" si="120"/>
        <v>5.3100000000000005</v>
      </c>
      <c r="I186" s="406">
        <f t="shared" si="136"/>
        <v>0.21825249999999999</v>
      </c>
      <c r="J186" s="407">
        <f t="shared" si="121"/>
        <v>1.4473586842105262</v>
      </c>
      <c r="K186" s="407">
        <f t="shared" si="132"/>
        <v>6.0336793421052635</v>
      </c>
      <c r="L186" s="407">
        <f t="shared" si="137"/>
        <v>4.5863206578947375</v>
      </c>
      <c r="M186" s="63">
        <f t="shared" si="122"/>
        <v>0</v>
      </c>
      <c r="N186" s="406">
        <f t="shared" si="138"/>
        <v>5.3264125447368391</v>
      </c>
      <c r="O186" s="406">
        <f t="shared" si="139"/>
        <v>0.59439481933249538</v>
      </c>
      <c r="P186">
        <f t="shared" si="123"/>
        <v>0.2</v>
      </c>
      <c r="Q186" s="406">
        <f t="shared" si="133"/>
        <v>0.79439481933249545</v>
      </c>
      <c r="R186" s="9">
        <f t="shared" si="140"/>
        <v>0.41781646297144492</v>
      </c>
      <c r="S186" s="9">
        <f t="shared" si="141"/>
        <v>1.745705967299688E-4</v>
      </c>
      <c r="T186" s="9">
        <f t="shared" si="142"/>
        <v>1.745705967299688E-4</v>
      </c>
      <c r="U186" s="406">
        <f t="shared" si="143"/>
        <v>2.4883668910377361</v>
      </c>
      <c r="V186" s="408">
        <f t="shared" si="144"/>
        <v>6.1919697844128093E-3</v>
      </c>
      <c r="W186" s="406">
        <f t="shared" si="145"/>
        <v>6.1919697844128093E-3</v>
      </c>
      <c r="X186" s="406">
        <f t="shared" si="146"/>
        <v>2.4883668910377361</v>
      </c>
      <c r="Y186" s="406">
        <f t="shared" si="147"/>
        <v>3.7151818706476852E-2</v>
      </c>
      <c r="Z186" s="406">
        <f t="shared" si="124"/>
        <v>0.39636430226050889</v>
      </c>
      <c r="AA186" s="406">
        <f t="shared" si="125"/>
        <v>0.14400000000000002</v>
      </c>
      <c r="AB186" s="406">
        <f t="shared" si="126"/>
        <v>0</v>
      </c>
      <c r="AC186" s="406">
        <f t="shared" si="148"/>
        <v>0.58183939934312201</v>
      </c>
      <c r="AD186" s="406">
        <f t="shared" si="149"/>
        <v>4.7094268029471662</v>
      </c>
      <c r="AE186" s="406">
        <f t="shared" si="150"/>
        <v>0.13307220487390301</v>
      </c>
      <c r="AF186" s="406">
        <f t="shared" si="127"/>
        <v>7.6464000000000004E-2</v>
      </c>
      <c r="AG186" s="406">
        <f t="shared" si="151"/>
        <v>0.2140946115965878</v>
      </c>
      <c r="AH186" s="406">
        <f t="shared" si="152"/>
        <v>0</v>
      </c>
      <c r="AI186">
        <f t="shared" si="128"/>
        <v>0</v>
      </c>
      <c r="AJ186" s="407">
        <f t="shared" si="129"/>
        <v>0.35952209999999996</v>
      </c>
      <c r="AK186">
        <f t="shared" si="134"/>
        <v>4.8000000000000001E-2</v>
      </c>
      <c r="AL186" s="407">
        <f t="shared" si="130"/>
        <v>0.1215</v>
      </c>
      <c r="AM186" s="407">
        <f t="shared" si="135"/>
        <v>0.31645971316818772</v>
      </c>
      <c r="AN186" s="407">
        <f t="shared" si="153"/>
        <v>0.16949999999999998</v>
      </c>
      <c r="AO186" s="407">
        <f t="shared" si="154"/>
        <v>2.1257174706533482</v>
      </c>
      <c r="AP186">
        <f t="shared" si="131"/>
        <v>27.081</v>
      </c>
      <c r="AQ186" s="10">
        <f t="shared" si="155"/>
        <v>0.92721819996412636</v>
      </c>
      <c r="AR186" s="63">
        <f t="shared" si="156"/>
        <v>29.0919699671561</v>
      </c>
      <c r="AS186" s="63">
        <f t="shared" si="157"/>
        <v>8.5637844638635112</v>
      </c>
      <c r="AT186" s="10"/>
      <c r="AU186">
        <f t="shared" si="158"/>
        <v>92.721819996412634</v>
      </c>
    </row>
    <row r="187" spans="7:47" x14ac:dyDescent="0.25">
      <c r="G187">
        <v>178</v>
      </c>
      <c r="H187">
        <f t="shared" si="120"/>
        <v>5.34</v>
      </c>
      <c r="I187" s="406">
        <f t="shared" si="136"/>
        <v>0.21828499999999998</v>
      </c>
      <c r="J187" s="407">
        <f t="shared" si="121"/>
        <v>1.4475742105263154</v>
      </c>
      <c r="K187" s="407">
        <f t="shared" si="132"/>
        <v>6.0637871052631578</v>
      </c>
      <c r="L187" s="407">
        <f t="shared" si="137"/>
        <v>4.6162128947368419</v>
      </c>
      <c r="M187" s="63">
        <f t="shared" si="122"/>
        <v>0</v>
      </c>
      <c r="N187" s="406">
        <f t="shared" si="138"/>
        <v>5.3563254747306388</v>
      </c>
      <c r="O187" s="406">
        <f t="shared" si="139"/>
        <v>0.60141187680841424</v>
      </c>
      <c r="P187">
        <f t="shared" si="123"/>
        <v>0.2</v>
      </c>
      <c r="Q187" s="406">
        <f t="shared" si="133"/>
        <v>0.80141187680841419</v>
      </c>
      <c r="R187" s="9">
        <f t="shared" si="140"/>
        <v>0.41787868005966411</v>
      </c>
      <c r="S187" s="9">
        <f t="shared" si="141"/>
        <v>1.7462259124840712E-4</v>
      </c>
      <c r="T187" s="9">
        <f t="shared" si="142"/>
        <v>1.7462259124840712E-4</v>
      </c>
      <c r="U187" s="406">
        <f t="shared" si="143"/>
        <v>2.5025277697421577</v>
      </c>
      <c r="V187" s="408">
        <f t="shared" si="144"/>
        <v>6.2626452383306589E-3</v>
      </c>
      <c r="W187" s="406">
        <f t="shared" si="145"/>
        <v>6.2626452383306589E-3</v>
      </c>
      <c r="X187" s="406">
        <f t="shared" si="146"/>
        <v>2.5025277697421577</v>
      </c>
      <c r="Y187" s="406">
        <f t="shared" si="147"/>
        <v>3.7575871429983948E-2</v>
      </c>
      <c r="Z187" s="406">
        <f t="shared" si="124"/>
        <v>0.39861239992403291</v>
      </c>
      <c r="AA187" s="406">
        <f t="shared" si="125"/>
        <v>0.14400000000000002</v>
      </c>
      <c r="AB187" s="406">
        <f t="shared" si="126"/>
        <v>0</v>
      </c>
      <c r="AC187" s="406">
        <f t="shared" si="148"/>
        <v>0.58458150323519942</v>
      </c>
      <c r="AD187" s="406">
        <f t="shared" si="149"/>
        <v>4.7357763199836356</v>
      </c>
      <c r="AE187" s="406">
        <f t="shared" si="150"/>
        <v>0.13456546411750647</v>
      </c>
      <c r="AF187" s="406">
        <f t="shared" si="127"/>
        <v>7.6895999999999992E-2</v>
      </c>
      <c r="AG187" s="406">
        <f t="shared" si="151"/>
        <v>0.21611451205628771</v>
      </c>
      <c r="AH187" s="406">
        <f t="shared" si="152"/>
        <v>0</v>
      </c>
      <c r="AI187">
        <f t="shared" si="128"/>
        <v>0</v>
      </c>
      <c r="AJ187" s="407">
        <f t="shared" si="129"/>
        <v>0.35951939999999999</v>
      </c>
      <c r="AK187">
        <f t="shared" si="134"/>
        <v>4.8000000000000001E-2</v>
      </c>
      <c r="AL187" s="407">
        <f t="shared" si="130"/>
        <v>0.1215</v>
      </c>
      <c r="AM187" s="407">
        <f t="shared" si="135"/>
        <v>0.31645971316818772</v>
      </c>
      <c r="AN187" s="407">
        <f t="shared" si="153"/>
        <v>0.16949999999999998</v>
      </c>
      <c r="AO187" s="407">
        <f t="shared" si="154"/>
        <v>2.1375645599294804</v>
      </c>
      <c r="AP187">
        <f t="shared" si="131"/>
        <v>27.233999999999998</v>
      </c>
      <c r="AQ187" s="10">
        <f t="shared" si="155"/>
        <v>0.92722333345341501</v>
      </c>
      <c r="AR187" s="63">
        <f t="shared" si="156"/>
        <v>29.229075161759972</v>
      </c>
      <c r="AS187" s="63">
        <f t="shared" si="157"/>
        <v>8.6445804822515075</v>
      </c>
      <c r="AT187" s="10"/>
      <c r="AU187">
        <f t="shared" si="158"/>
        <v>92.722333345341497</v>
      </c>
    </row>
    <row r="188" spans="7:47" x14ac:dyDescent="0.25">
      <c r="G188">
        <v>179</v>
      </c>
      <c r="H188">
        <f t="shared" si="120"/>
        <v>5.37</v>
      </c>
      <c r="I188" s="406">
        <f t="shared" si="136"/>
        <v>0.21831749999999997</v>
      </c>
      <c r="J188" s="407">
        <f t="shared" si="121"/>
        <v>1.4477897368421049</v>
      </c>
      <c r="K188" s="407">
        <f t="shared" si="132"/>
        <v>6.093894868421053</v>
      </c>
      <c r="L188" s="407">
        <f t="shared" si="137"/>
        <v>4.6461051315789472</v>
      </c>
      <c r="M188" s="63">
        <f t="shared" si="122"/>
        <v>0</v>
      </c>
      <c r="N188" s="406">
        <f t="shared" si="138"/>
        <v>5.3862393739518089</v>
      </c>
      <c r="O188" s="406">
        <f t="shared" si="139"/>
        <v>0.608476049130517</v>
      </c>
      <c r="P188">
        <f t="shared" si="123"/>
        <v>0.2</v>
      </c>
      <c r="Q188" s="406">
        <f t="shared" si="133"/>
        <v>0.80847604913051696</v>
      </c>
      <c r="R188" s="9">
        <f t="shared" si="140"/>
        <v>0.41794089714788335</v>
      </c>
      <c r="S188" s="9">
        <f t="shared" si="141"/>
        <v>1.7467459350877762E-4</v>
      </c>
      <c r="T188" s="9">
        <f t="shared" si="142"/>
        <v>1.7467459350877762E-4</v>
      </c>
      <c r="U188" s="406">
        <f t="shared" si="143"/>
        <v>2.5166911682441988</v>
      </c>
      <c r="V188" s="408">
        <f t="shared" si="144"/>
        <v>6.3337344363183501E-3</v>
      </c>
      <c r="W188" s="406">
        <f t="shared" si="145"/>
        <v>6.3337344363183501E-3</v>
      </c>
      <c r="X188" s="406">
        <f t="shared" si="146"/>
        <v>2.5166911682441988</v>
      </c>
      <c r="Y188" s="406">
        <f t="shared" si="147"/>
        <v>3.8002406617910101E-2</v>
      </c>
      <c r="Z188" s="406">
        <f t="shared" si="124"/>
        <v>0.4008604975875571</v>
      </c>
      <c r="AA188" s="406">
        <f t="shared" si="125"/>
        <v>0.14400000000000002</v>
      </c>
      <c r="AB188" s="406">
        <f t="shared" si="126"/>
        <v>0</v>
      </c>
      <c r="AC188" s="406">
        <f t="shared" si="148"/>
        <v>0.5873268711202545</v>
      </c>
      <c r="AD188" s="406">
        <f t="shared" si="149"/>
        <v>4.762125592336937</v>
      </c>
      <c r="AE188" s="406">
        <f t="shared" si="150"/>
        <v>0.13606704094314254</v>
      </c>
      <c r="AF188" s="406">
        <f t="shared" si="127"/>
        <v>7.7327999999999994E-2</v>
      </c>
      <c r="AG188" s="406">
        <f t="shared" si="151"/>
        <v>0.21814419864040871</v>
      </c>
      <c r="AH188" s="406">
        <f t="shared" si="152"/>
        <v>0</v>
      </c>
      <c r="AI188">
        <f t="shared" si="128"/>
        <v>0</v>
      </c>
      <c r="AJ188" s="407">
        <f t="shared" si="129"/>
        <v>0.35951670000000002</v>
      </c>
      <c r="AK188">
        <f t="shared" si="134"/>
        <v>4.8000000000000001E-2</v>
      </c>
      <c r="AL188" s="407">
        <f t="shared" si="130"/>
        <v>0.1215</v>
      </c>
      <c r="AM188" s="407">
        <f t="shared" si="135"/>
        <v>0.31645971316818772</v>
      </c>
      <c r="AN188" s="407">
        <f t="shared" si="153"/>
        <v>0.16949999999999998</v>
      </c>
      <c r="AO188" s="407">
        <f t="shared" si="154"/>
        <v>2.1494722279210068</v>
      </c>
      <c r="AP188">
        <f t="shared" si="131"/>
        <v>27.386999999999997</v>
      </c>
      <c r="AQ188" s="10">
        <f t="shared" si="155"/>
        <v>0.9272265079142018</v>
      </c>
      <c r="AR188" s="63">
        <f t="shared" si="156"/>
        <v>29.366343556012726</v>
      </c>
      <c r="AS188" s="63">
        <f t="shared" si="157"/>
        <v>8.7257679456163491</v>
      </c>
      <c r="AT188" s="10"/>
      <c r="AU188">
        <f t="shared" si="158"/>
        <v>92.722650791420179</v>
      </c>
    </row>
    <row r="189" spans="7:47" x14ac:dyDescent="0.25">
      <c r="G189">
        <v>180</v>
      </c>
      <c r="H189">
        <f t="shared" si="120"/>
        <v>5.4</v>
      </c>
      <c r="I189" s="406">
        <f t="shared" si="136"/>
        <v>0.21834999999999996</v>
      </c>
      <c r="J189" s="407">
        <f t="shared" si="121"/>
        <v>1.4480052631578944</v>
      </c>
      <c r="K189" s="407">
        <f t="shared" si="132"/>
        <v>6.1240026315789473</v>
      </c>
      <c r="L189" s="407">
        <f t="shared" si="137"/>
        <v>4.6759973684210534</v>
      </c>
      <c r="M189" s="63">
        <f t="shared" si="122"/>
        <v>0</v>
      </c>
      <c r="N189" s="406">
        <f t="shared" si="138"/>
        <v>5.4161542263409634</v>
      </c>
      <c r="O189" s="406">
        <f t="shared" si="139"/>
        <v>0.61558747659243662</v>
      </c>
      <c r="P189">
        <f t="shared" si="123"/>
        <v>0.2</v>
      </c>
      <c r="Q189" s="406">
        <f t="shared" si="133"/>
        <v>0.81558747659243669</v>
      </c>
      <c r="R189" s="9">
        <f t="shared" si="140"/>
        <v>0.41800311423610265</v>
      </c>
      <c r="S189" s="9">
        <f t="shared" si="141"/>
        <v>1.7472660351108027E-4</v>
      </c>
      <c r="T189" s="9">
        <f t="shared" si="142"/>
        <v>1.7472660351108027E-4</v>
      </c>
      <c r="U189" s="406">
        <f t="shared" si="143"/>
        <v>2.5308570789115379</v>
      </c>
      <c r="V189" s="408">
        <f t="shared" si="144"/>
        <v>6.4052375538766419E-3</v>
      </c>
      <c r="W189" s="406">
        <f t="shared" si="145"/>
        <v>6.4052375538766419E-3</v>
      </c>
      <c r="X189" s="406">
        <f t="shared" si="146"/>
        <v>2.5308570789115379</v>
      </c>
      <c r="Y189" s="406">
        <f t="shared" si="147"/>
        <v>3.8431425323259855E-2</v>
      </c>
      <c r="Z189" s="406">
        <f t="shared" si="124"/>
        <v>0.40310859525108117</v>
      </c>
      <c r="AA189" s="406">
        <f t="shared" si="125"/>
        <v>0.14400000000000002</v>
      </c>
      <c r="AB189" s="406">
        <f t="shared" si="126"/>
        <v>0</v>
      </c>
      <c r="AC189" s="406">
        <f t="shared" si="148"/>
        <v>0.59007550914731699</v>
      </c>
      <c r="AD189" s="406">
        <f t="shared" si="149"/>
        <v>4.7884746057209533</v>
      </c>
      <c r="AE189" s="406">
        <f t="shared" si="150"/>
        <v>0.13757693429780665</v>
      </c>
      <c r="AF189" s="406">
        <f t="shared" si="127"/>
        <v>7.776000000000001E-2</v>
      </c>
      <c r="AG189" s="406">
        <f t="shared" si="151"/>
        <v>0.22018368573227678</v>
      </c>
      <c r="AH189" s="406">
        <f t="shared" si="152"/>
        <v>0</v>
      </c>
      <c r="AI189">
        <f t="shared" si="128"/>
        <v>0</v>
      </c>
      <c r="AJ189" s="407">
        <f t="shared" si="129"/>
        <v>0.359514</v>
      </c>
      <c r="AK189">
        <f t="shared" si="134"/>
        <v>4.8000000000000001E-2</v>
      </c>
      <c r="AL189" s="407">
        <f t="shared" si="130"/>
        <v>0.1215</v>
      </c>
      <c r="AM189" s="407">
        <f t="shared" si="135"/>
        <v>0.31645971316818772</v>
      </c>
      <c r="AN189" s="407">
        <f t="shared" si="153"/>
        <v>0.16949999999999998</v>
      </c>
      <c r="AO189" s="407">
        <f t="shared" si="154"/>
        <v>2.1614406356294182</v>
      </c>
      <c r="AP189">
        <f t="shared" si="131"/>
        <v>27.54</v>
      </c>
      <c r="AQ189" s="10">
        <f t="shared" si="155"/>
        <v>0.92722775093149568</v>
      </c>
      <c r="AR189" s="63">
        <f t="shared" si="156"/>
        <v>29.503775457365851</v>
      </c>
      <c r="AS189" s="63">
        <f t="shared" si="157"/>
        <v>8.8073474292910721</v>
      </c>
      <c r="AT189" s="10"/>
      <c r="AU189">
        <f t="shared" si="158"/>
        <v>92.722775093149565</v>
      </c>
    </row>
    <row r="190" spans="7:47" x14ac:dyDescent="0.25">
      <c r="G190">
        <v>181</v>
      </c>
      <c r="H190">
        <f t="shared" si="120"/>
        <v>5.43</v>
      </c>
      <c r="I190" s="406">
        <f t="shared" si="136"/>
        <v>0.21838250000000001</v>
      </c>
      <c r="J190" s="407">
        <f t="shared" si="121"/>
        <v>1.448220789473684</v>
      </c>
      <c r="K190" s="407">
        <f t="shared" si="132"/>
        <v>6.1541103947368416</v>
      </c>
      <c r="L190" s="407">
        <f t="shared" si="137"/>
        <v>4.7058896052631578</v>
      </c>
      <c r="M190" s="63">
        <f t="shared" si="122"/>
        <v>0</v>
      </c>
      <c r="N190" s="406">
        <f t="shared" si="138"/>
        <v>5.4460700161910616</v>
      </c>
      <c r="O190" s="406">
        <f t="shared" si="139"/>
        <v>0.62274630064881742</v>
      </c>
      <c r="P190">
        <f t="shared" si="123"/>
        <v>0.2</v>
      </c>
      <c r="Q190" s="406">
        <f t="shared" si="133"/>
        <v>0.82274630064881737</v>
      </c>
      <c r="R190" s="9">
        <f t="shared" si="140"/>
        <v>0.41806533132432194</v>
      </c>
      <c r="S190" s="9">
        <f t="shared" si="141"/>
        <v>1.7477862125531507E-4</v>
      </c>
      <c r="T190" s="9">
        <f t="shared" si="142"/>
        <v>1.7477862125531507E-4</v>
      </c>
      <c r="U190" s="406">
        <f t="shared" si="143"/>
        <v>2.545025494274328</v>
      </c>
      <c r="V190" s="408">
        <f t="shared" si="144"/>
        <v>6.4771547665062879E-3</v>
      </c>
      <c r="W190" s="406">
        <f t="shared" si="145"/>
        <v>6.4771547665062879E-3</v>
      </c>
      <c r="X190" s="406">
        <f t="shared" si="146"/>
        <v>2.545025494274328</v>
      </c>
      <c r="Y190" s="406">
        <f t="shared" si="147"/>
        <v>3.8862928599037727E-2</v>
      </c>
      <c r="Z190" s="406">
        <f t="shared" si="124"/>
        <v>0.40535669291460524</v>
      </c>
      <c r="AA190" s="406">
        <f t="shared" si="125"/>
        <v>0.14400000000000002</v>
      </c>
      <c r="AB190" s="406">
        <f t="shared" si="126"/>
        <v>0</v>
      </c>
      <c r="AC190" s="406">
        <f t="shared" si="148"/>
        <v>0.59282742347969153</v>
      </c>
      <c r="AD190" s="406">
        <f t="shared" si="149"/>
        <v>4.8148233461622469</v>
      </c>
      <c r="AE190" s="406">
        <f t="shared" si="150"/>
        <v>0.13909514312849411</v>
      </c>
      <c r="AF190" s="406">
        <f t="shared" si="127"/>
        <v>7.8191999999999998E-2</v>
      </c>
      <c r="AG190" s="406">
        <f t="shared" si="151"/>
        <v>0.22223298780801878</v>
      </c>
      <c r="AH190" s="406">
        <f t="shared" si="152"/>
        <v>0</v>
      </c>
      <c r="AI190">
        <f t="shared" si="128"/>
        <v>0</v>
      </c>
      <c r="AJ190" s="407">
        <f t="shared" si="129"/>
        <v>0.35951129999999998</v>
      </c>
      <c r="AK190">
        <f t="shared" si="134"/>
        <v>4.8000000000000001E-2</v>
      </c>
      <c r="AL190" s="407">
        <f t="shared" si="130"/>
        <v>0.1215</v>
      </c>
      <c r="AM190" s="407">
        <f t="shared" si="135"/>
        <v>0.31645971316818772</v>
      </c>
      <c r="AN190" s="407">
        <f t="shared" si="153"/>
        <v>0.16949999999999998</v>
      </c>
      <c r="AO190" s="407">
        <f t="shared" si="154"/>
        <v>2.1734699453242898</v>
      </c>
      <c r="AP190">
        <f t="shared" si="131"/>
        <v>27.692999999999998</v>
      </c>
      <c r="AQ190" s="10">
        <f t="shared" si="155"/>
        <v>0.92722708946510246</v>
      </c>
      <c r="AR190" s="63">
        <f t="shared" si="156"/>
        <v>29.641371173984577</v>
      </c>
      <c r="AS190" s="63">
        <f t="shared" si="157"/>
        <v>8.8893195123207516</v>
      </c>
      <c r="AT190" s="10"/>
      <c r="AU190">
        <f t="shared" si="158"/>
        <v>92.722708946510252</v>
      </c>
    </row>
    <row r="191" spans="7:47" x14ac:dyDescent="0.25">
      <c r="G191">
        <v>182</v>
      </c>
      <c r="H191">
        <f t="shared" si="120"/>
        <v>5.46</v>
      </c>
      <c r="I191" s="406">
        <f t="shared" si="136"/>
        <v>0.218415</v>
      </c>
      <c r="J191" s="407">
        <f t="shared" si="121"/>
        <v>1.4484363157894735</v>
      </c>
      <c r="K191" s="407">
        <f t="shared" si="132"/>
        <v>6.1842181578947368</v>
      </c>
      <c r="L191" s="407">
        <f t="shared" si="137"/>
        <v>4.7357818421052631</v>
      </c>
      <c r="M191" s="63">
        <f t="shared" si="122"/>
        <v>0</v>
      </c>
      <c r="N191" s="406">
        <f t="shared" si="138"/>
        <v>5.4759867281378138</v>
      </c>
      <c r="O191" s="406">
        <f t="shared" si="139"/>
        <v>0.62995266392274896</v>
      </c>
      <c r="P191">
        <f t="shared" si="123"/>
        <v>0.2</v>
      </c>
      <c r="Q191" s="406">
        <f t="shared" si="133"/>
        <v>0.82995266392274902</v>
      </c>
      <c r="R191" s="9">
        <f t="shared" si="140"/>
        <v>0.41812754841254118</v>
      </c>
      <c r="S191" s="9">
        <f t="shared" si="141"/>
        <v>1.7483064674148196E-4</v>
      </c>
      <c r="T191" s="9">
        <f t="shared" si="142"/>
        <v>1.7483064674148196E-4</v>
      </c>
      <c r="U191" s="406">
        <f t="shared" si="143"/>
        <v>2.559196407020774</v>
      </c>
      <c r="V191" s="408">
        <f t="shared" si="144"/>
        <v>6.5494862497080392E-3</v>
      </c>
      <c r="W191" s="406">
        <f t="shared" si="145"/>
        <v>6.5494862497080392E-3</v>
      </c>
      <c r="X191" s="406">
        <f t="shared" si="146"/>
        <v>2.559196407020774</v>
      </c>
      <c r="Y191" s="406">
        <f t="shared" si="147"/>
        <v>3.9296917498248235E-2</v>
      </c>
      <c r="Z191" s="406">
        <f t="shared" si="124"/>
        <v>0.40760479057812932</v>
      </c>
      <c r="AA191" s="406">
        <f t="shared" si="125"/>
        <v>0.14400000000000002</v>
      </c>
      <c r="AB191" s="406">
        <f t="shared" si="126"/>
        <v>0</v>
      </c>
      <c r="AC191" s="406">
        <f t="shared" si="148"/>
        <v>0.59558262029500231</v>
      </c>
      <c r="AD191" s="406">
        <f t="shared" si="149"/>
        <v>4.8411717999915513</v>
      </c>
      <c r="AE191" s="406">
        <f t="shared" si="150"/>
        <v>0.14062166638220061</v>
      </c>
      <c r="AF191" s="406">
        <f t="shared" si="127"/>
        <v>7.8623999999999999E-2</v>
      </c>
      <c r="AG191" s="406">
        <f t="shared" si="151"/>
        <v>0.22429211943685765</v>
      </c>
      <c r="AH191" s="406">
        <f t="shared" si="152"/>
        <v>0</v>
      </c>
      <c r="AI191">
        <f t="shared" si="128"/>
        <v>0</v>
      </c>
      <c r="AJ191" s="407">
        <f t="shared" si="129"/>
        <v>0.35950860000000001</v>
      </c>
      <c r="AK191">
        <f t="shared" si="134"/>
        <v>4.8000000000000001E-2</v>
      </c>
      <c r="AL191" s="407">
        <f t="shared" si="130"/>
        <v>0.1215</v>
      </c>
      <c r="AM191" s="407">
        <f t="shared" si="135"/>
        <v>0.31645971316818772</v>
      </c>
      <c r="AN191" s="407">
        <f t="shared" si="153"/>
        <v>0.16949999999999998</v>
      </c>
      <c r="AO191" s="407">
        <f t="shared" si="154"/>
        <v>2.1855603205510583</v>
      </c>
      <c r="AP191">
        <f t="shared" si="131"/>
        <v>27.845999999999997</v>
      </c>
      <c r="AQ191" s="10">
        <f t="shared" si="155"/>
        <v>0.9272245498661138</v>
      </c>
      <c r="AR191" s="63">
        <f t="shared" si="156"/>
        <v>29.779131014750114</v>
      </c>
      <c r="AS191" s="63">
        <f t="shared" si="157"/>
        <v>8.9716847774743052</v>
      </c>
      <c r="AT191" s="10"/>
      <c r="AU191">
        <f t="shared" si="158"/>
        <v>92.722454986611382</v>
      </c>
    </row>
    <row r="192" spans="7:47" x14ac:dyDescent="0.25">
      <c r="G192">
        <v>183</v>
      </c>
      <c r="H192">
        <f t="shared" si="120"/>
        <v>5.49</v>
      </c>
      <c r="I192" s="406">
        <f t="shared" si="136"/>
        <v>0.21844749999999999</v>
      </c>
      <c r="J192" s="407">
        <f t="shared" si="121"/>
        <v>1.448651842105263</v>
      </c>
      <c r="K192" s="407">
        <f t="shared" si="132"/>
        <v>6.214325921052632</v>
      </c>
      <c r="L192" s="407">
        <f t="shared" si="137"/>
        <v>4.7656740789473684</v>
      </c>
      <c r="M192" s="63">
        <f t="shared" si="122"/>
        <v>0</v>
      </c>
      <c r="N192" s="406">
        <f t="shared" si="138"/>
        <v>5.5059043471503921</v>
      </c>
      <c r="O192" s="406">
        <f t="shared" si="139"/>
        <v>0.63720671021327302</v>
      </c>
      <c r="P192">
        <f t="shared" si="123"/>
        <v>0.2</v>
      </c>
      <c r="Q192" s="406">
        <f t="shared" si="133"/>
        <v>0.83720671021327298</v>
      </c>
      <c r="R192" s="9">
        <f t="shared" si="140"/>
        <v>0.41818976550076042</v>
      </c>
      <c r="S192" s="9">
        <f t="shared" si="141"/>
        <v>1.7488267996958098E-4</v>
      </c>
      <c r="T192" s="9">
        <f t="shared" si="142"/>
        <v>1.7488267996958098E-4</v>
      </c>
      <c r="U192" s="406">
        <f t="shared" si="143"/>
        <v>2.5733698099928537</v>
      </c>
      <c r="V192" s="408">
        <f t="shared" si="144"/>
        <v>6.6222321789826556E-3</v>
      </c>
      <c r="W192" s="406">
        <f t="shared" si="145"/>
        <v>6.6222321789826556E-3</v>
      </c>
      <c r="X192" s="406">
        <f t="shared" si="146"/>
        <v>2.5733698099928537</v>
      </c>
      <c r="Y192" s="406">
        <f t="shared" si="147"/>
        <v>3.9733393073895937E-2</v>
      </c>
      <c r="Z192" s="406">
        <f t="shared" si="124"/>
        <v>0.40985288824165339</v>
      </c>
      <c r="AA192" s="406">
        <f t="shared" si="125"/>
        <v>0.14400000000000002</v>
      </c>
      <c r="AB192" s="406">
        <f t="shared" si="126"/>
        <v>0</v>
      </c>
      <c r="AC192" s="406">
        <f t="shared" si="148"/>
        <v>0.59834110578523614</v>
      </c>
      <c r="AD192" s="406">
        <f t="shared" si="149"/>
        <v>4.8675199538355187</v>
      </c>
      <c r="AE192" s="406">
        <f t="shared" si="150"/>
        <v>0.14215650300592159</v>
      </c>
      <c r="AF192" s="406">
        <f t="shared" si="127"/>
        <v>7.9056000000000001E-2</v>
      </c>
      <c r="AG192" s="406">
        <f t="shared" si="151"/>
        <v>0.22636109528140885</v>
      </c>
      <c r="AH192" s="406">
        <f t="shared" si="152"/>
        <v>0</v>
      </c>
      <c r="AI192">
        <f t="shared" si="128"/>
        <v>0</v>
      </c>
      <c r="AJ192" s="407">
        <f t="shared" si="129"/>
        <v>0.35950589999999999</v>
      </c>
      <c r="AK192">
        <f t="shared" si="134"/>
        <v>4.8000000000000001E-2</v>
      </c>
      <c r="AL192" s="407">
        <f t="shared" si="130"/>
        <v>0.1215</v>
      </c>
      <c r="AM192" s="407">
        <f t="shared" si="135"/>
        <v>0.31645971316818772</v>
      </c>
      <c r="AN192" s="407">
        <f t="shared" si="153"/>
        <v>0.16949999999999998</v>
      </c>
      <c r="AO192" s="407">
        <f t="shared" si="154"/>
        <v>2.1977119261388705</v>
      </c>
      <c r="AP192">
        <f t="shared" si="131"/>
        <v>27.998999999999999</v>
      </c>
      <c r="AQ192" s="10">
        <f t="shared" si="155"/>
        <v>0.92722015789287027</v>
      </c>
      <c r="AR192" s="63">
        <f t="shared" si="156"/>
        <v>29.917055289261807</v>
      </c>
      <c r="AS192" s="63">
        <f t="shared" si="157"/>
        <v>9.0544438112563537</v>
      </c>
      <c r="AT192" s="10"/>
      <c r="AU192">
        <f t="shared" si="158"/>
        <v>92.722015789287028</v>
      </c>
    </row>
    <row r="193" spans="7:47" x14ac:dyDescent="0.25">
      <c r="G193">
        <v>184</v>
      </c>
      <c r="H193">
        <f t="shared" si="120"/>
        <v>5.5200000000000005</v>
      </c>
      <c r="I193" s="406">
        <f t="shared" si="136"/>
        <v>0.21848000000000001</v>
      </c>
      <c r="J193" s="407">
        <f t="shared" si="121"/>
        <v>1.4488673684210527</v>
      </c>
      <c r="K193" s="407">
        <f t="shared" si="132"/>
        <v>6.2444336842105272</v>
      </c>
      <c r="L193" s="407">
        <f t="shared" si="137"/>
        <v>4.7955663157894737</v>
      </c>
      <c r="M193" s="63">
        <f t="shared" si="122"/>
        <v>0</v>
      </c>
      <c r="N193" s="406">
        <f t="shared" si="138"/>
        <v>5.5358228585224447</v>
      </c>
      <c r="O193" s="406">
        <f t="shared" si="139"/>
        <v>0.64450858450297244</v>
      </c>
      <c r="P193">
        <f t="shared" si="123"/>
        <v>0.2</v>
      </c>
      <c r="Q193" s="406">
        <f t="shared" si="133"/>
        <v>0.8445085845029725</v>
      </c>
      <c r="R193" s="9">
        <f t="shared" si="140"/>
        <v>0.41825198258897978</v>
      </c>
      <c r="S193" s="9">
        <f t="shared" si="141"/>
        <v>1.7493472093961225E-4</v>
      </c>
      <c r="T193" s="9">
        <f t="shared" si="142"/>
        <v>1.7493472093961225E-4</v>
      </c>
      <c r="U193" s="406">
        <f t="shared" si="143"/>
        <v>2.5875456961821728</v>
      </c>
      <c r="V193" s="408">
        <f t="shared" si="144"/>
        <v>6.6953927298308855E-3</v>
      </c>
      <c r="W193" s="406">
        <f t="shared" si="145"/>
        <v>6.6953927298308855E-3</v>
      </c>
      <c r="X193" s="406">
        <f t="shared" si="146"/>
        <v>2.5875456961821728</v>
      </c>
      <c r="Y193" s="406">
        <f t="shared" si="147"/>
        <v>4.0172356378985315E-2</v>
      </c>
      <c r="Z193" s="406">
        <f t="shared" si="124"/>
        <v>0.41210098590517757</v>
      </c>
      <c r="AA193" s="406">
        <f t="shared" si="125"/>
        <v>0.14400000000000002</v>
      </c>
      <c r="AB193" s="406">
        <f t="shared" si="126"/>
        <v>0</v>
      </c>
      <c r="AC193" s="406">
        <f t="shared" si="148"/>
        <v>0.60110288615678831</v>
      </c>
      <c r="AD193" s="406">
        <f t="shared" si="149"/>
        <v>4.8938677946087514</v>
      </c>
      <c r="AE193" s="406">
        <f t="shared" si="150"/>
        <v>0.14369965194665235</v>
      </c>
      <c r="AF193" s="406">
        <f t="shared" si="127"/>
        <v>7.9488000000000003E-2</v>
      </c>
      <c r="AG193" s="406">
        <f t="shared" si="151"/>
        <v>0.22843993009797992</v>
      </c>
      <c r="AH193" s="406">
        <f t="shared" si="152"/>
        <v>0</v>
      </c>
      <c r="AI193">
        <f t="shared" si="128"/>
        <v>0</v>
      </c>
      <c r="AJ193" s="407">
        <f t="shared" si="129"/>
        <v>0.35950319999999997</v>
      </c>
      <c r="AK193">
        <f t="shared" si="134"/>
        <v>4.8000000000000001E-2</v>
      </c>
      <c r="AL193" s="407">
        <f t="shared" si="130"/>
        <v>0.1215</v>
      </c>
      <c r="AM193" s="407">
        <f t="shared" si="135"/>
        <v>0.31645971316818772</v>
      </c>
      <c r="AN193" s="407">
        <f t="shared" si="153"/>
        <v>0.16949999999999998</v>
      </c>
      <c r="AO193" s="407">
        <f t="shared" si="154"/>
        <v>2.2099249282085109</v>
      </c>
      <c r="AP193">
        <f t="shared" si="131"/>
        <v>28.152000000000001</v>
      </c>
      <c r="AQ193" s="10">
        <f t="shared" si="155"/>
        <v>0.927213938726417</v>
      </c>
      <c r="AR193" s="63">
        <f t="shared" si="156"/>
        <v>30.055144307839416</v>
      </c>
      <c r="AS193" s="63">
        <f t="shared" si="157"/>
        <v>9.1375972039191957</v>
      </c>
      <c r="AT193" s="10"/>
      <c r="AU193">
        <f t="shared" si="158"/>
        <v>92.721393872641698</v>
      </c>
    </row>
    <row r="194" spans="7:47" x14ac:dyDescent="0.25">
      <c r="G194">
        <v>185</v>
      </c>
      <c r="H194">
        <f t="shared" si="120"/>
        <v>5.5500000000000007</v>
      </c>
      <c r="I194" s="406">
        <f t="shared" si="136"/>
        <v>0.21851249999999997</v>
      </c>
      <c r="J194" s="407">
        <f t="shared" si="121"/>
        <v>1.4490828947368417</v>
      </c>
      <c r="K194" s="407">
        <f t="shared" si="132"/>
        <v>6.2745414473684216</v>
      </c>
      <c r="L194" s="407">
        <f t="shared" si="137"/>
        <v>4.8254585526315799</v>
      </c>
      <c r="M194" s="63">
        <f t="shared" si="122"/>
        <v>0</v>
      </c>
      <c r="N194" s="406">
        <f t="shared" si="138"/>
        <v>5.5657422478634047</v>
      </c>
      <c r="O194" s="406">
        <f t="shared" si="139"/>
        <v>0.65185843296563795</v>
      </c>
      <c r="P194">
        <f t="shared" si="123"/>
        <v>0.2</v>
      </c>
      <c r="Q194" s="406">
        <f t="shared" si="133"/>
        <v>0.85185843296563801</v>
      </c>
      <c r="R194" s="9">
        <f t="shared" si="140"/>
        <v>0.41831419967719885</v>
      </c>
      <c r="S194" s="9">
        <f t="shared" si="141"/>
        <v>1.749867696515754E-4</v>
      </c>
      <c r="T194" s="9">
        <f t="shared" si="142"/>
        <v>1.749867696515754E-4</v>
      </c>
      <c r="U194" s="406">
        <f t="shared" si="143"/>
        <v>2.6017240587259614</v>
      </c>
      <c r="V194" s="408">
        <f t="shared" si="144"/>
        <v>6.7689680777534905E-3</v>
      </c>
      <c r="W194" s="406">
        <f t="shared" si="145"/>
        <v>6.7689680777534905E-3</v>
      </c>
      <c r="X194" s="406">
        <f t="shared" si="146"/>
        <v>2.6017240587259614</v>
      </c>
      <c r="Y194" s="406">
        <f t="shared" si="147"/>
        <v>4.0613808466520941E-2</v>
      </c>
      <c r="Z194" s="406">
        <f t="shared" si="124"/>
        <v>0.4143490835687017</v>
      </c>
      <c r="AA194" s="406">
        <f t="shared" si="125"/>
        <v>0.14400000000000002</v>
      </c>
      <c r="AB194" s="406">
        <f t="shared" si="126"/>
        <v>0</v>
      </c>
      <c r="AC194" s="406">
        <f t="shared" si="148"/>
        <v>0.60386796763050521</v>
      </c>
      <c r="AD194" s="406">
        <f t="shared" si="149"/>
        <v>4.9202153095060881</v>
      </c>
      <c r="AE194" s="406">
        <f t="shared" si="150"/>
        <v>0.14525111215138853</v>
      </c>
      <c r="AF194" s="406">
        <f t="shared" si="127"/>
        <v>7.9920000000000005E-2</v>
      </c>
      <c r="AG194" s="406">
        <f t="shared" si="151"/>
        <v>0.23052863873687274</v>
      </c>
      <c r="AH194" s="406">
        <f t="shared" si="152"/>
        <v>0</v>
      </c>
      <c r="AI194">
        <f t="shared" si="128"/>
        <v>0</v>
      </c>
      <c r="AJ194" s="407">
        <f t="shared" si="129"/>
        <v>0.3595005</v>
      </c>
      <c r="AK194">
        <f t="shared" si="134"/>
        <v>4.8000000000000001E-2</v>
      </c>
      <c r="AL194" s="407">
        <f t="shared" si="130"/>
        <v>0.1215</v>
      </c>
      <c r="AM194" s="407">
        <f t="shared" si="135"/>
        <v>0.31645971316818772</v>
      </c>
      <c r="AN194" s="407">
        <f t="shared" si="153"/>
        <v>0.16949999999999998</v>
      </c>
      <c r="AO194" s="407">
        <f t="shared" si="154"/>
        <v>2.2221994941804208</v>
      </c>
      <c r="AP194">
        <f t="shared" si="131"/>
        <v>28.305000000000003</v>
      </c>
      <c r="AQ194" s="10">
        <f t="shared" si="155"/>
        <v>0.92720591698547228</v>
      </c>
      <c r="AR194" s="63">
        <f t="shared" si="156"/>
        <v>30.19339838152526</v>
      </c>
      <c r="AS194" s="63">
        <f t="shared" si="157"/>
        <v>9.2211455494749099</v>
      </c>
      <c r="AT194" s="10"/>
      <c r="AU194">
        <f t="shared" si="158"/>
        <v>92.720591698547224</v>
      </c>
    </row>
    <row r="195" spans="7:47" x14ac:dyDescent="0.25">
      <c r="G195">
        <v>186</v>
      </c>
      <c r="H195">
        <f t="shared" si="120"/>
        <v>5.58</v>
      </c>
      <c r="I195" s="406">
        <f t="shared" si="136"/>
        <v>0.21854499999999999</v>
      </c>
      <c r="J195" s="407">
        <f t="shared" si="121"/>
        <v>1.4492984210526312</v>
      </c>
      <c r="K195" s="407">
        <f t="shared" si="132"/>
        <v>6.3046492105263159</v>
      </c>
      <c r="L195" s="407">
        <f t="shared" si="137"/>
        <v>4.8553507894736843</v>
      </c>
      <c r="M195" s="63">
        <f t="shared" si="122"/>
        <v>0</v>
      </c>
      <c r="N195" s="406">
        <f t="shared" si="138"/>
        <v>5.5956625010900609</v>
      </c>
      <c r="O195" s="406">
        <f t="shared" si="139"/>
        <v>0.65925640297401211</v>
      </c>
      <c r="P195">
        <f t="shared" si="123"/>
        <v>0.2</v>
      </c>
      <c r="Q195" s="406">
        <f t="shared" si="133"/>
        <v>0.85925640297401218</v>
      </c>
      <c r="R195" s="9">
        <f t="shared" si="140"/>
        <v>0.41837641676541815</v>
      </c>
      <c r="S195" s="9">
        <f t="shared" si="141"/>
        <v>1.7503882610547087E-4</v>
      </c>
      <c r="T195" s="9">
        <f t="shared" si="142"/>
        <v>1.7503882610547087E-4</v>
      </c>
      <c r="U195" s="406">
        <f t="shared" si="143"/>
        <v>2.6159048909031881</v>
      </c>
      <c r="V195" s="408">
        <f t="shared" si="144"/>
        <v>6.8429583982512207E-3</v>
      </c>
      <c r="W195" s="406">
        <f t="shared" si="145"/>
        <v>6.8429583982512207E-3</v>
      </c>
      <c r="X195" s="406">
        <f t="shared" si="146"/>
        <v>2.6159048909031881</v>
      </c>
      <c r="Y195" s="406">
        <f t="shared" si="147"/>
        <v>4.1057750389507326E-2</v>
      </c>
      <c r="Z195" s="406">
        <f t="shared" si="124"/>
        <v>0.41659718123222572</v>
      </c>
      <c r="AA195" s="406">
        <f t="shared" si="125"/>
        <v>0.14400000000000002</v>
      </c>
      <c r="AB195" s="406">
        <f t="shared" si="126"/>
        <v>0</v>
      </c>
      <c r="AC195" s="406">
        <f t="shared" si="148"/>
        <v>0.60663635644172997</v>
      </c>
      <c r="AD195" s="406">
        <f t="shared" si="149"/>
        <v>4.9465624859951234</v>
      </c>
      <c r="AE195" s="406">
        <f t="shared" si="150"/>
        <v>0.14681088256712554</v>
      </c>
      <c r="AF195" s="406">
        <f t="shared" si="127"/>
        <v>8.0351999999999993E-2</v>
      </c>
      <c r="AG195" s="406">
        <f t="shared" si="151"/>
        <v>0.23262723614268696</v>
      </c>
      <c r="AH195" s="406">
        <f t="shared" si="152"/>
        <v>0</v>
      </c>
      <c r="AI195">
        <f t="shared" si="128"/>
        <v>0</v>
      </c>
      <c r="AJ195" s="407">
        <f t="shared" si="129"/>
        <v>0.35949779999999998</v>
      </c>
      <c r="AK195">
        <f t="shared" si="134"/>
        <v>4.8000000000000001E-2</v>
      </c>
      <c r="AL195" s="407">
        <f t="shared" si="130"/>
        <v>0.1215</v>
      </c>
      <c r="AM195" s="407">
        <f t="shared" si="135"/>
        <v>0.31645971316818772</v>
      </c>
      <c r="AN195" s="407">
        <f t="shared" si="153"/>
        <v>0.16949999999999998</v>
      </c>
      <c r="AO195" s="407">
        <f t="shared" si="154"/>
        <v>2.2345357927827854</v>
      </c>
      <c r="AP195">
        <f t="shared" si="131"/>
        <v>28.457999999999998</v>
      </c>
      <c r="AQ195" s="10">
        <f t="shared" si="155"/>
        <v>0.9271961167409235</v>
      </c>
      <c r="AR195" s="63">
        <f t="shared" si="156"/>
        <v>30.331817822086499</v>
      </c>
      <c r="AS195" s="63">
        <f t="shared" si="157"/>
        <v>9.3050894457074786</v>
      </c>
      <c r="AT195" s="10"/>
      <c r="AU195">
        <f t="shared" si="158"/>
        <v>92.719611674092349</v>
      </c>
    </row>
    <row r="196" spans="7:47" x14ac:dyDescent="0.25">
      <c r="G196">
        <v>187</v>
      </c>
      <c r="H196">
        <f t="shared" si="120"/>
        <v>5.61</v>
      </c>
      <c r="I196" s="406">
        <f t="shared" si="136"/>
        <v>0.21857749999999998</v>
      </c>
      <c r="J196" s="407">
        <f t="shared" si="121"/>
        <v>1.4495139473684207</v>
      </c>
      <c r="K196" s="407">
        <f t="shared" si="132"/>
        <v>6.3347569736842111</v>
      </c>
      <c r="L196" s="407">
        <f t="shared" si="137"/>
        <v>4.8852430263157895</v>
      </c>
      <c r="M196" s="63">
        <f t="shared" si="122"/>
        <v>0</v>
      </c>
      <c r="N196" s="406">
        <f t="shared" si="138"/>
        <v>5.6255836044184164</v>
      </c>
      <c r="O196" s="406">
        <f t="shared" si="139"/>
        <v>0.6667026431076184</v>
      </c>
      <c r="P196">
        <f t="shared" si="123"/>
        <v>0.2</v>
      </c>
      <c r="Q196" s="406">
        <f t="shared" si="133"/>
        <v>0.86670264310761835</v>
      </c>
      <c r="R196" s="9">
        <f t="shared" si="140"/>
        <v>0.41843863385363739</v>
      </c>
      <c r="S196" s="9">
        <f t="shared" si="141"/>
        <v>1.750908903012984E-4</v>
      </c>
      <c r="T196" s="9">
        <f t="shared" si="142"/>
        <v>1.750908903012984E-4</v>
      </c>
      <c r="U196" s="406">
        <f t="shared" si="143"/>
        <v>2.6300881861308056</v>
      </c>
      <c r="V196" s="408">
        <f t="shared" si="144"/>
        <v>6.9173638668248317E-3</v>
      </c>
      <c r="W196" s="406">
        <f t="shared" si="145"/>
        <v>6.9173638668248317E-3</v>
      </c>
      <c r="X196" s="406">
        <f t="shared" si="146"/>
        <v>2.6300881861308056</v>
      </c>
      <c r="Y196" s="406">
        <f t="shared" si="147"/>
        <v>4.1504183200948987E-2</v>
      </c>
      <c r="Z196" s="406">
        <f t="shared" si="124"/>
        <v>0.4188452788957498</v>
      </c>
      <c r="AA196" s="406">
        <f t="shared" si="125"/>
        <v>0.14400000000000002</v>
      </c>
      <c r="AB196" s="406">
        <f t="shared" si="126"/>
        <v>0</v>
      </c>
      <c r="AC196" s="406">
        <f t="shared" si="148"/>
        <v>0.60940805884034766</v>
      </c>
      <c r="AD196" s="406">
        <f t="shared" si="149"/>
        <v>4.9729093118089809</v>
      </c>
      <c r="AE196" s="406">
        <f t="shared" si="150"/>
        <v>0.14837896214085883</v>
      </c>
      <c r="AF196" s="406">
        <f t="shared" si="127"/>
        <v>8.0784000000000009E-2</v>
      </c>
      <c r="AG196" s="406">
        <f t="shared" si="151"/>
        <v>0.23473573735462666</v>
      </c>
      <c r="AH196" s="406">
        <f t="shared" si="152"/>
        <v>0</v>
      </c>
      <c r="AI196">
        <f t="shared" si="128"/>
        <v>0</v>
      </c>
      <c r="AJ196" s="407">
        <f t="shared" si="129"/>
        <v>0.35949509999999996</v>
      </c>
      <c r="AK196">
        <f t="shared" si="134"/>
        <v>4.8000000000000001E-2</v>
      </c>
      <c r="AL196" s="407">
        <f t="shared" si="130"/>
        <v>0.1215</v>
      </c>
      <c r="AM196" s="407">
        <f t="shared" si="135"/>
        <v>0.31645971316818772</v>
      </c>
      <c r="AN196" s="407">
        <f t="shared" si="153"/>
        <v>0.16949999999999998</v>
      </c>
      <c r="AO196" s="407">
        <f t="shared" si="154"/>
        <v>2.2469339940597184</v>
      </c>
      <c r="AP196">
        <f t="shared" si="131"/>
        <v>28.611000000000001</v>
      </c>
      <c r="AQ196" s="10">
        <f t="shared" si="155"/>
        <v>0.92718456152987216</v>
      </c>
      <c r="AR196" s="63">
        <f t="shared" si="156"/>
        <v>30.470402942017383</v>
      </c>
      <c r="AS196" s="63">
        <f t="shared" si="157"/>
        <v>9.389429494185066</v>
      </c>
      <c r="AT196" s="10"/>
      <c r="AU196">
        <f t="shared" si="158"/>
        <v>92.718456152987216</v>
      </c>
    </row>
    <row r="197" spans="7:47" x14ac:dyDescent="0.25">
      <c r="G197">
        <v>188</v>
      </c>
      <c r="H197">
        <f t="shared" si="120"/>
        <v>5.64</v>
      </c>
      <c r="I197" s="406">
        <f t="shared" si="136"/>
        <v>0.21860999999999997</v>
      </c>
      <c r="J197" s="407">
        <f t="shared" si="121"/>
        <v>1.4497294736842101</v>
      </c>
      <c r="K197" s="407">
        <f t="shared" si="132"/>
        <v>6.3648647368421045</v>
      </c>
      <c r="L197" s="407">
        <f t="shared" si="137"/>
        <v>4.9151352631578948</v>
      </c>
      <c r="M197" s="63">
        <f t="shared" si="122"/>
        <v>0</v>
      </c>
      <c r="N197" s="406">
        <f t="shared" si="138"/>
        <v>5.6555055443557878</v>
      </c>
      <c r="O197" s="406">
        <f t="shared" si="139"/>
        <v>0.67419730316066717</v>
      </c>
      <c r="P197">
        <f t="shared" si="123"/>
        <v>0.2</v>
      </c>
      <c r="Q197" s="406">
        <f t="shared" si="133"/>
        <v>0.87419730316066713</v>
      </c>
      <c r="R197" s="9">
        <f t="shared" si="140"/>
        <v>0.41850085094185663</v>
      </c>
      <c r="S197" s="9">
        <f t="shared" si="141"/>
        <v>1.7514296223905808E-4</v>
      </c>
      <c r="T197" s="9">
        <f t="shared" si="142"/>
        <v>1.7514296223905808E-4</v>
      </c>
      <c r="U197" s="406">
        <f t="shared" si="143"/>
        <v>2.6442739379601119</v>
      </c>
      <c r="V197" s="408">
        <f t="shared" si="144"/>
        <v>6.9921846589750779E-3</v>
      </c>
      <c r="W197" s="406">
        <f t="shared" si="145"/>
        <v>6.9921846589750779E-3</v>
      </c>
      <c r="X197" s="406">
        <f t="shared" si="146"/>
        <v>2.6442739379601119</v>
      </c>
      <c r="Y197" s="406">
        <f t="shared" si="147"/>
        <v>4.1953107953850467E-2</v>
      </c>
      <c r="Z197" s="406">
        <f t="shared" si="124"/>
        <v>0.42109337655927392</v>
      </c>
      <c r="AA197" s="406">
        <f t="shared" si="125"/>
        <v>0.14400000000000002</v>
      </c>
      <c r="AB197" s="406">
        <f t="shared" si="126"/>
        <v>0</v>
      </c>
      <c r="AC197" s="406">
        <f t="shared" si="148"/>
        <v>0.6121830810908292</v>
      </c>
      <c r="AD197" s="406">
        <f t="shared" si="149"/>
        <v>4.9992557749393036</v>
      </c>
      <c r="AE197" s="406">
        <f t="shared" si="150"/>
        <v>0.14995534981958386</v>
      </c>
      <c r="AF197" s="406">
        <f t="shared" si="127"/>
        <v>8.1215999999999997E-2</v>
      </c>
      <c r="AG197" s="406">
        <f t="shared" si="151"/>
        <v>0.23685415750680888</v>
      </c>
      <c r="AH197" s="406">
        <f t="shared" si="152"/>
        <v>0</v>
      </c>
      <c r="AI197">
        <f t="shared" si="128"/>
        <v>0</v>
      </c>
      <c r="AJ197" s="407">
        <f t="shared" si="129"/>
        <v>0.35949239999999999</v>
      </c>
      <c r="AK197">
        <f t="shared" si="134"/>
        <v>4.8000000000000001E-2</v>
      </c>
      <c r="AL197" s="407">
        <f t="shared" si="130"/>
        <v>0.1215</v>
      </c>
      <c r="AM197" s="407">
        <f t="shared" si="135"/>
        <v>0.31645971316818772</v>
      </c>
      <c r="AN197" s="407">
        <f t="shared" si="153"/>
        <v>0.16949999999999998</v>
      </c>
      <c r="AO197" s="407">
        <f t="shared" si="154"/>
        <v>2.259394269379519</v>
      </c>
      <c r="AP197">
        <f t="shared" si="131"/>
        <v>28.763999999999996</v>
      </c>
      <c r="AQ197" s="10">
        <f t="shared" si="155"/>
        <v>0.92717127436924041</v>
      </c>
      <c r="AR197" s="63">
        <f t="shared" si="156"/>
        <v>30.60915405454146</v>
      </c>
      <c r="AS197" s="63">
        <f t="shared" si="157"/>
        <v>9.4741663002723548</v>
      </c>
      <c r="AT197" s="10"/>
      <c r="AU197">
        <f t="shared" si="158"/>
        <v>92.717127436924045</v>
      </c>
    </row>
    <row r="198" spans="7:47" x14ac:dyDescent="0.25">
      <c r="G198">
        <v>189</v>
      </c>
      <c r="H198">
        <f t="shared" si="120"/>
        <v>5.67</v>
      </c>
      <c r="I198" s="406">
        <f t="shared" si="136"/>
        <v>0.21864249999999999</v>
      </c>
      <c r="J198" s="407">
        <f t="shared" si="121"/>
        <v>1.4499449999999998</v>
      </c>
      <c r="K198" s="407">
        <f t="shared" si="132"/>
        <v>6.3949724999999997</v>
      </c>
      <c r="L198" s="407">
        <f t="shared" si="137"/>
        <v>4.9450275000000001</v>
      </c>
      <c r="M198" s="63">
        <f t="shared" si="122"/>
        <v>0</v>
      </c>
      <c r="N198" s="406">
        <f t="shared" si="138"/>
        <v>5.6854283076931633</v>
      </c>
      <c r="O198" s="406">
        <f t="shared" si="139"/>
        <v>0.68174053415004621</v>
      </c>
      <c r="P198">
        <f t="shared" si="123"/>
        <v>0.2</v>
      </c>
      <c r="Q198" s="406">
        <f t="shared" si="133"/>
        <v>0.88174053415004616</v>
      </c>
      <c r="R198" s="9">
        <f t="shared" si="140"/>
        <v>0.41856306803007592</v>
      </c>
      <c r="S198" s="9">
        <f t="shared" si="141"/>
        <v>1.7519504191874997E-4</v>
      </c>
      <c r="T198" s="9">
        <f t="shared" si="142"/>
        <v>1.7519504191874997E-4</v>
      </c>
      <c r="U198" s="406">
        <f t="shared" si="143"/>
        <v>2.6584621400732265</v>
      </c>
      <c r="V198" s="408">
        <f t="shared" si="144"/>
        <v>7.0674209502027199E-3</v>
      </c>
      <c r="W198" s="406">
        <f t="shared" si="145"/>
        <v>7.0674209502027199E-3</v>
      </c>
      <c r="X198" s="406">
        <f t="shared" si="146"/>
        <v>2.6584621400732265</v>
      </c>
      <c r="Y198" s="406">
        <f t="shared" si="147"/>
        <v>4.240452570121632E-2</v>
      </c>
      <c r="Z198" s="406">
        <f t="shared" si="124"/>
        <v>0.42334147422279794</v>
      </c>
      <c r="AA198" s="406">
        <f t="shared" si="125"/>
        <v>0.14400000000000002</v>
      </c>
      <c r="AB198" s="406">
        <f t="shared" si="126"/>
        <v>0</v>
      </c>
      <c r="AC198" s="406">
        <f t="shared" si="148"/>
        <v>0.61496142947227717</v>
      </c>
      <c r="AD198" s="406">
        <f t="shared" si="149"/>
        <v>5.0256018636294728</v>
      </c>
      <c r="AE198" s="406">
        <f t="shared" si="150"/>
        <v>0.15154004455029618</v>
      </c>
      <c r="AF198" s="406">
        <f t="shared" si="127"/>
        <v>8.1647999999999998E-2</v>
      </c>
      <c r="AG198" s="406">
        <f t="shared" si="151"/>
        <v>0.23898251182857522</v>
      </c>
      <c r="AH198" s="406">
        <f t="shared" si="152"/>
        <v>0</v>
      </c>
      <c r="AI198">
        <f t="shared" si="128"/>
        <v>0</v>
      </c>
      <c r="AJ198" s="407">
        <f t="shared" si="129"/>
        <v>0.35948969999999997</v>
      </c>
      <c r="AK198">
        <f t="shared" si="134"/>
        <v>4.8000000000000001E-2</v>
      </c>
      <c r="AL198" s="407">
        <f t="shared" si="130"/>
        <v>0.1215</v>
      </c>
      <c r="AM198" s="407">
        <f t="shared" si="135"/>
        <v>0.31645971316818772</v>
      </c>
      <c r="AN198" s="407">
        <f t="shared" si="153"/>
        <v>0.16949999999999998</v>
      </c>
      <c r="AO198" s="407">
        <f t="shared" si="154"/>
        <v>2.2719167914430196</v>
      </c>
      <c r="AP198">
        <f t="shared" si="131"/>
        <v>28.916999999999998</v>
      </c>
      <c r="AQ198" s="10">
        <f t="shared" si="155"/>
        <v>0.92715627776895604</v>
      </c>
      <c r="AR198" s="63">
        <f t="shared" si="156"/>
        <v>30.748071473613859</v>
      </c>
      <c r="AS198" s="63">
        <f t="shared" si="157"/>
        <v>9.5593004731430078</v>
      </c>
      <c r="AT198" s="10"/>
      <c r="AU198">
        <f t="shared" si="158"/>
        <v>92.715627776895602</v>
      </c>
    </row>
    <row r="199" spans="7:47" x14ac:dyDescent="0.25">
      <c r="G199">
        <v>190</v>
      </c>
      <c r="H199">
        <f t="shared" si="120"/>
        <v>5.6999999999999993</v>
      </c>
      <c r="I199" s="406">
        <f t="shared" si="136"/>
        <v>0.21867499999999998</v>
      </c>
      <c r="J199" s="407">
        <f t="shared" si="121"/>
        <v>1.4501605263157891</v>
      </c>
      <c r="K199" s="407">
        <f t="shared" si="132"/>
        <v>6.425080263157894</v>
      </c>
      <c r="L199" s="407">
        <f t="shared" si="137"/>
        <v>4.9749197368421045</v>
      </c>
      <c r="M199" s="63">
        <f t="shared" si="122"/>
        <v>0</v>
      </c>
      <c r="N199" s="406">
        <f t="shared" si="138"/>
        <v>5.7153518814977939</v>
      </c>
      <c r="O199" s="406">
        <f t="shared" si="139"/>
        <v>0.68933248832339444</v>
      </c>
      <c r="P199">
        <f t="shared" si="123"/>
        <v>0.2</v>
      </c>
      <c r="Q199" s="406">
        <f t="shared" si="133"/>
        <v>0.8893324883233944</v>
      </c>
      <c r="R199" s="9">
        <f t="shared" si="140"/>
        <v>0.41862528511829511</v>
      </c>
      <c r="S199" s="9">
        <f t="shared" si="141"/>
        <v>1.7524712934037387E-4</v>
      </c>
      <c r="T199" s="9">
        <f t="shared" si="142"/>
        <v>1.7524712934037387E-4</v>
      </c>
      <c r="U199" s="406">
        <f t="shared" si="143"/>
        <v>2.6726527862796741</v>
      </c>
      <c r="V199" s="408">
        <f t="shared" si="144"/>
        <v>7.1430729160085046E-3</v>
      </c>
      <c r="W199" s="406">
        <f t="shared" si="145"/>
        <v>7.1430729160085046E-3</v>
      </c>
      <c r="X199" s="406">
        <f t="shared" si="146"/>
        <v>2.6726527862796741</v>
      </c>
      <c r="Y199" s="406">
        <f t="shared" si="147"/>
        <v>4.2858437496051026E-2</v>
      </c>
      <c r="Z199" s="406">
        <f t="shared" si="124"/>
        <v>0.42558957188632202</v>
      </c>
      <c r="AA199" s="406">
        <f t="shared" si="125"/>
        <v>0.14400000000000002</v>
      </c>
      <c r="AB199" s="406">
        <f t="shared" si="126"/>
        <v>0</v>
      </c>
      <c r="AC199" s="406">
        <f t="shared" si="148"/>
        <v>0.61774311027847018</v>
      </c>
      <c r="AD199" s="406">
        <f t="shared" si="149"/>
        <v>5.0519475663680309</v>
      </c>
      <c r="AE199" s="406">
        <f t="shared" si="150"/>
        <v>0.15313304527999122</v>
      </c>
      <c r="AF199" s="406">
        <f t="shared" si="127"/>
        <v>8.2079999999999986E-2</v>
      </c>
      <c r="AG199" s="406">
        <f t="shared" si="151"/>
        <v>0.2411208156448047</v>
      </c>
      <c r="AH199" s="406">
        <f t="shared" si="152"/>
        <v>0</v>
      </c>
      <c r="AI199">
        <f t="shared" si="128"/>
        <v>0</v>
      </c>
      <c r="AJ199" s="407">
        <f t="shared" si="129"/>
        <v>0.359487</v>
      </c>
      <c r="AK199">
        <f t="shared" si="134"/>
        <v>4.8000000000000001E-2</v>
      </c>
      <c r="AL199" s="407">
        <f t="shared" si="130"/>
        <v>0.1215</v>
      </c>
      <c r="AM199" s="407">
        <f t="shared" si="135"/>
        <v>0.31645971316818772</v>
      </c>
      <c r="AN199" s="407">
        <f t="shared" si="153"/>
        <v>0.16949999999999998</v>
      </c>
      <c r="AO199" s="407">
        <f t="shared" si="154"/>
        <v>2.284501734292018</v>
      </c>
      <c r="AP199">
        <f t="shared" si="131"/>
        <v>29.069999999999993</v>
      </c>
      <c r="AQ199" s="10">
        <f t="shared" si="155"/>
        <v>0.92713959374473209</v>
      </c>
      <c r="AR199" s="63">
        <f t="shared" si="156"/>
        <v>30.88715551392351</v>
      </c>
      <c r="AS199" s="63">
        <f t="shared" si="157"/>
        <v>9.644832625792187</v>
      </c>
      <c r="AT199" s="10"/>
      <c r="AU199">
        <f t="shared" si="158"/>
        <v>92.713959374473205</v>
      </c>
    </row>
    <row r="200" spans="7:47" x14ac:dyDescent="0.25">
      <c r="G200">
        <v>191</v>
      </c>
      <c r="H200">
        <f t="shared" si="120"/>
        <v>5.7299999999999995</v>
      </c>
      <c r="I200" s="406">
        <f t="shared" si="136"/>
        <v>0.21870749999999997</v>
      </c>
      <c r="J200" s="407">
        <f t="shared" si="121"/>
        <v>1.4503760526315785</v>
      </c>
      <c r="K200" s="407">
        <f t="shared" si="132"/>
        <v>6.4551880263157884</v>
      </c>
      <c r="L200" s="407">
        <f t="shared" si="137"/>
        <v>5.0048119736842107</v>
      </c>
      <c r="M200" s="63">
        <f t="shared" si="122"/>
        <v>0</v>
      </c>
      <c r="N200" s="406">
        <f t="shared" si="138"/>
        <v>5.7452762531060184</v>
      </c>
      <c r="O200" s="406">
        <f t="shared" si="139"/>
        <v>0.69697331916725713</v>
      </c>
      <c r="P200">
        <f t="shared" si="123"/>
        <v>0.2</v>
      </c>
      <c r="Q200" s="406">
        <f t="shared" si="133"/>
        <v>0.89697331916725709</v>
      </c>
      <c r="R200" s="9">
        <f t="shared" si="140"/>
        <v>0.41868750220651435</v>
      </c>
      <c r="S200" s="9">
        <f t="shared" si="141"/>
        <v>1.7529922450392995E-4</v>
      </c>
      <c r="T200" s="9">
        <f t="shared" si="142"/>
        <v>1.7529922450392995E-4</v>
      </c>
      <c r="U200" s="406">
        <f t="shared" si="143"/>
        <v>2.6868458705130802</v>
      </c>
      <c r="V200" s="408">
        <f t="shared" si="144"/>
        <v>7.2191407318931916E-3</v>
      </c>
      <c r="W200" s="406">
        <f t="shared" si="145"/>
        <v>7.2191407318931916E-3</v>
      </c>
      <c r="X200" s="406">
        <f t="shared" si="146"/>
        <v>2.6868458705130802</v>
      </c>
      <c r="Y200" s="406">
        <f t="shared" si="147"/>
        <v>4.3314844391359152E-2</v>
      </c>
      <c r="Z200" s="406">
        <f t="shared" si="124"/>
        <v>0.42783766954984614</v>
      </c>
      <c r="AA200" s="406">
        <f t="shared" si="125"/>
        <v>0.14400000000000002</v>
      </c>
      <c r="AB200" s="406">
        <f t="shared" si="126"/>
        <v>0</v>
      </c>
      <c r="AC200" s="406">
        <f t="shared" si="148"/>
        <v>0.62052812981791006</v>
      </c>
      <c r="AD200" s="406">
        <f t="shared" si="149"/>
        <v>5.0782928718823159</v>
      </c>
      <c r="AE200" s="406">
        <f t="shared" si="150"/>
        <v>0.15473435095566443</v>
      </c>
      <c r="AF200" s="406">
        <f t="shared" si="127"/>
        <v>8.2511999999999988E-2</v>
      </c>
      <c r="AG200" s="406">
        <f t="shared" si="151"/>
        <v>0.24326908437622999</v>
      </c>
      <c r="AH200" s="406">
        <f t="shared" si="152"/>
        <v>0</v>
      </c>
      <c r="AI200">
        <f t="shared" si="128"/>
        <v>0</v>
      </c>
      <c r="AJ200" s="407">
        <f t="shared" si="129"/>
        <v>0.35948429999999998</v>
      </c>
      <c r="AK200">
        <f t="shared" si="134"/>
        <v>4.8000000000000001E-2</v>
      </c>
      <c r="AL200" s="407">
        <f t="shared" si="130"/>
        <v>0.1215</v>
      </c>
      <c r="AM200" s="407">
        <f t="shared" si="135"/>
        <v>0.31645971316818772</v>
      </c>
      <c r="AN200" s="407">
        <f t="shared" si="153"/>
        <v>0.16949999999999998</v>
      </c>
      <c r="AO200" s="407">
        <f t="shared" si="154"/>
        <v>2.2971492733177943</v>
      </c>
      <c r="AP200">
        <f t="shared" si="131"/>
        <v>29.222999999999995</v>
      </c>
      <c r="AQ200" s="10">
        <f t="shared" si="155"/>
        <v>0.9271212438304548</v>
      </c>
      <c r="AR200" s="63">
        <f t="shared" si="156"/>
        <v>31.026406490895504</v>
      </c>
      <c r="AS200" s="63">
        <f t="shared" si="157"/>
        <v>9.7307633750492002</v>
      </c>
      <c r="AT200" s="10"/>
      <c r="AU200">
        <f t="shared" si="158"/>
        <v>92.712124383045477</v>
      </c>
    </row>
    <row r="201" spans="7:47" x14ac:dyDescent="0.25">
      <c r="G201">
        <v>192</v>
      </c>
      <c r="H201">
        <f t="shared" ref="H201:H209" si="159">Iout*(G201/200)</f>
        <v>5.76</v>
      </c>
      <c r="I201" s="406">
        <f t="shared" si="136"/>
        <v>0.21873999999999996</v>
      </c>
      <c r="J201" s="407">
        <f t="shared" ref="J201:J209" si="160">(Vin-Vout)*I201/(Fsw*Lout2)</f>
        <v>1.450591578947368</v>
      </c>
      <c r="K201" s="407">
        <f t="shared" si="132"/>
        <v>6.4852957894736836</v>
      </c>
      <c r="L201" s="407">
        <f t="shared" si="137"/>
        <v>5.034704210526316</v>
      </c>
      <c r="M201" s="63">
        <f t="shared" ref="M201:M209" si="161">IF(MIN(Vin, -L201/(CossTop+CossBot)*0.00000002)&lt;0, 0, MIN(Vin, -L201/(CossTop+CossBot)*0.00000002))</f>
        <v>0</v>
      </c>
      <c r="N201" s="406">
        <f t="shared" si="138"/>
        <v>5.7752014101163098</v>
      </c>
      <c r="O201" s="406">
        <f t="shared" si="139"/>
        <v>0.70466318141532891</v>
      </c>
      <c r="P201">
        <f t="shared" ref="P201:P209" si="162">Core_Loss</f>
        <v>0.2</v>
      </c>
      <c r="Q201" s="406">
        <f t="shared" si="133"/>
        <v>0.90466318141532898</v>
      </c>
      <c r="R201" s="9">
        <f t="shared" si="140"/>
        <v>0.41874971929473365</v>
      </c>
      <c r="S201" s="9">
        <f t="shared" si="141"/>
        <v>1.7535132740941823E-4</v>
      </c>
      <c r="T201" s="9">
        <f t="shared" si="142"/>
        <v>1.7535132740941823E-4</v>
      </c>
      <c r="U201" s="406">
        <f t="shared" si="143"/>
        <v>2.7010413868279648</v>
      </c>
      <c r="V201" s="408">
        <f t="shared" si="144"/>
        <v>7.2956245733575356E-3</v>
      </c>
      <c r="W201" s="406">
        <f t="shared" si="145"/>
        <v>7.2956245733575356E-3</v>
      </c>
      <c r="X201" s="406">
        <f t="shared" si="146"/>
        <v>2.7010413868279648</v>
      </c>
      <c r="Y201" s="406">
        <f t="shared" si="147"/>
        <v>4.3773747440145214E-2</v>
      </c>
      <c r="Z201" s="406">
        <f t="shared" ref="Z201:Z209" si="163">IF(L201&lt;0, (Vin*K201*Tf/2)*Fsw, (Vin*L201*Tr/2+Vin*K201*Tf/2)*Fsw)</f>
        <v>0.43008576721337022</v>
      </c>
      <c r="AA201" s="406">
        <f t="shared" ref="AA201:AA209" si="164">(0.5*CossTop*(Vin-M201)^2-0.5*CossBot*(Vin-M201)^2+(QossBot*(Vin-M201)/Vin)*Vin)*Fsw</f>
        <v>0.14400000000000002</v>
      </c>
      <c r="AB201" s="406">
        <f t="shared" ref="AB201:AB209" si="165">IF(L201&gt;0,0,-L201*VsdTop*Deadtime*Fsw)</f>
        <v>0</v>
      </c>
      <c r="AC201" s="406">
        <f t="shared" si="148"/>
        <v>0.62331649441386527</v>
      </c>
      <c r="AD201" s="406">
        <f t="shared" si="149"/>
        <v>5.1046377691322897</v>
      </c>
      <c r="AE201" s="406">
        <f t="shared" si="150"/>
        <v>0.15634396052431127</v>
      </c>
      <c r="AF201" s="406">
        <f t="shared" ref="AF201:AF209" si="166">IF(L201&lt;0, Deadtime*Fsw*IF(VfdSky&gt;0,0,VsdBot)*K201, Deadtime*Fsw*IF(VfdSky&gt;0,0,VsdBot)*(K201+L201))</f>
        <v>8.294399999999999E-2</v>
      </c>
      <c r="AG201" s="406">
        <f t="shared" si="151"/>
        <v>0.24542733353975549</v>
      </c>
      <c r="AH201" s="406">
        <f t="shared" si="152"/>
        <v>0</v>
      </c>
      <c r="AI201">
        <f t="shared" ref="AI201:AI209" si="167">2*Deadtime*Fsw*IF(VfdSky&gt;0,VfdSky,0)*H201</f>
        <v>0</v>
      </c>
      <c r="AJ201" s="407">
        <f t="shared" ref="AJ201:AJ209" si="168">IF(QrrSky&gt;0,QrrSky,QrrBot)*Fsw*(Vin-H201*RdsonTop)</f>
        <v>0.35948160000000001</v>
      </c>
      <c r="AK201">
        <f t="shared" si="134"/>
        <v>4.8000000000000001E-2</v>
      </c>
      <c r="AL201" s="407">
        <f t="shared" ref="AL201:AL209" si="169">IF(Ext_VCC=1, Vdd*(QgTop+QgBot)*Fsw, Vin*(QgTop+QgBot)*Fsw)</f>
        <v>0.1215</v>
      </c>
      <c r="AM201" s="407">
        <f t="shared" si="135"/>
        <v>0.31645971316818772</v>
      </c>
      <c r="AN201" s="407">
        <f t="shared" si="153"/>
        <v>0.16949999999999998</v>
      </c>
      <c r="AO201" s="407">
        <f t="shared" si="154"/>
        <v>2.3098595852697166</v>
      </c>
      <c r="AP201">
        <f t="shared" ref="AP201:AP209" si="170">Vout*H201</f>
        <v>29.375999999999998</v>
      </c>
      <c r="AQ201" s="10">
        <f t="shared" si="155"/>
        <v>0.92710124909019243</v>
      </c>
      <c r="AR201" s="63">
        <f t="shared" si="156"/>
        <v>31.165824720693262</v>
      </c>
      <c r="AS201" s="63">
        <f t="shared" si="157"/>
        <v>9.8170933415902191</v>
      </c>
      <c r="AT201" s="10"/>
      <c r="AU201">
        <f t="shared" si="158"/>
        <v>92.710124909019243</v>
      </c>
    </row>
    <row r="202" spans="7:47" x14ac:dyDescent="0.25">
      <c r="G202">
        <v>193</v>
      </c>
      <c r="H202">
        <f t="shared" si="159"/>
        <v>5.79</v>
      </c>
      <c r="I202" s="406">
        <f t="shared" si="136"/>
        <v>0.21877250000000001</v>
      </c>
      <c r="J202" s="407">
        <f t="shared" si="160"/>
        <v>1.4508071052631577</v>
      </c>
      <c r="K202" s="407">
        <f t="shared" ref="K202:K209" si="171">H202+J202/2</f>
        <v>6.5154035526315788</v>
      </c>
      <c r="L202" s="407">
        <f t="shared" si="137"/>
        <v>5.0645964473684213</v>
      </c>
      <c r="M202" s="63">
        <f t="shared" si="161"/>
        <v>0</v>
      </c>
      <c r="N202" s="406">
        <f t="shared" si="138"/>
        <v>5.8051273403825379</v>
      </c>
      <c r="O202" s="406">
        <f t="shared" si="139"/>
        <v>0.71240223105678047</v>
      </c>
      <c r="P202">
        <f t="shared" si="162"/>
        <v>0.2</v>
      </c>
      <c r="Q202" s="406">
        <f t="shared" ref="Q202:Q209" si="172">O202+P202</f>
        <v>0.91240223105678053</v>
      </c>
      <c r="R202" s="9">
        <f t="shared" si="140"/>
        <v>0.41881193638295294</v>
      </c>
      <c r="S202" s="9">
        <f t="shared" si="141"/>
        <v>1.7540343805683861E-4</v>
      </c>
      <c r="T202" s="9">
        <f t="shared" si="142"/>
        <v>1.7540343805683861E-4</v>
      </c>
      <c r="U202" s="406">
        <f t="shared" si="143"/>
        <v>2.7152393293966353</v>
      </c>
      <c r="V202" s="408">
        <f t="shared" si="144"/>
        <v>7.3725246159022893E-3</v>
      </c>
      <c r="W202" s="406">
        <f t="shared" si="145"/>
        <v>7.3725246159022893E-3</v>
      </c>
      <c r="X202" s="406">
        <f t="shared" si="146"/>
        <v>2.7152393293966353</v>
      </c>
      <c r="Y202" s="406">
        <f t="shared" si="147"/>
        <v>4.4235147695413736E-2</v>
      </c>
      <c r="Z202" s="406">
        <f t="shared" si="163"/>
        <v>0.4323338648768944</v>
      </c>
      <c r="AA202" s="406">
        <f t="shared" si="164"/>
        <v>0.14400000000000002</v>
      </c>
      <c r="AB202" s="406">
        <f t="shared" si="165"/>
        <v>0</v>
      </c>
      <c r="AC202" s="406">
        <f t="shared" si="148"/>
        <v>0.62610821040441822</v>
      </c>
      <c r="AD202" s="406">
        <f t="shared" si="149"/>
        <v>5.1309822473045594</v>
      </c>
      <c r="AE202" s="406">
        <f t="shared" si="150"/>
        <v>0.15796187293292729</v>
      </c>
      <c r="AF202" s="406">
        <f t="shared" si="166"/>
        <v>8.3375999999999992E-2</v>
      </c>
      <c r="AG202" s="406">
        <f t="shared" si="151"/>
        <v>0.24759557874877836</v>
      </c>
      <c r="AH202" s="406">
        <f t="shared" si="152"/>
        <v>0</v>
      </c>
      <c r="AI202">
        <f t="shared" si="167"/>
        <v>0</v>
      </c>
      <c r="AJ202" s="407">
        <f t="shared" si="168"/>
        <v>0.35947889999999999</v>
      </c>
      <c r="AK202">
        <f t="shared" ref="AK202:AK209" si="173">Iq*Vin</f>
        <v>4.8000000000000001E-2</v>
      </c>
      <c r="AL202" s="407">
        <f t="shared" si="169"/>
        <v>0.1215</v>
      </c>
      <c r="AM202" s="407">
        <f t="shared" ref="AM202:AM209" si="174">(Vin-Vdd)*Fsw*(QgTop+QgBot)+(RdsonDRT+RdsonDRT2)*Fsw*QgTop*Vdd/(RdsonDRT+2*RGateTop+RdsonDRT2)+(RdsonDRB+RdsonDRB2)*Fsw*QgBot*Vdd/(RdsonDRB+2*RGateBot+RdsonDRB2)</f>
        <v>0.31645971316818772</v>
      </c>
      <c r="AN202" s="407">
        <f t="shared" si="153"/>
        <v>0.16949999999999998</v>
      </c>
      <c r="AO202" s="407">
        <f t="shared" si="154"/>
        <v>2.322632848263936</v>
      </c>
      <c r="AP202">
        <f t="shared" si="170"/>
        <v>29.528999999999996</v>
      </c>
      <c r="AQ202" s="10">
        <f t="shared" si="155"/>
        <v>0.92707963012984029</v>
      </c>
      <c r="AR202" s="63">
        <f t="shared" si="156"/>
        <v>31.30541052022091</v>
      </c>
      <c r="AS202" s="63">
        <f t="shared" si="157"/>
        <v>9.9038231499511333</v>
      </c>
      <c r="AT202" s="10"/>
      <c r="AU202">
        <f t="shared" si="158"/>
        <v>92.707963012984024</v>
      </c>
    </row>
    <row r="203" spans="7:47" x14ac:dyDescent="0.25">
      <c r="G203">
        <v>194</v>
      </c>
      <c r="H203">
        <f t="shared" si="159"/>
        <v>5.82</v>
      </c>
      <c r="I203" s="406">
        <f t="shared" si="136"/>
        <v>0.21880499999999994</v>
      </c>
      <c r="J203" s="407">
        <f t="shared" si="160"/>
        <v>1.451022631578947</v>
      </c>
      <c r="K203" s="407">
        <f t="shared" si="171"/>
        <v>6.545511315789474</v>
      </c>
      <c r="L203" s="407">
        <f t="shared" si="137"/>
        <v>5.0944886842105266</v>
      </c>
      <c r="M203" s="63">
        <f t="shared" si="161"/>
        <v>0</v>
      </c>
      <c r="N203" s="406">
        <f t="shared" si="138"/>
        <v>5.8350540320074327</v>
      </c>
      <c r="O203" s="406">
        <f t="shared" si="139"/>
        <v>0.72019062534467115</v>
      </c>
      <c r="P203">
        <f t="shared" si="162"/>
        <v>0.2</v>
      </c>
      <c r="Q203" s="406">
        <f t="shared" si="172"/>
        <v>0.92019062534467122</v>
      </c>
      <c r="R203" s="9">
        <f t="shared" si="140"/>
        <v>0.41887415347117213</v>
      </c>
      <c r="S203" s="9">
        <f t="shared" si="141"/>
        <v>1.7545555644619108E-4</v>
      </c>
      <c r="T203" s="9">
        <f t="shared" si="142"/>
        <v>1.7545555644619108E-4</v>
      </c>
      <c r="U203" s="406">
        <f t="shared" si="143"/>
        <v>2.7294396925061761</v>
      </c>
      <c r="V203" s="408">
        <f t="shared" si="144"/>
        <v>7.4498410350282091E-3</v>
      </c>
      <c r="W203" s="406">
        <f t="shared" si="145"/>
        <v>7.4498410350282091E-3</v>
      </c>
      <c r="X203" s="406">
        <f t="shared" si="146"/>
        <v>2.7294396925061761</v>
      </c>
      <c r="Y203" s="406">
        <f t="shared" si="147"/>
        <v>4.4699046210169256E-2</v>
      </c>
      <c r="Z203" s="406">
        <f t="shared" si="163"/>
        <v>0.43458196254041848</v>
      </c>
      <c r="AA203" s="406">
        <f t="shared" si="164"/>
        <v>0.14400000000000002</v>
      </c>
      <c r="AB203" s="406">
        <f t="shared" si="165"/>
        <v>0</v>
      </c>
      <c r="AC203" s="406">
        <f t="shared" si="148"/>
        <v>0.6289032841425104</v>
      </c>
      <c r="AD203" s="406">
        <f t="shared" si="149"/>
        <v>5.1573262958065769</v>
      </c>
      <c r="AE203" s="406">
        <f t="shared" si="150"/>
        <v>0.15958808712850792</v>
      </c>
      <c r="AF203" s="406">
        <f t="shared" si="166"/>
        <v>8.3808000000000007E-2</v>
      </c>
      <c r="AG203" s="406">
        <f t="shared" si="151"/>
        <v>0.24977383571351103</v>
      </c>
      <c r="AH203" s="406">
        <f t="shared" si="152"/>
        <v>0</v>
      </c>
      <c r="AI203">
        <f t="shared" si="167"/>
        <v>0</v>
      </c>
      <c r="AJ203" s="407">
        <f t="shared" si="168"/>
        <v>0.35947619999999997</v>
      </c>
      <c r="AK203">
        <f t="shared" si="173"/>
        <v>4.8000000000000001E-2</v>
      </c>
      <c r="AL203" s="407">
        <f t="shared" si="169"/>
        <v>0.1215</v>
      </c>
      <c r="AM203" s="407">
        <f t="shared" si="174"/>
        <v>0.31645971316818772</v>
      </c>
      <c r="AN203" s="407">
        <f t="shared" si="153"/>
        <v>0.16949999999999998</v>
      </c>
      <c r="AO203" s="407">
        <f t="shared" si="154"/>
        <v>2.3354692417921674</v>
      </c>
      <c r="AP203">
        <f t="shared" si="170"/>
        <v>29.681999999999999</v>
      </c>
      <c r="AQ203" s="10">
        <f t="shared" si="155"/>
        <v>0.92705640710841397</v>
      </c>
      <c r="AR203" s="63">
        <f t="shared" si="156"/>
        <v>31.445164207125519</v>
      </c>
      <c r="AS203" s="63">
        <f t="shared" si="157"/>
        <v>9.9909534285404415</v>
      </c>
      <c r="AT203" s="10"/>
      <c r="AU203">
        <f t="shared" si="158"/>
        <v>92.705640710841394</v>
      </c>
    </row>
    <row r="204" spans="7:47" x14ac:dyDescent="0.25">
      <c r="G204">
        <v>195</v>
      </c>
      <c r="H204">
        <f t="shared" si="159"/>
        <v>5.85</v>
      </c>
      <c r="I204" s="406">
        <f t="shared" si="136"/>
        <v>0.21883749999999999</v>
      </c>
      <c r="J204" s="407">
        <f t="shared" si="160"/>
        <v>1.4512381578947366</v>
      </c>
      <c r="K204" s="407">
        <f t="shared" si="171"/>
        <v>6.5756190789473683</v>
      </c>
      <c r="L204" s="407">
        <f t="shared" si="137"/>
        <v>5.124380921052631</v>
      </c>
      <c r="M204" s="63">
        <f t="shared" si="161"/>
        <v>0</v>
      </c>
      <c r="N204" s="406">
        <f t="shared" si="138"/>
        <v>5.8649814733362522</v>
      </c>
      <c r="O204" s="406">
        <f t="shared" si="139"/>
        <v>0.72802852280445041</v>
      </c>
      <c r="P204">
        <f t="shared" si="162"/>
        <v>0.2</v>
      </c>
      <c r="Q204" s="406">
        <f t="shared" si="172"/>
        <v>0.92802852280445047</v>
      </c>
      <c r="R204" s="9">
        <f t="shared" si="140"/>
        <v>0.41893637055939142</v>
      </c>
      <c r="S204" s="9">
        <f t="shared" si="141"/>
        <v>1.7550768257747573E-4</v>
      </c>
      <c r="T204" s="9">
        <f t="shared" si="142"/>
        <v>1.7550768257747573E-4</v>
      </c>
      <c r="U204" s="406">
        <f t="shared" si="143"/>
        <v>2.7436424705555296</v>
      </c>
      <c r="V204" s="408">
        <f t="shared" si="144"/>
        <v>7.5275740062360503E-3</v>
      </c>
      <c r="W204" s="406">
        <f t="shared" si="145"/>
        <v>7.5275740062360503E-3</v>
      </c>
      <c r="X204" s="406">
        <f t="shared" si="146"/>
        <v>2.7436424705555296</v>
      </c>
      <c r="Y204" s="406">
        <f t="shared" si="147"/>
        <v>4.5165444037416305E-2</v>
      </c>
      <c r="Z204" s="406">
        <f t="shared" si="163"/>
        <v>0.43683006020394255</v>
      </c>
      <c r="AA204" s="406">
        <f t="shared" si="164"/>
        <v>0.14400000000000002</v>
      </c>
      <c r="AB204" s="406">
        <f t="shared" si="165"/>
        <v>0</v>
      </c>
      <c r="AC204" s="406">
        <f t="shared" si="148"/>
        <v>0.63170172199598873</v>
      </c>
      <c r="AD204" s="406">
        <f t="shared" si="149"/>
        <v>5.1836699042610173</v>
      </c>
      <c r="AE204" s="406">
        <f t="shared" si="150"/>
        <v>0.16122260205804856</v>
      </c>
      <c r="AF204" s="406">
        <f t="shared" si="166"/>
        <v>8.4239999999999995E-2</v>
      </c>
      <c r="AG204" s="406">
        <f t="shared" si="151"/>
        <v>0.25196212024130715</v>
      </c>
      <c r="AH204" s="406">
        <f t="shared" si="152"/>
        <v>0</v>
      </c>
      <c r="AI204">
        <f t="shared" si="167"/>
        <v>0</v>
      </c>
      <c r="AJ204" s="407">
        <f t="shared" si="168"/>
        <v>0.3594735</v>
      </c>
      <c r="AK204">
        <f t="shared" si="173"/>
        <v>4.8000000000000001E-2</v>
      </c>
      <c r="AL204" s="407">
        <f t="shared" si="169"/>
        <v>0.1215</v>
      </c>
      <c r="AM204" s="407">
        <f t="shared" si="174"/>
        <v>0.31645971316818772</v>
      </c>
      <c r="AN204" s="407">
        <f t="shared" si="153"/>
        <v>0.16949999999999998</v>
      </c>
      <c r="AO204" s="407">
        <f t="shared" si="154"/>
        <v>2.3483689467305604</v>
      </c>
      <c r="AP204">
        <f t="shared" si="170"/>
        <v>29.834999999999997</v>
      </c>
      <c r="AQ204" s="10">
        <f t="shared" si="155"/>
        <v>0.9270315997490024</v>
      </c>
      <c r="AR204" s="63">
        <f t="shared" si="156"/>
        <v>31.585086099799437</v>
      </c>
      <c r="AS204" s="63">
        <f t="shared" si="157"/>
        <v>10.078484809652286</v>
      </c>
      <c r="AT204" s="10"/>
      <c r="AU204">
        <f t="shared" si="158"/>
        <v>92.703159974900245</v>
      </c>
    </row>
    <row r="205" spans="7:47" x14ac:dyDescent="0.25">
      <c r="G205">
        <v>196</v>
      </c>
      <c r="H205">
        <f t="shared" si="159"/>
        <v>5.88</v>
      </c>
      <c r="I205" s="406">
        <f t="shared" si="136"/>
        <v>0.21887000000000001</v>
      </c>
      <c r="J205" s="407">
        <f t="shared" si="160"/>
        <v>1.4514536842105263</v>
      </c>
      <c r="K205" s="407">
        <f t="shared" si="171"/>
        <v>6.6057268421052626</v>
      </c>
      <c r="L205" s="407">
        <f t="shared" si="137"/>
        <v>5.1542731578947372</v>
      </c>
      <c r="M205" s="63">
        <f t="shared" si="161"/>
        <v>0</v>
      </c>
      <c r="N205" s="406">
        <f t="shared" si="138"/>
        <v>5.8949096529506448</v>
      </c>
      <c r="O205" s="406">
        <f t="shared" si="139"/>
        <v>0.7359160832425472</v>
      </c>
      <c r="P205">
        <f t="shared" si="162"/>
        <v>0.2</v>
      </c>
      <c r="Q205" s="406">
        <f t="shared" si="172"/>
        <v>0.93591608324254727</v>
      </c>
      <c r="R205" s="9">
        <f t="shared" si="140"/>
        <v>0.41899858764761078</v>
      </c>
      <c r="S205" s="9">
        <f t="shared" si="141"/>
        <v>1.7555981645069258E-4</v>
      </c>
      <c r="T205" s="9">
        <f t="shared" si="142"/>
        <v>1.7555981645069258E-4</v>
      </c>
      <c r="U205" s="406">
        <f t="shared" si="143"/>
        <v>2.7578476580526639</v>
      </c>
      <c r="V205" s="408">
        <f t="shared" si="144"/>
        <v>7.6057237050265632E-3</v>
      </c>
      <c r="W205" s="406">
        <f t="shared" si="145"/>
        <v>7.6057237050265632E-3</v>
      </c>
      <c r="X205" s="406">
        <f t="shared" si="146"/>
        <v>2.7578476580526639</v>
      </c>
      <c r="Y205" s="406">
        <f t="shared" si="147"/>
        <v>4.5634342230159379E-2</v>
      </c>
      <c r="Z205" s="406">
        <f t="shared" si="163"/>
        <v>0.43907815786746662</v>
      </c>
      <c r="AA205" s="406">
        <f t="shared" si="164"/>
        <v>0.14400000000000002</v>
      </c>
      <c r="AB205" s="406">
        <f t="shared" si="165"/>
        <v>0</v>
      </c>
      <c r="AC205" s="406">
        <f t="shared" si="148"/>
        <v>0.63450353034765183</v>
      </c>
      <c r="AD205" s="406">
        <f t="shared" si="149"/>
        <v>5.2100130625003365</v>
      </c>
      <c r="AE205" s="406">
        <f t="shared" si="150"/>
        <v>0.16286541666854482</v>
      </c>
      <c r="AF205" s="406">
        <f t="shared" si="166"/>
        <v>8.4671999999999997E-2</v>
      </c>
      <c r="AG205" s="406">
        <f t="shared" si="151"/>
        <v>0.25416044823698986</v>
      </c>
      <c r="AH205" s="406">
        <f t="shared" si="152"/>
        <v>0</v>
      </c>
      <c r="AI205">
        <f t="shared" si="167"/>
        <v>0</v>
      </c>
      <c r="AJ205" s="407">
        <f t="shared" si="168"/>
        <v>0.35947079999999998</v>
      </c>
      <c r="AK205">
        <f t="shared" si="173"/>
        <v>4.8000000000000001E-2</v>
      </c>
      <c r="AL205" s="407">
        <f t="shared" si="169"/>
        <v>0.1215</v>
      </c>
      <c r="AM205" s="407">
        <f t="shared" si="174"/>
        <v>0.31645971316818772</v>
      </c>
      <c r="AN205" s="407">
        <f t="shared" si="153"/>
        <v>0.16949999999999998</v>
      </c>
      <c r="AO205" s="407">
        <f t="shared" si="154"/>
        <v>2.3613321453486664</v>
      </c>
      <c r="AP205">
        <f t="shared" si="170"/>
        <v>29.987999999999996</v>
      </c>
      <c r="AQ205" s="10">
        <f t="shared" si="155"/>
        <v>0.92700522734939406</v>
      </c>
      <c r="AR205" s="63">
        <f t="shared" si="156"/>
        <v>31.725176517382593</v>
      </c>
      <c r="AS205" s="63">
        <f t="shared" si="157"/>
        <v>10.166417929479595</v>
      </c>
      <c r="AT205" s="10"/>
      <c r="AU205">
        <f t="shared" si="158"/>
        <v>92.700522734939412</v>
      </c>
    </row>
    <row r="206" spans="7:47" x14ac:dyDescent="0.25">
      <c r="G206">
        <v>197</v>
      </c>
      <c r="H206">
        <f t="shared" si="159"/>
        <v>5.91</v>
      </c>
      <c r="I206" s="406">
        <f t="shared" si="136"/>
        <v>0.21890249999999997</v>
      </c>
      <c r="J206" s="407">
        <f t="shared" si="160"/>
        <v>1.4516692105263156</v>
      </c>
      <c r="K206" s="407">
        <f t="shared" si="171"/>
        <v>6.6358346052631578</v>
      </c>
      <c r="L206" s="407">
        <f t="shared" si="137"/>
        <v>5.1841653947368425</v>
      </c>
      <c r="M206" s="63">
        <f t="shared" si="161"/>
        <v>0</v>
      </c>
      <c r="N206" s="406">
        <f t="shared" si="138"/>
        <v>5.9248385596626889</v>
      </c>
      <c r="O206" s="406">
        <f t="shared" si="139"/>
        <v>0.74385346775504757</v>
      </c>
      <c r="P206">
        <f t="shared" si="162"/>
        <v>0.2</v>
      </c>
      <c r="Q206" s="406">
        <f t="shared" si="172"/>
        <v>0.94385346775504764</v>
      </c>
      <c r="R206" s="9">
        <f t="shared" si="140"/>
        <v>0.41906080473582996</v>
      </c>
      <c r="S206" s="9">
        <f t="shared" si="141"/>
        <v>1.7561195806584139E-4</v>
      </c>
      <c r="T206" s="9">
        <f t="shared" si="142"/>
        <v>1.7561195806584139E-4</v>
      </c>
      <c r="U206" s="406">
        <f t="shared" si="143"/>
        <v>2.7720552496118307</v>
      </c>
      <c r="V206" s="408">
        <f t="shared" si="144"/>
        <v>7.6842903069005092E-3</v>
      </c>
      <c r="W206" s="406">
        <f t="shared" si="145"/>
        <v>7.6842903069005092E-3</v>
      </c>
      <c r="X206" s="406">
        <f t="shared" si="146"/>
        <v>2.7720552496118307</v>
      </c>
      <c r="Y206" s="406">
        <f t="shared" si="147"/>
        <v>4.6105741841403057E-2</v>
      </c>
      <c r="Z206" s="406">
        <f t="shared" si="163"/>
        <v>0.44132625553099081</v>
      </c>
      <c r="AA206" s="406">
        <f t="shared" si="164"/>
        <v>0.14400000000000002</v>
      </c>
      <c r="AB206" s="406">
        <f t="shared" si="165"/>
        <v>0</v>
      </c>
      <c r="AC206" s="406">
        <f t="shared" si="148"/>
        <v>0.63730871559529645</v>
      </c>
      <c r="AD206" s="406">
        <f t="shared" si="149"/>
        <v>5.2363557605614739</v>
      </c>
      <c r="AE206" s="406">
        <f t="shared" si="150"/>
        <v>0.164516529906992</v>
      </c>
      <c r="AF206" s="406">
        <f t="shared" si="166"/>
        <v>8.5103999999999999E-2</v>
      </c>
      <c r="AG206" s="406">
        <f t="shared" si="151"/>
        <v>0.25636883570318131</v>
      </c>
      <c r="AH206" s="406">
        <f t="shared" si="152"/>
        <v>0</v>
      </c>
      <c r="AI206">
        <f t="shared" si="167"/>
        <v>0</v>
      </c>
      <c r="AJ206" s="407">
        <f t="shared" si="168"/>
        <v>0.35946809999999996</v>
      </c>
      <c r="AK206">
        <f t="shared" si="173"/>
        <v>4.8000000000000001E-2</v>
      </c>
      <c r="AL206" s="407">
        <f t="shared" si="169"/>
        <v>0.1215</v>
      </c>
      <c r="AM206" s="407">
        <f t="shared" si="174"/>
        <v>0.31645971316818772</v>
      </c>
      <c r="AN206" s="407">
        <f t="shared" si="153"/>
        <v>0.16949999999999998</v>
      </c>
      <c r="AO206" s="407">
        <f t="shared" si="154"/>
        <v>2.374359021318492</v>
      </c>
      <c r="AP206">
        <f t="shared" si="170"/>
        <v>30.140999999999998</v>
      </c>
      <c r="AQ206" s="10">
        <f t="shared" si="155"/>
        <v>0.9269773087923846</v>
      </c>
      <c r="AR206" s="63">
        <f t="shared" si="156"/>
        <v>31.865435779764823</v>
      </c>
      <c r="AS206" s="63">
        <f t="shared" si="157"/>
        <v>10.254753428127252</v>
      </c>
      <c r="AT206" s="10"/>
      <c r="AU206">
        <f t="shared" si="158"/>
        <v>92.697730879238463</v>
      </c>
    </row>
    <row r="207" spans="7:47" x14ac:dyDescent="0.25">
      <c r="G207">
        <v>198</v>
      </c>
      <c r="H207">
        <f t="shared" si="159"/>
        <v>5.9399999999999995</v>
      </c>
      <c r="I207" s="406">
        <f t="shared" si="136"/>
        <v>0.21893499999999999</v>
      </c>
      <c r="J207" s="407">
        <f t="shared" si="160"/>
        <v>1.4518847368421051</v>
      </c>
      <c r="K207" s="407">
        <f t="shared" si="171"/>
        <v>6.6659423684210521</v>
      </c>
      <c r="L207" s="407">
        <f t="shared" si="137"/>
        <v>5.2140576315789469</v>
      </c>
      <c r="M207" s="63">
        <f t="shared" si="161"/>
        <v>0</v>
      </c>
      <c r="N207" s="406">
        <f t="shared" si="138"/>
        <v>5.9547681825091159</v>
      </c>
      <c r="O207" s="406">
        <f t="shared" si="139"/>
        <v>0.75184083873646246</v>
      </c>
      <c r="P207">
        <f t="shared" si="162"/>
        <v>0.2</v>
      </c>
      <c r="Q207" s="406">
        <f t="shared" si="172"/>
        <v>0.95184083873646252</v>
      </c>
      <c r="R207" s="9">
        <f t="shared" si="140"/>
        <v>0.4191230218240492</v>
      </c>
      <c r="S207" s="9">
        <f t="shared" si="141"/>
        <v>1.7566410742292244E-4</v>
      </c>
      <c r="T207" s="9">
        <f t="shared" si="142"/>
        <v>1.7566410742292244E-4</v>
      </c>
      <c r="U207" s="406">
        <f t="shared" si="143"/>
        <v>2.786265239950898</v>
      </c>
      <c r="V207" s="408">
        <f t="shared" si="144"/>
        <v>7.763273987358636E-3</v>
      </c>
      <c r="W207" s="406">
        <f t="shared" si="145"/>
        <v>7.763273987358636E-3</v>
      </c>
      <c r="X207" s="406">
        <f t="shared" si="146"/>
        <v>2.786265239950898</v>
      </c>
      <c r="Y207" s="406">
        <f t="shared" si="147"/>
        <v>4.6579643924151815E-2</v>
      </c>
      <c r="Z207" s="406">
        <f t="shared" si="163"/>
        <v>0.44357435319451483</v>
      </c>
      <c r="AA207" s="406">
        <f t="shared" si="164"/>
        <v>0.14400000000000002</v>
      </c>
      <c r="AB207" s="406">
        <f t="shared" si="165"/>
        <v>0</v>
      </c>
      <c r="AC207" s="406">
        <f t="shared" si="148"/>
        <v>0.64011728415176339</v>
      </c>
      <c r="AD207" s="406">
        <f t="shared" si="149"/>
        <v>5.2626979886807383</v>
      </c>
      <c r="AE207" s="406">
        <f t="shared" si="150"/>
        <v>0.16617594072038572</v>
      </c>
      <c r="AF207" s="406">
        <f t="shared" si="166"/>
        <v>8.5535999999999987E-2</v>
      </c>
      <c r="AG207" s="406">
        <f t="shared" si="151"/>
        <v>0.25858729874063674</v>
      </c>
      <c r="AH207" s="406">
        <f t="shared" si="152"/>
        <v>0</v>
      </c>
      <c r="AI207">
        <f t="shared" si="167"/>
        <v>0</v>
      </c>
      <c r="AJ207" s="407">
        <f t="shared" si="168"/>
        <v>0.35946539999999999</v>
      </c>
      <c r="AK207">
        <f t="shared" si="173"/>
        <v>4.8000000000000001E-2</v>
      </c>
      <c r="AL207" s="407">
        <f t="shared" si="169"/>
        <v>0.1215</v>
      </c>
      <c r="AM207" s="407">
        <f t="shared" si="174"/>
        <v>0.31645971316818772</v>
      </c>
      <c r="AN207" s="407">
        <f t="shared" si="153"/>
        <v>0.16949999999999998</v>
      </c>
      <c r="AO207" s="407">
        <f t="shared" si="154"/>
        <v>2.3874497597236441</v>
      </c>
      <c r="AP207">
        <f t="shared" si="170"/>
        <v>30.293999999999997</v>
      </c>
      <c r="AQ207" s="10">
        <f t="shared" si="155"/>
        <v>0.92694786255578177</v>
      </c>
      <c r="AR207" s="63">
        <f t="shared" si="156"/>
        <v>32.005864207588168</v>
      </c>
      <c r="AS207" s="63">
        <f t="shared" si="157"/>
        <v>10.34349194962547</v>
      </c>
      <c r="AT207" s="10"/>
      <c r="AU207">
        <f t="shared" si="158"/>
        <v>92.69478625557818</v>
      </c>
    </row>
    <row r="208" spans="7:47" x14ac:dyDescent="0.25">
      <c r="G208">
        <v>199</v>
      </c>
      <c r="H208">
        <f t="shared" si="159"/>
        <v>5.97</v>
      </c>
      <c r="I208" s="406">
        <f t="shared" si="136"/>
        <v>0.21896749999999998</v>
      </c>
      <c r="J208" s="407">
        <f t="shared" si="160"/>
        <v>1.4521002631578943</v>
      </c>
      <c r="K208" s="407">
        <f t="shared" si="171"/>
        <v>6.6960501315789465</v>
      </c>
      <c r="L208" s="407">
        <f t="shared" si="137"/>
        <v>5.243949868421053</v>
      </c>
      <c r="M208" s="63">
        <f t="shared" si="161"/>
        <v>0</v>
      </c>
      <c r="N208" s="406">
        <f t="shared" si="138"/>
        <v>5.9846985107457114</v>
      </c>
      <c r="O208" s="406">
        <f t="shared" si="139"/>
        <v>0.75987835988858887</v>
      </c>
      <c r="P208">
        <f t="shared" si="162"/>
        <v>0.2</v>
      </c>
      <c r="Q208" s="406">
        <f t="shared" si="172"/>
        <v>0.95987835988858894</v>
      </c>
      <c r="R208" s="9">
        <f t="shared" si="140"/>
        <v>0.41918523891226839</v>
      </c>
      <c r="S208" s="9">
        <f t="shared" si="141"/>
        <v>1.7571626452193555E-4</v>
      </c>
      <c r="T208" s="9">
        <f t="shared" si="142"/>
        <v>1.7571626452193555E-4</v>
      </c>
      <c r="U208" s="406">
        <f t="shared" si="143"/>
        <v>2.8004776238887725</v>
      </c>
      <c r="V208" s="408">
        <f t="shared" si="144"/>
        <v>7.8426749219017051E-3</v>
      </c>
      <c r="W208" s="406">
        <f t="shared" si="145"/>
        <v>7.8426749219017051E-3</v>
      </c>
      <c r="X208" s="406">
        <f t="shared" si="146"/>
        <v>2.8004776238887725</v>
      </c>
      <c r="Y208" s="406">
        <f t="shared" si="147"/>
        <v>4.7056049531410231E-2</v>
      </c>
      <c r="Z208" s="406">
        <f t="shared" si="163"/>
        <v>0.4458224508580389</v>
      </c>
      <c r="AA208" s="406">
        <f t="shared" si="164"/>
        <v>0.14400000000000002</v>
      </c>
      <c r="AB208" s="406">
        <f t="shared" si="165"/>
        <v>0</v>
      </c>
      <c r="AC208" s="406">
        <f t="shared" si="148"/>
        <v>0.64292924244498584</v>
      </c>
      <c r="AD208" s="406">
        <f t="shared" si="149"/>
        <v>5.2890397372888236</v>
      </c>
      <c r="AE208" s="406">
        <f t="shared" si="150"/>
        <v>0.16784364805572138</v>
      </c>
      <c r="AF208" s="406">
        <f t="shared" si="166"/>
        <v>8.5967999999999989E-2</v>
      </c>
      <c r="AG208" s="406">
        <f t="shared" si="151"/>
        <v>0.260815853548579</v>
      </c>
      <c r="AH208" s="406">
        <f t="shared" si="152"/>
        <v>0</v>
      </c>
      <c r="AI208">
        <f t="shared" si="167"/>
        <v>0</v>
      </c>
      <c r="AJ208" s="407">
        <f t="shared" si="168"/>
        <v>0.35946269999999997</v>
      </c>
      <c r="AK208">
        <f t="shared" si="173"/>
        <v>4.8000000000000001E-2</v>
      </c>
      <c r="AL208" s="407">
        <f t="shared" si="169"/>
        <v>0.1215</v>
      </c>
      <c r="AM208" s="407">
        <f t="shared" si="174"/>
        <v>0.31645971316818772</v>
      </c>
      <c r="AN208" s="407">
        <f t="shared" si="153"/>
        <v>0.16949999999999998</v>
      </c>
      <c r="AO208" s="407">
        <f t="shared" si="154"/>
        <v>2.4006045470685775</v>
      </c>
      <c r="AP208">
        <f t="shared" si="170"/>
        <v>30.446999999999996</v>
      </c>
      <c r="AQ208" s="10">
        <f t="shared" si="155"/>
        <v>0.92691690672211247</v>
      </c>
      <c r="AR208" s="63">
        <f t="shared" si="156"/>
        <v>32.146462122249289</v>
      </c>
      <c r="AS208" s="63">
        <f t="shared" si="157"/>
        <v>10.43263414194316</v>
      </c>
      <c r="AT208" s="10"/>
      <c r="AU208">
        <f t="shared" si="158"/>
        <v>92.691690672211251</v>
      </c>
    </row>
    <row r="209" spans="7:47" x14ac:dyDescent="0.25">
      <c r="G209">
        <v>200</v>
      </c>
      <c r="H209">
        <f t="shared" si="159"/>
        <v>6</v>
      </c>
      <c r="I209" s="406">
        <f t="shared" si="136"/>
        <v>0.21899999999999997</v>
      </c>
      <c r="J209" s="407">
        <f t="shared" si="160"/>
        <v>1.4523157894736838</v>
      </c>
      <c r="K209" s="407">
        <f t="shared" si="171"/>
        <v>6.7261578947368417</v>
      </c>
      <c r="L209" s="407">
        <f t="shared" si="137"/>
        <v>5.2738421052631583</v>
      </c>
      <c r="M209" s="63">
        <f t="shared" si="161"/>
        <v>0</v>
      </c>
      <c r="N209" s="406">
        <f t="shared" si="138"/>
        <v>6.0146295338418714</v>
      </c>
      <c r="O209" s="406">
        <f t="shared" si="139"/>
        <v>0.76796619622945872</v>
      </c>
      <c r="P209">
        <f t="shared" si="162"/>
        <v>0.2</v>
      </c>
      <c r="Q209" s="406">
        <f t="shared" si="172"/>
        <v>0.96796619622945879</v>
      </c>
      <c r="R209" s="9">
        <f t="shared" si="140"/>
        <v>0.41924745600048763</v>
      </c>
      <c r="S209" s="9">
        <f t="shared" si="141"/>
        <v>1.7576842936288081E-4</v>
      </c>
      <c r="T209" s="9">
        <f t="shared" si="142"/>
        <v>1.7576842936288081E-4</v>
      </c>
      <c r="U209" s="406">
        <f t="shared" si="143"/>
        <v>2.8146923963428883</v>
      </c>
      <c r="V209" s="408">
        <f t="shared" si="144"/>
        <v>7.9224932860304711E-3</v>
      </c>
      <c r="W209" s="406">
        <f t="shared" si="145"/>
        <v>7.9224932860304711E-3</v>
      </c>
      <c r="X209" s="406">
        <f t="shared" si="146"/>
        <v>2.8146923963428883</v>
      </c>
      <c r="Y209" s="406">
        <f t="shared" si="147"/>
        <v>4.7534959716182823E-2</v>
      </c>
      <c r="Z209" s="406">
        <f t="shared" si="163"/>
        <v>0.44807054852156303</v>
      </c>
      <c r="AA209" s="406">
        <f t="shared" si="164"/>
        <v>0.14400000000000002</v>
      </c>
      <c r="AB209" s="406">
        <f t="shared" si="165"/>
        <v>0</v>
      </c>
      <c r="AC209" s="406">
        <f t="shared" si="148"/>
        <v>0.64574459691803421</v>
      </c>
      <c r="AD209" s="406">
        <f t="shared" si="149"/>
        <v>5.3153809970059926</v>
      </c>
      <c r="AE209" s="406">
        <f t="shared" si="150"/>
        <v>0.16951965085999451</v>
      </c>
      <c r="AF209" s="406">
        <f t="shared" si="166"/>
        <v>8.6400000000000005E-2</v>
      </c>
      <c r="AG209" s="406">
        <f t="shared" si="151"/>
        <v>0.26305451642503724</v>
      </c>
      <c r="AH209" s="406">
        <f t="shared" si="152"/>
        <v>0</v>
      </c>
      <c r="AI209">
        <f t="shared" si="167"/>
        <v>0</v>
      </c>
      <c r="AJ209" s="407">
        <f t="shared" si="168"/>
        <v>0.35945999999999995</v>
      </c>
      <c r="AK209">
        <f t="shared" si="173"/>
        <v>4.8000000000000001E-2</v>
      </c>
      <c r="AL209" s="407">
        <f t="shared" si="169"/>
        <v>0.1215</v>
      </c>
      <c r="AM209" s="407">
        <f t="shared" si="174"/>
        <v>0.31645971316818772</v>
      </c>
      <c r="AN209" s="407">
        <f t="shared" si="153"/>
        <v>0.16949999999999998</v>
      </c>
      <c r="AO209" s="407">
        <f t="shared" si="154"/>
        <v>2.4138235712879235</v>
      </c>
      <c r="AP209">
        <f t="shared" si="170"/>
        <v>30.599999999999998</v>
      </c>
      <c r="AQ209" s="10">
        <f t="shared" si="155"/>
        <v>0.92688445898804572</v>
      </c>
      <c r="AR209" s="63">
        <f t="shared" si="156"/>
        <v>32.287229845901713</v>
      </c>
      <c r="AS209" s="63">
        <f t="shared" si="157"/>
        <v>10.52218065700149</v>
      </c>
      <c r="AT209" s="10"/>
      <c r="AU209">
        <f t="shared" si="158"/>
        <v>92.688445898804574</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3.2" x14ac:dyDescent="0.25"/>
  <cols>
    <col min="1" max="1" width="18.5546875" customWidth="1"/>
    <col min="2" max="2" width="9.33203125" customWidth="1"/>
    <col min="4" max="4" width="11.109375" customWidth="1"/>
  </cols>
  <sheetData>
    <row r="1" spans="1:5" x14ac:dyDescent="0.25">
      <c r="C1" t="s">
        <v>349</v>
      </c>
      <c r="D1" t="s">
        <v>348</v>
      </c>
    </row>
    <row r="2" spans="1:5" x14ac:dyDescent="0.25">
      <c r="A2" t="s">
        <v>346</v>
      </c>
      <c r="B2" s="62">
        <v>85</v>
      </c>
      <c r="C2" t="s">
        <v>347</v>
      </c>
      <c r="D2">
        <f>B2*1000000</f>
        <v>85000000</v>
      </c>
      <c r="E2" t="s">
        <v>10</v>
      </c>
    </row>
    <row r="3" spans="1:5" x14ac:dyDescent="0.25">
      <c r="A3" t="s">
        <v>350</v>
      </c>
      <c r="B3" s="62">
        <v>3000</v>
      </c>
      <c r="C3" t="s">
        <v>53</v>
      </c>
      <c r="D3">
        <f>B3*0.000000000001</f>
        <v>3E-9</v>
      </c>
      <c r="E3" t="s">
        <v>34</v>
      </c>
    </row>
    <row r="4" spans="1:5" x14ac:dyDescent="0.25">
      <c r="A4" t="s">
        <v>352</v>
      </c>
      <c r="B4" s="63">
        <f>1000000000*1/((D2*2*3.14159)^2*D3)</f>
        <v>1.1686430773614742</v>
      </c>
      <c r="C4" t="s">
        <v>353</v>
      </c>
      <c r="D4">
        <f>B4/1000000000</f>
        <v>1.1686430773614743E-9</v>
      </c>
      <c r="E4" t="s">
        <v>24</v>
      </c>
    </row>
    <row r="5" spans="1:5" x14ac:dyDescent="0.25">
      <c r="A5" t="s">
        <v>351</v>
      </c>
      <c r="B5">
        <f>4*B3</f>
        <v>12000</v>
      </c>
      <c r="C5" t="s">
        <v>53</v>
      </c>
      <c r="D5">
        <f>B5*0.000000000001</f>
        <v>1.2E-8</v>
      </c>
      <c r="E5" t="s">
        <v>34</v>
      </c>
    </row>
    <row r="6" spans="1:5" x14ac:dyDescent="0.25">
      <c r="A6" t="s">
        <v>354</v>
      </c>
      <c r="B6" s="4">
        <f>SQRT(D4/D3)</f>
        <v>0.62413755891936573</v>
      </c>
      <c r="C6" s="4" t="s">
        <v>274</v>
      </c>
      <c r="D6" s="4">
        <f>B6</f>
        <v>0.62413755891936573</v>
      </c>
      <c r="E6" t="s">
        <v>274</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3.2" x14ac:dyDescent="0.25"/>
  <sheetData>
    <row r="3" spans="1:5" x14ac:dyDescent="0.25">
      <c r="A3" t="s">
        <v>298</v>
      </c>
      <c r="B3">
        <f>Iripple1</f>
        <v>1.4523157894736838</v>
      </c>
    </row>
    <row r="4" spans="1:5" x14ac:dyDescent="0.25">
      <c r="A4" t="s">
        <v>7</v>
      </c>
      <c r="B4">
        <f>Fsw</f>
        <v>300000</v>
      </c>
    </row>
    <row r="6" spans="1:5" x14ac:dyDescent="0.25">
      <c r="A6" t="s">
        <v>279</v>
      </c>
      <c r="B6" s="52">
        <v>0.5</v>
      </c>
      <c r="C6" t="s">
        <v>134</v>
      </c>
      <c r="D6">
        <f>B6/1000</f>
        <v>5.0000000000000001E-4</v>
      </c>
      <c r="E6" t="s">
        <v>25</v>
      </c>
    </row>
    <row r="7" spans="1:5" x14ac:dyDescent="0.25">
      <c r="A7" t="s">
        <v>296</v>
      </c>
      <c r="B7" s="52">
        <v>20</v>
      </c>
      <c r="C7" t="s">
        <v>30</v>
      </c>
      <c r="D7">
        <f>B7/1000000</f>
        <v>2.0000000000000002E-5</v>
      </c>
      <c r="E7" t="s">
        <v>34</v>
      </c>
    </row>
    <row r="9" spans="1:5" x14ac:dyDescent="0.25">
      <c r="A9" t="s">
        <v>280</v>
      </c>
      <c r="B9" s="52">
        <v>20</v>
      </c>
      <c r="C9" t="s">
        <v>134</v>
      </c>
      <c r="D9">
        <f>B9/1000</f>
        <v>0.02</v>
      </c>
      <c r="E9" t="s">
        <v>25</v>
      </c>
    </row>
    <row r="10" spans="1:5" x14ac:dyDescent="0.25">
      <c r="A10" t="s">
        <v>297</v>
      </c>
      <c r="B10" s="52">
        <v>68</v>
      </c>
      <c r="C10" t="s">
        <v>30</v>
      </c>
      <c r="D10">
        <f>B10/1000000</f>
        <v>6.7999999999999999E-5</v>
      </c>
      <c r="E10" t="s">
        <v>34</v>
      </c>
    </row>
    <row r="12" spans="1:5" x14ac:dyDescent="0.25">
      <c r="A12" t="s">
        <v>300</v>
      </c>
      <c r="B12">
        <f>(D7/(D7+D10))*SQRT((D9*D10*B4)^2+1)/SQRT((((D6+D9)*D7*D10/(D10+D7))*B4)^2+1)</f>
        <v>0.2443600307654302</v>
      </c>
      <c r="C12" t="s">
        <v>299</v>
      </c>
    </row>
    <row r="13" spans="1:5" x14ac:dyDescent="0.25">
      <c r="A13" t="s">
        <v>301</v>
      </c>
      <c r="B13">
        <f>1-B12</f>
        <v>0.75563996923456977</v>
      </c>
      <c r="C13" t="s">
        <v>299</v>
      </c>
    </row>
    <row r="15" spans="1:5" x14ac:dyDescent="0.25">
      <c r="A15" t="s">
        <v>300</v>
      </c>
      <c r="B15">
        <f>B12*(Iripple1/(2*SQRT(3)))</f>
        <v>0.10244732124660751</v>
      </c>
      <c r="C15" t="s">
        <v>2</v>
      </c>
    </row>
    <row r="16" spans="1:5" x14ac:dyDescent="0.25">
      <c r="A16" t="s">
        <v>301</v>
      </c>
      <c r="B16">
        <f>B13*(Iripple1/(2*SQRT(3)))</f>
        <v>0.31680013475388014</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150</vt:i4>
      </vt:variant>
    </vt:vector>
  </HeadingPairs>
  <TitlesOfParts>
    <vt:vector size="160" baseType="lpstr">
      <vt:lpstr>Design Regulator</vt:lpstr>
      <vt:lpstr>Schematic &amp; BOM</vt:lpstr>
      <vt:lpstr>EVMs</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Ext_VCC</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VARIANT</vt:lpstr>
      <vt:lpstr>Vdd</vt:lpstr>
      <vt:lpstr>VfdSky</vt:lpstr>
      <vt:lpstr>Vin</vt:lpstr>
      <vt:lpstr>VIN_MAX_RATING</vt:lpstr>
      <vt:lpstr>VIN_MIN_RATING</vt:lpstr>
      <vt:lpstr>Vinmax</vt:lpstr>
      <vt:lpstr>Vinmin</vt:lpstr>
      <vt:lpstr>Vinripple1</vt:lpstr>
      <vt:lpstr>Vinripple2</vt:lpstr>
      <vt:lpstr>VINuvlo_off</vt:lpstr>
      <vt:lpstr>VINuvlo_on</vt:lpstr>
      <vt:lpstr>Vout</vt:lpstr>
      <vt:lpstr>VOUT_MAX_RATING</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慶紀 井川</cp:lastModifiedBy>
  <cp:lastPrinted>2017-06-16T22:24:31Z</cp:lastPrinted>
  <dcterms:created xsi:type="dcterms:W3CDTF">1996-10-14T23:33:28Z</dcterms:created>
  <dcterms:modified xsi:type="dcterms:W3CDTF">2025-09-15T05:29:31Z</dcterms:modified>
</cp:coreProperties>
</file>