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Desktop\IIT\cloud\Project\rohan\"/>
    </mc:Choice>
  </mc:AlternateContent>
  <bookViews>
    <workbookView xWindow="0" yWindow="0" windowWidth="19176" windowHeight="9060" activeTab="3"/>
  </bookViews>
  <sheets>
    <sheet name="Hadoop Configuration 1" sheetId="1" r:id="rId1"/>
    <sheet name="1Million Configuration 2" sheetId="2" r:id="rId2"/>
    <sheet name="Deep Learning Configuration 3" sheetId="3" r:id="rId3"/>
    <sheet name="TOTAL" sheetId="4" r:id="rId4"/>
  </sheets>
  <calcPr calcId="171027"/>
</workbook>
</file>

<file path=xl/calcChain.xml><?xml version="1.0" encoding="utf-8"?>
<calcChain xmlns="http://schemas.openxmlformats.org/spreadsheetml/2006/main">
  <c r="G49" i="3" l="1"/>
  <c r="E48" i="3"/>
  <c r="G47" i="3"/>
  <c r="E46" i="3"/>
  <c r="E40" i="3"/>
  <c r="E39" i="3"/>
  <c r="E38" i="3"/>
  <c r="E37" i="3"/>
  <c r="G48" i="3" s="1"/>
  <c r="D36" i="3"/>
  <c r="E36" i="3" s="1"/>
  <c r="D35" i="3"/>
  <c r="E35" i="3" s="1"/>
  <c r="E34" i="3"/>
  <c r="D34" i="3"/>
  <c r="E33" i="3"/>
  <c r="E32" i="3"/>
  <c r="E31" i="3"/>
  <c r="E30" i="3"/>
  <c r="D30" i="3"/>
  <c r="E29" i="3"/>
  <c r="D29" i="3"/>
  <c r="D28" i="3"/>
  <c r="E28" i="3" s="1"/>
  <c r="E42" i="3" s="1"/>
  <c r="K19" i="3"/>
  <c r="I19" i="3"/>
  <c r="J19" i="3" s="1"/>
  <c r="G19" i="3"/>
  <c r="E19" i="3"/>
  <c r="H19" i="3" s="1"/>
  <c r="H21" i="3" s="1"/>
  <c r="C19" i="3"/>
  <c r="H22" i="3" s="1"/>
  <c r="G18" i="3"/>
  <c r="C18" i="3"/>
  <c r="I18" i="3" s="1"/>
  <c r="J18" i="3" s="1"/>
  <c r="G17" i="3"/>
  <c r="I17" i="3" s="1"/>
  <c r="J17" i="3" s="1"/>
  <c r="E17" i="3"/>
  <c r="C17" i="3"/>
  <c r="H17" i="3" s="1"/>
  <c r="K16" i="3"/>
  <c r="G16" i="3"/>
  <c r="E16" i="3"/>
  <c r="C16" i="3"/>
  <c r="H16" i="3" s="1"/>
  <c r="B5" i="3"/>
  <c r="E49" i="3" s="1"/>
  <c r="E45" i="2"/>
  <c r="E43" i="2"/>
  <c r="E37" i="2"/>
  <c r="E35" i="2"/>
  <c r="E34" i="2"/>
  <c r="G46" i="2" s="1"/>
  <c r="D34" i="2"/>
  <c r="D33" i="2"/>
  <c r="E33" i="2" s="1"/>
  <c r="D32" i="2"/>
  <c r="E32" i="2" s="1"/>
  <c r="E30" i="2"/>
  <c r="D30" i="2"/>
  <c r="D31" i="2" s="1"/>
  <c r="E31" i="2" s="1"/>
  <c r="D29" i="2"/>
  <c r="E29" i="2" s="1"/>
  <c r="E28" i="2"/>
  <c r="E27" i="2"/>
  <c r="E26" i="2"/>
  <c r="K17" i="2"/>
  <c r="I17" i="2"/>
  <c r="J17" i="2" s="1"/>
  <c r="G17" i="2"/>
  <c r="H17" i="2" s="1"/>
  <c r="H19" i="2" s="1"/>
  <c r="E17" i="2"/>
  <c r="C17" i="2"/>
  <c r="H20" i="2" s="1"/>
  <c r="K16" i="2"/>
  <c r="G16" i="2"/>
  <c r="C16" i="2"/>
  <c r="I16" i="2" s="1"/>
  <c r="J16" i="2" s="1"/>
  <c r="G15" i="2"/>
  <c r="I15" i="2" s="1"/>
  <c r="J15" i="2" s="1"/>
  <c r="C15" i="2"/>
  <c r="K15" i="2" s="1"/>
  <c r="K14" i="2"/>
  <c r="I14" i="2"/>
  <c r="J14" i="2" s="1"/>
  <c r="G14" i="2"/>
  <c r="E14" i="2"/>
  <c r="H14" i="2" s="1"/>
  <c r="C14" i="2"/>
  <c r="B5" i="2"/>
  <c r="E46" i="2" s="1"/>
  <c r="E37" i="1"/>
  <c r="E36" i="1"/>
  <c r="E35" i="1"/>
  <c r="E34" i="1"/>
  <c r="G44" i="1" s="1"/>
  <c r="E33" i="1"/>
  <c r="D33" i="1"/>
  <c r="E32" i="1"/>
  <c r="D32" i="1"/>
  <c r="D31" i="1"/>
  <c r="E31" i="1" s="1"/>
  <c r="D30" i="1"/>
  <c r="E30" i="1" s="1"/>
  <c r="E29" i="1"/>
  <c r="D28" i="1"/>
  <c r="E28" i="1" s="1"/>
  <c r="E27" i="1"/>
  <c r="E26" i="1"/>
  <c r="E39" i="1" s="1"/>
  <c r="H17" i="1"/>
  <c r="H19" i="1" s="1"/>
  <c r="G17" i="1"/>
  <c r="E17" i="1"/>
  <c r="C17" i="1"/>
  <c r="K17" i="1" s="1"/>
  <c r="G16" i="1"/>
  <c r="I16" i="1" s="1"/>
  <c r="J16" i="1" s="1"/>
  <c r="C16" i="1"/>
  <c r="K16" i="1" s="1"/>
  <c r="K15" i="1"/>
  <c r="I15" i="1"/>
  <c r="J15" i="1" s="1"/>
  <c r="G15" i="1"/>
  <c r="E15" i="1"/>
  <c r="H15" i="1" s="1"/>
  <c r="C15" i="1"/>
  <c r="G14" i="1"/>
  <c r="C14" i="1"/>
  <c r="I14" i="1" s="1"/>
  <c r="J14" i="1" s="1"/>
  <c r="B5" i="1"/>
  <c r="E14" i="1" s="1"/>
  <c r="C44" i="1" l="1"/>
  <c r="H44" i="1" s="1"/>
  <c r="C43" i="1"/>
  <c r="C46" i="1"/>
  <c r="C45" i="1"/>
  <c r="C48" i="3"/>
  <c r="H48" i="3" s="1"/>
  <c r="C46" i="3"/>
  <c r="H46" i="3" s="1"/>
  <c r="C49" i="3"/>
  <c r="C47" i="3"/>
  <c r="H47" i="3" s="1"/>
  <c r="E39" i="2"/>
  <c r="K14" i="1"/>
  <c r="E16" i="2"/>
  <c r="H16" i="2" s="1"/>
  <c r="I16" i="3"/>
  <c r="J16" i="3" s="1"/>
  <c r="K18" i="3"/>
  <c r="G46" i="3"/>
  <c r="H20" i="1"/>
  <c r="E16" i="1"/>
  <c r="H16" i="1" s="1"/>
  <c r="G45" i="1"/>
  <c r="E15" i="2"/>
  <c r="K17" i="3"/>
  <c r="I17" i="1"/>
  <c r="J17" i="1" s="1"/>
  <c r="G43" i="1"/>
  <c r="H15" i="2"/>
  <c r="G43" i="2"/>
  <c r="G45" i="2"/>
  <c r="E18" i="3"/>
  <c r="E47" i="3"/>
  <c r="G46" i="1"/>
  <c r="H14" i="1"/>
  <c r="H18" i="3"/>
  <c r="E44" i="2"/>
  <c r="G44" i="2"/>
  <c r="H45" i="1" l="1"/>
  <c r="H49" i="1"/>
  <c r="H46" i="1"/>
  <c r="H48" i="1" s="1"/>
  <c r="H43" i="1"/>
  <c r="H52" i="3"/>
  <c r="H49" i="3"/>
  <c r="H51" i="3" s="1"/>
  <c r="C46" i="2"/>
  <c r="C44" i="2"/>
  <c r="H44" i="2" s="1"/>
  <c r="C45" i="2"/>
  <c r="H45" i="2" s="1"/>
  <c r="C43" i="2"/>
  <c r="H43" i="2" s="1"/>
  <c r="H49" i="2" l="1"/>
  <c r="H46" i="2"/>
  <c r="H48" i="2" s="1"/>
</calcChain>
</file>

<file path=xl/sharedStrings.xml><?xml version="1.0" encoding="utf-8"?>
<sst xmlns="http://schemas.openxmlformats.org/spreadsheetml/2006/main" count="238" uniqueCount="100">
  <si>
    <t>Public cloud</t>
  </si>
  <si>
    <t>Instance name</t>
  </si>
  <si>
    <t>d2.8xlarge</t>
  </si>
  <si>
    <t>r3.large</t>
  </si>
  <si>
    <t>Cost/hr</t>
  </si>
  <si>
    <t>p3.16xLarge</t>
  </si>
  <si>
    <t>GFLOPS</t>
  </si>
  <si>
    <t>TeraFLOPS</t>
  </si>
  <si>
    <t>vCPU</t>
  </si>
  <si>
    <t>RAM</t>
  </si>
  <si>
    <t>15.25GB</t>
  </si>
  <si>
    <t>GPU</t>
  </si>
  <si>
    <t>244 GiB</t>
  </si>
  <si>
    <t>Storage</t>
  </si>
  <si>
    <t>32GB</t>
  </si>
  <si>
    <t>488GB</t>
  </si>
  <si>
    <t>Network</t>
  </si>
  <si>
    <t>Moderate</t>
  </si>
  <si>
    <t>256TB</t>
  </si>
  <si>
    <t>Storage 10 PB Mothly cost</t>
  </si>
  <si>
    <t>10Gbps</t>
  </si>
  <si>
    <t>GPU Memory</t>
  </si>
  <si>
    <t>128GB</t>
  </si>
  <si>
    <t>Storage 100 PB Mothly cost</t>
  </si>
  <si>
    <t>Configuration No</t>
  </si>
  <si>
    <t>Storage 1 PB Mothly cost</t>
  </si>
  <si>
    <t>Instance Count</t>
  </si>
  <si>
    <t>Instance cost/hr</t>
  </si>
  <si>
    <t>Instance Utilization</t>
  </si>
  <si>
    <t>Utilization GFLOPS</t>
  </si>
  <si>
    <t>Storage(PB)</t>
  </si>
  <si>
    <t>Storage cost/hr</t>
  </si>
  <si>
    <t>Cost/hr/GFLOPS</t>
  </si>
  <si>
    <t>Total AWS cost/ hr (based on utilization)</t>
  </si>
  <si>
    <t>Utilization TeraFLOPS</t>
  </si>
  <si>
    <t>Cost/hr/TeraFLOPS</t>
  </si>
  <si>
    <t>Total AWS cost/ 5 years</t>
  </si>
  <si>
    <t>(Comment: Storage cost is fixed)</t>
  </si>
  <si>
    <t>Storage cost and instance cost based on utilization</t>
  </si>
  <si>
    <t>5 Year cost 24*7 Utilization cost/hr/gflops</t>
  </si>
  <si>
    <t>5 Year cost 24*7 Utilization cost</t>
  </si>
  <si>
    <t>5 Year cost 24*7 Utilization cost/hr/TeraFiops</t>
  </si>
  <si>
    <t>Private cloud</t>
  </si>
  <si>
    <t>Description</t>
  </si>
  <si>
    <t>Price per item($)</t>
  </si>
  <si>
    <t>Quantity</t>
  </si>
  <si>
    <t>Total($)</t>
  </si>
  <si>
    <t>Comment</t>
  </si>
  <si>
    <t>CPU</t>
  </si>
  <si>
    <t>Intel Xeon e5-2676 v3 @ 2.40ghz (Haswell) processors</t>
  </si>
  <si>
    <t>Intel Xeon E5-2670 v2 Ivy Bridge-EP 2.5 GHz 25MB L3 Cache LGA 2011 115W BX80635E52670V2 Server Processor</t>
  </si>
  <si>
    <t>3 Processors for 1 VM</t>
  </si>
  <si>
    <t>Memory</t>
  </si>
  <si>
    <t>16GB PC4-19200 DDR4-2400Mhz Registered ECC DIMM 1.2V Major Brand</t>
  </si>
  <si>
    <t>64GB PC4-21300 DDR4-2666Mhz Load Reduced ECC Quad Ranked 1.2V Major Brand</t>
  </si>
  <si>
    <t xml:space="preserve">
Intel Xeon E5 2686 V4 SR2K8 18Core 2.3Ghz 45MB LGA2011-3 145W 14nm Processor CPU</t>
  </si>
  <si>
    <t>4 Memory per vm</t>
  </si>
  <si>
    <t>1 Memory per vm</t>
  </si>
  <si>
    <t>Disk</t>
  </si>
  <si>
    <t>Intel 32GB MEMPEK1W032GAXT Optane Memory Series NVMe PCIe M.2 2280 1350MB/sec Read 20nm 3D Xpoint, Retail</t>
  </si>
  <si>
    <t>6TB Seagate ST6000NM0105 - SAS 4Kn HDD 6TB V.5 Enterprise Capacity SAS 12Gb/s 7200rpm 256MB 3.5-inch Bulk</t>
  </si>
  <si>
    <t>1 disk per vm</t>
  </si>
  <si>
    <t>Motherboard</t>
  </si>
  <si>
    <t>ASUS Z10PE-D16 WS LGA 2011-v3 Intel C612 PCH SATA 6Gb/s USB 3.0 SSI EEB Intel Motherboard</t>
  </si>
  <si>
    <t>6 disk per vm</t>
  </si>
  <si>
    <t>4 per vm</t>
  </si>
  <si>
    <t xml:space="preserve">64GB PC4-21300 DDR4-2666Mhz Load Reduced ECC Quad Ranked 1.2V Major Brand
</t>
  </si>
  <si>
    <t>1 million vm and extra 1 for storage server</t>
  </si>
  <si>
    <t>Network Switch</t>
  </si>
  <si>
    <t>1050 vm and extra 1 for storage server</t>
  </si>
  <si>
    <t>Mellanox SX1710 Ethernet SwitchX-2 based 36-port QSFP 40/56GbE 1U 36 QSFP ports 2 PS MSX1710-BS2F2</t>
  </si>
  <si>
    <t>8 Memory per vm</t>
  </si>
  <si>
    <t>1million/35 for vm and 1 for upperone</t>
  </si>
  <si>
    <t>Network Adapter</t>
  </si>
  <si>
    <t>Mellanox MCX415A-CCAT ConnectX-4 EN network interface card, 100GbE single-port QSFP28, PCIe3.0 x16, tall bracket</t>
  </si>
  <si>
    <t>30 for vm and 1 for upperone</t>
  </si>
  <si>
    <t> NVIDIA TESLA V100 PCIE 16GB MODULE</t>
  </si>
  <si>
    <t>same as network switch</t>
  </si>
  <si>
    <t>Network Cable</t>
  </si>
  <si>
    <t>Belkin A3L791b14-BLU-S 14 ft. Cat 5E Blue Patch Cable</t>
  </si>
  <si>
    <t>vm + switch + extra 7</t>
  </si>
  <si>
    <t>Server Racks</t>
  </si>
  <si>
    <t>iStarUSA WD-1045 10U 450mm Depth Simple Server Rack</t>
  </si>
  <si>
    <t>8 GPU per vm</t>
  </si>
  <si>
    <t>vm + switch + extra 4</t>
  </si>
  <si>
    <t>10vm per rack</t>
  </si>
  <si>
    <t>Storage server</t>
  </si>
  <si>
    <t>J4601S, HGST 4U 60 Bay JBOD with 60 * 12TB Helium SAS SSD (Kepler+)</t>
  </si>
  <si>
    <t>1000 vm and extra 1 for storage server</t>
  </si>
  <si>
    <t>10PB/720TB</t>
  </si>
  <si>
    <t>Electric Power</t>
  </si>
  <si>
    <t>Chicago Electricity cost 7.15 per kWh. Power consumed per cpu: 202 watts/hr</t>
  </si>
  <si>
    <t>100PB/720TB</t>
  </si>
  <si>
    <t>Chicago Electricity cost 7.15 per kWh. Power consumed per cpu: 120 watts/hr</t>
  </si>
  <si>
    <t>Cooling</t>
  </si>
  <si>
    <t>1000/35 for vm and 1 for upperone</t>
  </si>
  <si>
    <t>Admin</t>
  </si>
  <si>
    <t>70000 per year salary</t>
  </si>
  <si>
    <t>vm + switch + extra 5</t>
  </si>
  <si>
    <t>J4601S, HGST 4U 60 Bay JBOD with 60 * 6TB Helium SAS SSD (Kepler+)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</si>
</sst>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3" fillId="0" borderId="1" xfId="0" applyFont="1" applyBorder="1" applyAlignment="1"/>
    <xf numFmtId="0" fontId="0" fillId="0" borderId="1" xfId="0" applyFont="1" applyBorder="1" applyAlignment="1">
      <alignment horizontal="left" vertical="top"/>
    </xf>
    <xf numFmtId="9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Product/Product.aspx?Item=N82E16813132416&amp;ignorebbr=1" TargetMode="External"/><Relationship Id="rId7" Type="http://schemas.openxmlformats.org/officeDocument/2006/relationships/hyperlink" Target="https://www.newegg.com/Product/Product.aspx?Item=N82E16816215327&amp;ignorebbr=1" TargetMode="External"/><Relationship Id="rId2" Type="http://schemas.openxmlformats.org/officeDocument/2006/relationships/hyperlink" Target="http://www.acmemicro.com/Product/15583/6TB-Seagate-ST6000NM0105---SAS-4Kn-HDD-6TB-V-5-Enterprise-Capacity-SAS-12Gb-s-7200rpm-256MB-3-5-inch-Bulk?c_id=240" TargetMode="External"/><Relationship Id="rId1" Type="http://schemas.openxmlformats.org/officeDocument/2006/relationships/hyperlink" Target="http://www.acmemicro.com/Product/15498/64GB-PC4-21300-DDR4-2666Mhz-Load-Reduced-ECC-Quad-Ranked-1-2V-Major-Brand?c_id=632" TargetMode="External"/><Relationship Id="rId6" Type="http://schemas.openxmlformats.org/officeDocument/2006/relationships/hyperlink" Target="https://www.newegg.com/Product/Product.aspx?Item=N82E16812107406&amp;ignorebbr=1" TargetMode="External"/><Relationship Id="rId5" Type="http://schemas.openxmlformats.org/officeDocument/2006/relationships/hyperlink" Target="http://www.acmemicro.com/Product/15512/Mellanox-MCX415A-CCAT-ConnectX-4-EN-network-interface-card-100GbE-single-port-QSFP28-PCIe3-0-x16-tall-bracket?c_id=424" TargetMode="External"/><Relationship Id="rId4" Type="http://schemas.openxmlformats.org/officeDocument/2006/relationships/hyperlink" Target="http://www.acmemicro.com/Product/15520/Mellanox-SX1710-Ethernet-SwitchX-2-based-36-port-QSFP-40-56GbE-1U-36-QSFP-ports-2-PS-MSX1710-BS2F2?c_id=4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Product/Product.aspx?Item=N82E16813132416&amp;ignorebbr=1" TargetMode="External"/><Relationship Id="rId7" Type="http://schemas.openxmlformats.org/officeDocument/2006/relationships/hyperlink" Target="https://www.newegg.com/Product/Product.aspx?Item=N82E16816215327&amp;ignorebbr=1" TargetMode="External"/><Relationship Id="rId2" Type="http://schemas.openxmlformats.org/officeDocument/2006/relationships/hyperlink" Target="http://www.acmemicro.com/Product/15583/6TB-Seagate-ST6000NM0105---SAS-4Kn-HDD-6TB-V-5-Enterprise-Capacity-SAS-12Gb-s-7200rpm-256MB-3-5-inch-Bulk?c_id=240" TargetMode="External"/><Relationship Id="rId1" Type="http://schemas.openxmlformats.org/officeDocument/2006/relationships/hyperlink" Target="http://www.acmemicro.com/Product/15498/64GB-PC4-21300-DDR4-2666Mhz-Load-Reduced-ECC-Quad-Ranked-1-2V-Major-Brand?c_id=632" TargetMode="External"/><Relationship Id="rId6" Type="http://schemas.openxmlformats.org/officeDocument/2006/relationships/hyperlink" Target="https://www.newegg.com/Product/Product.aspx?Item=N82E16812107406&amp;ignorebbr=1" TargetMode="External"/><Relationship Id="rId5" Type="http://schemas.openxmlformats.org/officeDocument/2006/relationships/hyperlink" Target="http://www.acmemicro.com/Product/15512/Mellanox-MCX415A-CCAT-ConnectX-4-EN-network-interface-card-100GbE-single-port-QSFP28-PCIe3-0-x16-tall-bracket?c_id=424" TargetMode="External"/><Relationship Id="rId4" Type="http://schemas.openxmlformats.org/officeDocument/2006/relationships/hyperlink" Target="http://www.acmemicro.com/Product/15520/Mellanox-SX1710-Ethernet-SwitchX-2-based-36-port-QSFP-40-56GbE-1U-36-QSFP-ports-2-PS-MSX1710-BS2F2?c_id=42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N82E16816215327&amp;ignorebbr=1" TargetMode="External"/><Relationship Id="rId3" Type="http://schemas.openxmlformats.org/officeDocument/2006/relationships/hyperlink" Target="http://www.nextwarehouse.com/item/?2782569" TargetMode="External"/><Relationship Id="rId7" Type="http://schemas.openxmlformats.org/officeDocument/2006/relationships/hyperlink" Target="https://www.newegg.com/Product/Product.aspx?Item=N82E16812107406&amp;ignorebbr=1" TargetMode="External"/><Relationship Id="rId2" Type="http://schemas.openxmlformats.org/officeDocument/2006/relationships/hyperlink" Target="http://www.acmemicro.com/Product/15583/6TB-Seagate-ST6000NM0105---SAS-4Kn-HDD-6TB-V-5-Enterprise-Capacity-SAS-12Gb-s-7200rpm-256MB-3-5-inch-Bulk?c_id=240" TargetMode="External"/><Relationship Id="rId1" Type="http://schemas.openxmlformats.org/officeDocument/2006/relationships/hyperlink" Target="http://www.acmemicro.com/Product/15498/64GB-PC4-21300-DDR4-2666Mhz-Load-Reduced-ECC-Quad-Ranked-1-2V-Major-Brand?c_id=632" TargetMode="External"/><Relationship Id="rId6" Type="http://schemas.openxmlformats.org/officeDocument/2006/relationships/hyperlink" Target="http://www.acmemicro.com/Product/15512/Mellanox-MCX415A-CCAT-ConnectX-4-EN-network-interface-card-100GbE-single-port-QSFP28-PCIe3-0-x16-tall-bracket?c_id=424" TargetMode="External"/><Relationship Id="rId5" Type="http://schemas.openxmlformats.org/officeDocument/2006/relationships/hyperlink" Target="http://www.acmemicro.com/Product/15520/Mellanox-SX1710-Ethernet-SwitchX-2-based-36-port-QSFP-40-56GbE-1U-36-QSFP-ports-2-PS-MSX1710-BS2F2?c_id=424" TargetMode="External"/><Relationship Id="rId4" Type="http://schemas.openxmlformats.org/officeDocument/2006/relationships/hyperlink" Target="https://www.newegg.com/Product/Product.aspx?Item=N82E16813132416&amp;ignorebb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5" workbookViewId="0">
      <selection activeCell="E48" sqref="E48:H49"/>
    </sheetView>
  </sheetViews>
  <sheetFormatPr defaultColWidth="14.44140625" defaultRowHeight="15" customHeight="1"/>
  <cols>
    <col min="1" max="1" width="16.33203125" customWidth="1"/>
    <col min="2" max="2" width="13.77734375" customWidth="1"/>
    <col min="3" max="3" width="16" customWidth="1"/>
    <col min="4" max="4" width="17.5546875" customWidth="1"/>
    <col min="5" max="5" width="16.77734375" customWidth="1"/>
    <col min="6" max="6" width="13.6640625" customWidth="1"/>
    <col min="7" max="7" width="14.5546875" customWidth="1"/>
    <col min="8" max="8" width="15.33203125" customWidth="1"/>
    <col min="9" max="9" width="34" customWidth="1"/>
    <col min="10" max="10" width="29.44140625" customWidth="1"/>
    <col min="11" max="11" width="34.109375" customWidth="1"/>
    <col min="12" max="12" width="8.6640625" customWidth="1"/>
    <col min="13" max="13" width="29.5546875" customWidth="1"/>
    <col min="14" max="27" width="8.6640625" customWidth="1"/>
  </cols>
  <sheetData>
    <row r="1" spans="1:27" ht="14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>
      <c r="A4" s="2" t="s">
        <v>4</v>
      </c>
      <c r="B4" s="2">
        <v>5.52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>
      <c r="A5" s="2" t="s">
        <v>6</v>
      </c>
      <c r="B5" s="2">
        <f>36*2.4*16</f>
        <v>1382.3999999999999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>
      <c r="A6" s="2" t="s">
        <v>8</v>
      </c>
      <c r="B6" s="2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>
      <c r="A7" s="2" t="s">
        <v>9</v>
      </c>
      <c r="B7" s="2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>
      <c r="A8" s="2" t="s">
        <v>13</v>
      </c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>
      <c r="A9" s="2" t="s">
        <v>16</v>
      </c>
      <c r="B9" s="2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>
      <c r="A10" s="2" t="s">
        <v>23</v>
      </c>
      <c r="B10" s="2">
        <v>2202572.7999999998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>
      <c r="A12" s="3" t="s">
        <v>24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4" t="s">
        <v>33</v>
      </c>
      <c r="J12" s="4" t="s">
        <v>36</v>
      </c>
      <c r="K12" s="4" t="s">
        <v>36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4">
      <c r="A13" s="5"/>
      <c r="B13" s="5"/>
      <c r="C13" s="5"/>
      <c r="D13" s="5"/>
      <c r="E13" s="5"/>
      <c r="F13" s="5"/>
      <c r="G13" s="5"/>
      <c r="H13" s="5"/>
      <c r="I13" s="6" t="s">
        <v>37</v>
      </c>
      <c r="J13" s="6" t="s">
        <v>37</v>
      </c>
      <c r="K13" s="7" t="s">
        <v>38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4">
      <c r="A14" s="5">
        <v>1</v>
      </c>
      <c r="B14" s="5">
        <v>1050</v>
      </c>
      <c r="C14" s="5">
        <f t="shared" ref="C14:C17" si="0">B14*$B$4</f>
        <v>5796</v>
      </c>
      <c r="D14" s="8">
        <v>0.25</v>
      </c>
      <c r="E14" s="5">
        <f t="shared" ref="E14:E17" si="1">D14*B$5</f>
        <v>345.59999999999997</v>
      </c>
      <c r="F14" s="5">
        <v>100</v>
      </c>
      <c r="G14" s="5">
        <f t="shared" ref="G14:G17" si="2">$B$10/31/24</f>
        <v>2960.4473118279566</v>
      </c>
      <c r="H14" s="5">
        <f t="shared" ref="H14:H17" si="3">(C14+G14)/E14</f>
        <v>25.336942453205896</v>
      </c>
      <c r="I14" s="5">
        <f t="shared" ref="I14:I17" si="4">(C14/4)*A14+G14</f>
        <v>4409.4473118279566</v>
      </c>
      <c r="J14" s="9">
        <f t="shared" ref="J14:J17" si="5">I14*24*365</f>
        <v>38626758.451612897</v>
      </c>
      <c r="K14" s="9">
        <f t="shared" ref="K14:K17" si="6">((C14+G14)/4)*A14*24*365</f>
        <v>19176619.612903226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>
      <c r="A15" s="5">
        <v>2</v>
      </c>
      <c r="B15" s="5">
        <v>1050</v>
      </c>
      <c r="C15" s="5">
        <f t="shared" si="0"/>
        <v>5796</v>
      </c>
      <c r="D15" s="8">
        <v>0.5</v>
      </c>
      <c r="E15" s="5">
        <f t="shared" si="1"/>
        <v>691.19999999999993</v>
      </c>
      <c r="F15" s="5">
        <v>100</v>
      </c>
      <c r="G15" s="5">
        <f t="shared" si="2"/>
        <v>2960.4473118279566</v>
      </c>
      <c r="H15" s="5">
        <f t="shared" si="3"/>
        <v>12.668471226602948</v>
      </c>
      <c r="I15" s="5">
        <f t="shared" si="4"/>
        <v>5858.4473118279566</v>
      </c>
      <c r="J15" s="9">
        <f t="shared" si="5"/>
        <v>51319998.451612897</v>
      </c>
      <c r="K15" s="9">
        <f t="shared" si="6"/>
        <v>38353239.225806452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>
      <c r="A16" s="5">
        <v>3</v>
      </c>
      <c r="B16" s="5">
        <v>1050</v>
      </c>
      <c r="C16" s="5">
        <f t="shared" si="0"/>
        <v>5796</v>
      </c>
      <c r="D16" s="8">
        <v>0.75</v>
      </c>
      <c r="E16" s="5">
        <f t="shared" si="1"/>
        <v>1036.8</v>
      </c>
      <c r="F16" s="5">
        <v>100</v>
      </c>
      <c r="G16" s="5">
        <f t="shared" si="2"/>
        <v>2960.4473118279566</v>
      </c>
      <c r="H16" s="5">
        <f t="shared" si="3"/>
        <v>8.4456474844019649</v>
      </c>
      <c r="I16" s="5">
        <f t="shared" si="4"/>
        <v>7307.4473118279566</v>
      </c>
      <c r="J16" s="9">
        <f t="shared" si="5"/>
        <v>64013238.451612897</v>
      </c>
      <c r="K16" s="9">
        <f t="shared" si="6"/>
        <v>57529858.838709675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>
      <c r="A17" s="5">
        <v>4</v>
      </c>
      <c r="B17" s="5">
        <v>1050</v>
      </c>
      <c r="C17" s="5">
        <f t="shared" si="0"/>
        <v>5796</v>
      </c>
      <c r="D17" s="8">
        <v>1</v>
      </c>
      <c r="E17" s="5">
        <f t="shared" si="1"/>
        <v>1382.3999999999999</v>
      </c>
      <c r="F17" s="5">
        <v>100</v>
      </c>
      <c r="G17" s="5">
        <f t="shared" si="2"/>
        <v>2960.4473118279566</v>
      </c>
      <c r="H17" s="5">
        <f t="shared" si="3"/>
        <v>6.3342356133014741</v>
      </c>
      <c r="I17" s="5">
        <f t="shared" si="4"/>
        <v>8756.4473118279566</v>
      </c>
      <c r="J17" s="9">
        <f t="shared" si="5"/>
        <v>76706478.451612905</v>
      </c>
      <c r="K17" s="9">
        <f t="shared" si="6"/>
        <v>76706478.451612905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>
      <c r="A19" s="2"/>
      <c r="B19" s="2"/>
      <c r="C19" s="2"/>
      <c r="D19" s="2"/>
      <c r="E19" s="15" t="s">
        <v>39</v>
      </c>
      <c r="F19" s="16"/>
      <c r="G19" s="16"/>
      <c r="H19" s="2">
        <f>H17*5*365*24</f>
        <v>277439.51986260456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>
      <c r="A20" s="2"/>
      <c r="B20" s="2"/>
      <c r="C20" s="2"/>
      <c r="D20" s="2"/>
      <c r="E20" s="15" t="s">
        <v>40</v>
      </c>
      <c r="F20" s="16"/>
      <c r="G20" s="16"/>
      <c r="H20" s="2">
        <f>(C17+G17)*5*365*24</f>
        <v>383532392.25806451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4">
      <c r="A22" s="1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4">
      <c r="A24" s="5"/>
      <c r="B24" s="10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4">
      <c r="A25" s="5"/>
      <c r="B25" s="10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1.5" customHeight="1">
      <c r="A26" s="5" t="s">
        <v>48</v>
      </c>
      <c r="B26" s="10" t="s">
        <v>49</v>
      </c>
      <c r="C26" s="5">
        <v>5400</v>
      </c>
      <c r="D26" s="5">
        <v>1050</v>
      </c>
      <c r="E26" s="5">
        <f t="shared" ref="E26:E28" si="7">C26*D26</f>
        <v>5670000</v>
      </c>
      <c r="F26" s="11" t="s">
        <v>51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45" customHeight="1">
      <c r="A27" s="5" t="s">
        <v>52</v>
      </c>
      <c r="B27" s="12" t="s">
        <v>54</v>
      </c>
      <c r="C27" s="5">
        <v>899.99</v>
      </c>
      <c r="D27" s="5">
        <v>4200</v>
      </c>
      <c r="E27" s="5">
        <f t="shared" si="7"/>
        <v>3779958</v>
      </c>
      <c r="F27" s="10" t="s">
        <v>56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42.75" customHeight="1">
      <c r="A28" s="5" t="s">
        <v>58</v>
      </c>
      <c r="B28" s="12" t="s">
        <v>60</v>
      </c>
      <c r="C28" s="5">
        <v>248.99</v>
      </c>
      <c r="D28" s="5">
        <f>1050*6</f>
        <v>6300</v>
      </c>
      <c r="E28" s="5">
        <f t="shared" si="7"/>
        <v>1568637</v>
      </c>
      <c r="F28" s="10" t="s">
        <v>64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44.25" customHeight="1">
      <c r="A29" s="5" t="s">
        <v>62</v>
      </c>
      <c r="B29" s="12" t="s">
        <v>63</v>
      </c>
      <c r="C29" s="5">
        <v>498.99</v>
      </c>
      <c r="D29" s="5">
        <v>1051</v>
      </c>
      <c r="E29" s="5">
        <f>D29*C29</f>
        <v>524438.49</v>
      </c>
      <c r="F29" s="10" t="s">
        <v>69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48" customHeight="1">
      <c r="A30" s="5" t="s">
        <v>68</v>
      </c>
      <c r="B30" s="12" t="s">
        <v>70</v>
      </c>
      <c r="C30" s="5">
        <v>11323</v>
      </c>
      <c r="D30" s="5">
        <f>1050/35+1</f>
        <v>31</v>
      </c>
      <c r="E30" s="5">
        <f t="shared" ref="E30:E34" si="8">C30*D30</f>
        <v>351013</v>
      </c>
      <c r="F30" s="10" t="s">
        <v>75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47.25" customHeight="1">
      <c r="A31" s="5" t="s">
        <v>73</v>
      </c>
      <c r="B31" s="12" t="s">
        <v>74</v>
      </c>
      <c r="C31" s="5">
        <v>758.24</v>
      </c>
      <c r="D31" s="5">
        <f>31</f>
        <v>31</v>
      </c>
      <c r="E31" s="5">
        <f t="shared" si="8"/>
        <v>23505.439999999999</v>
      </c>
      <c r="F31" s="10" t="s">
        <v>77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8.8">
      <c r="A32" s="5" t="s">
        <v>78</v>
      </c>
      <c r="B32" s="12" t="s">
        <v>79</v>
      </c>
      <c r="C32" s="5">
        <v>9.99</v>
      </c>
      <c r="D32" s="5">
        <f>1050+31+4</f>
        <v>1085</v>
      </c>
      <c r="E32" s="5">
        <f t="shared" si="8"/>
        <v>10839.15</v>
      </c>
      <c r="F32" s="10" t="s">
        <v>84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8.5" customHeight="1">
      <c r="A33" s="5" t="s">
        <v>81</v>
      </c>
      <c r="B33" s="12" t="s">
        <v>82</v>
      </c>
      <c r="C33" s="5">
        <v>228.99</v>
      </c>
      <c r="D33" s="5">
        <f>1050/10</f>
        <v>105</v>
      </c>
      <c r="E33" s="5">
        <f t="shared" si="8"/>
        <v>24043.95</v>
      </c>
      <c r="F33" s="10" t="s">
        <v>85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34.5" customHeight="1">
      <c r="A34" s="5" t="s">
        <v>86</v>
      </c>
      <c r="B34" s="10" t="s">
        <v>87</v>
      </c>
      <c r="C34" s="10">
        <v>44250</v>
      </c>
      <c r="D34" s="10">
        <v>139</v>
      </c>
      <c r="E34" s="10">
        <f t="shared" si="8"/>
        <v>6150750</v>
      </c>
      <c r="F34" s="10" t="s">
        <v>92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36" customHeight="1">
      <c r="A35" s="5" t="s">
        <v>90</v>
      </c>
      <c r="B35" s="10" t="s">
        <v>93</v>
      </c>
      <c r="C35" s="5"/>
      <c r="D35" s="5"/>
      <c r="E35" s="10">
        <f>7.14*(120*3*5*365*24)/1000*1050/100</f>
        <v>1182126.96</v>
      </c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36.75" customHeight="1">
      <c r="A36" s="5" t="s">
        <v>94</v>
      </c>
      <c r="B36" s="10" t="s">
        <v>93</v>
      </c>
      <c r="C36" s="5"/>
      <c r="D36" s="5"/>
      <c r="E36" s="10">
        <f>(5*365*24*1228.37)*0.223/1000*7.15*1050/100</f>
        <v>900748.43393534992</v>
      </c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4">
      <c r="A37" s="5" t="s">
        <v>96</v>
      </c>
      <c r="B37" s="10" t="s">
        <v>97</v>
      </c>
      <c r="C37" s="5">
        <v>70000</v>
      </c>
      <c r="D37" s="5">
        <v>2</v>
      </c>
      <c r="E37" s="5">
        <f>D37*C37*5</f>
        <v>700000</v>
      </c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4">
      <c r="A38" s="2"/>
      <c r="B38" s="14"/>
      <c r="C38" s="2"/>
      <c r="D38" s="2"/>
      <c r="E38" s="2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4">
      <c r="A39" s="2"/>
      <c r="B39" s="14"/>
      <c r="C39" s="2"/>
      <c r="D39" s="2"/>
      <c r="E39" s="1">
        <f>SUM(E26:E37)</f>
        <v>20886060.423935354</v>
      </c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4">
      <c r="A40" s="2"/>
      <c r="B40" s="14"/>
      <c r="C40" s="2"/>
      <c r="D40" s="2"/>
      <c r="E40" s="2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4">
      <c r="A41" s="3" t="s">
        <v>24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4">
      <c r="A42" s="5"/>
      <c r="B42" s="5"/>
      <c r="C42" s="5"/>
      <c r="D42" s="5"/>
      <c r="E42" s="5"/>
      <c r="F42" s="5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4">
      <c r="A43" s="5">
        <v>1</v>
      </c>
      <c r="B43" s="5">
        <v>1050</v>
      </c>
      <c r="C43" s="5">
        <f t="shared" ref="C43:C46" si="9">(($E$39-$E$34)/5/365/24)*D43</f>
        <v>84.105653104653854</v>
      </c>
      <c r="D43" s="8">
        <v>0.25</v>
      </c>
      <c r="E43" s="5">
        <v>345.59999999999997</v>
      </c>
      <c r="F43" s="5">
        <v>100</v>
      </c>
      <c r="G43" s="5">
        <f t="shared" ref="G43:G46" si="10">$E$34/5/365/24</f>
        <v>140.42808219178082</v>
      </c>
      <c r="H43" s="5">
        <f t="shared" ref="H43:H46" si="11">(C43+G43)/E43</f>
        <v>0.64969252111236886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4">
      <c r="A44" s="5">
        <v>2</v>
      </c>
      <c r="B44" s="5">
        <v>1050</v>
      </c>
      <c r="C44" s="5">
        <f t="shared" si="9"/>
        <v>168.21130620930771</v>
      </c>
      <c r="D44" s="8">
        <v>0.5</v>
      </c>
      <c r="E44" s="5">
        <v>691.19999999999993</v>
      </c>
      <c r="F44" s="5">
        <v>100</v>
      </c>
      <c r="G44" s="5">
        <f t="shared" si="10"/>
        <v>140.42808219178082</v>
      </c>
      <c r="H44" s="5">
        <f t="shared" si="11"/>
        <v>0.4465268929413897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4">
      <c r="A45" s="5">
        <v>3</v>
      </c>
      <c r="B45" s="5">
        <v>1050</v>
      </c>
      <c r="C45" s="5">
        <f t="shared" si="9"/>
        <v>252.31695931396155</v>
      </c>
      <c r="D45" s="8">
        <v>0.75</v>
      </c>
      <c r="E45" s="5">
        <v>1036.8</v>
      </c>
      <c r="F45" s="5">
        <v>100</v>
      </c>
      <c r="G45" s="5">
        <f t="shared" si="10"/>
        <v>140.42808219178082</v>
      </c>
      <c r="H45" s="5">
        <f t="shared" si="11"/>
        <v>0.37880501688439661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4">
      <c r="A46" s="5">
        <v>4</v>
      </c>
      <c r="B46" s="5">
        <v>1050</v>
      </c>
      <c r="C46" s="5">
        <f t="shared" si="9"/>
        <v>336.42261241861542</v>
      </c>
      <c r="D46" s="8">
        <v>1</v>
      </c>
      <c r="E46" s="5">
        <v>1382.3999999999999</v>
      </c>
      <c r="F46" s="5">
        <v>100</v>
      </c>
      <c r="G46" s="5">
        <f t="shared" si="10"/>
        <v>140.42808219178082</v>
      </c>
      <c r="H46" s="5">
        <f t="shared" si="11"/>
        <v>0.34494407885590006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4">
      <c r="A48" s="2"/>
      <c r="B48" s="2"/>
      <c r="C48" s="2"/>
      <c r="D48" s="2"/>
      <c r="E48" s="15" t="s">
        <v>39</v>
      </c>
      <c r="F48" s="16"/>
      <c r="G48" s="16"/>
      <c r="H48" s="2">
        <f>H46*5*365*24</f>
        <v>15108.550653888422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4">
      <c r="A49" s="2"/>
      <c r="B49" s="2"/>
      <c r="C49" s="2"/>
      <c r="D49" s="2"/>
      <c r="E49" s="15" t="s">
        <v>40</v>
      </c>
      <c r="F49" s="16"/>
      <c r="G49" s="16"/>
      <c r="H49" s="2">
        <f>(C46+G46)*5*365*24</f>
        <v>20886060.423935354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4">
      <c r="A50" s="2"/>
      <c r="B50" s="14"/>
      <c r="C50" s="2"/>
      <c r="D50" s="2"/>
      <c r="E50" s="2"/>
      <c r="F50" s="1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4">
      <c r="A51" s="2"/>
      <c r="B51" s="14"/>
      <c r="C51" s="2"/>
      <c r="D51" s="2"/>
      <c r="E51" s="2"/>
      <c r="F51" s="1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4">
      <c r="A52" s="2"/>
      <c r="B52" s="14"/>
      <c r="C52" s="2"/>
      <c r="D52" s="2"/>
      <c r="E52" s="2"/>
      <c r="F52" s="1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4">
      <c r="A53" s="2"/>
      <c r="B53" s="14"/>
      <c r="C53" s="2"/>
      <c r="D53" s="2"/>
      <c r="E53" s="2"/>
      <c r="F53" s="1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4">
      <c r="A54" s="2"/>
      <c r="B54" s="14"/>
      <c r="C54" s="2"/>
      <c r="D54" s="2"/>
      <c r="E54" s="2"/>
      <c r="F54" s="1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4">
      <c r="A55" s="2"/>
      <c r="B55" s="14"/>
      <c r="C55" s="2"/>
      <c r="D55" s="2"/>
      <c r="E55" s="2"/>
      <c r="F55" s="1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4">
      <c r="A56" s="2"/>
      <c r="B56" s="14"/>
      <c r="C56" s="2"/>
      <c r="D56" s="2"/>
      <c r="E56" s="2"/>
      <c r="F56" s="1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4">
      <c r="A57" s="2"/>
      <c r="B57" s="14"/>
      <c r="C57" s="2"/>
      <c r="D57" s="2"/>
      <c r="E57" s="2"/>
      <c r="F57" s="1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4">
      <c r="A58" s="2"/>
      <c r="B58" s="14"/>
      <c r="C58" s="2"/>
      <c r="D58" s="2"/>
      <c r="E58" s="2"/>
      <c r="F58" s="1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4">
      <c r="A59" s="2"/>
      <c r="B59" s="14"/>
      <c r="C59" s="2"/>
      <c r="D59" s="2"/>
      <c r="E59" s="2"/>
      <c r="F59" s="1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4">
      <c r="A60" s="2"/>
      <c r="B60" s="14"/>
      <c r="C60" s="2"/>
      <c r="D60" s="2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4">
      <c r="A61" s="2"/>
      <c r="B61" s="14"/>
      <c r="C61" s="2"/>
      <c r="D61" s="2"/>
      <c r="E61" s="2"/>
      <c r="F61" s="1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4">
      <c r="A62" s="2"/>
      <c r="B62" s="14"/>
      <c r="C62" s="2"/>
      <c r="D62" s="2"/>
      <c r="E62" s="2"/>
      <c r="F62" s="1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4">
      <c r="A63" s="2"/>
      <c r="B63" s="14"/>
      <c r="C63" s="2"/>
      <c r="D63" s="2"/>
      <c r="E63" s="2"/>
      <c r="F63" s="1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4">
      <c r="A64" s="2"/>
      <c r="B64" s="14"/>
      <c r="C64" s="2"/>
      <c r="D64" s="2"/>
      <c r="E64" s="2"/>
      <c r="F64" s="1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4">
      <c r="A65" s="2"/>
      <c r="B65" s="14"/>
      <c r="C65" s="2"/>
      <c r="D65" s="2"/>
      <c r="E65" s="2"/>
      <c r="F65" s="1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4">
      <c r="A66" s="2"/>
      <c r="B66" s="14"/>
      <c r="C66" s="2"/>
      <c r="D66" s="2"/>
      <c r="E66" s="2"/>
      <c r="F66" s="1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4">
      <c r="A67" s="2"/>
      <c r="B67" s="14"/>
      <c r="C67" s="2"/>
      <c r="D67" s="2"/>
      <c r="E67" s="2"/>
      <c r="F67" s="1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4">
      <c r="A68" s="2"/>
      <c r="B68" s="14"/>
      <c r="C68" s="2"/>
      <c r="D68" s="2"/>
      <c r="E68" s="2"/>
      <c r="F68" s="1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4">
      <c r="A69" s="2"/>
      <c r="B69" s="14"/>
      <c r="C69" s="2"/>
      <c r="D69" s="2"/>
      <c r="E69" s="2"/>
      <c r="F69" s="1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4">
      <c r="A70" s="2"/>
      <c r="B70" s="14"/>
      <c r="C70" s="2"/>
      <c r="D70" s="2"/>
      <c r="E70" s="2"/>
      <c r="F70" s="1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4">
      <c r="A71" s="2"/>
      <c r="B71" s="14"/>
      <c r="C71" s="2"/>
      <c r="D71" s="2"/>
      <c r="E71" s="2"/>
      <c r="F71" s="1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4">
      <c r="A72" s="2"/>
      <c r="B72" s="14"/>
      <c r="C72" s="2"/>
      <c r="D72" s="2"/>
      <c r="E72" s="2"/>
      <c r="F72" s="1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4">
      <c r="A73" s="2"/>
      <c r="B73" s="14"/>
      <c r="C73" s="2"/>
      <c r="D73" s="2"/>
      <c r="E73" s="2"/>
      <c r="F73" s="1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4">
      <c r="A74" s="2"/>
      <c r="B74" s="14"/>
      <c r="C74" s="2"/>
      <c r="D74" s="2"/>
      <c r="E74" s="2"/>
      <c r="F74" s="1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4">
      <c r="A75" s="2"/>
      <c r="B75" s="14"/>
      <c r="C75" s="2"/>
      <c r="D75" s="2"/>
      <c r="E75" s="2"/>
      <c r="F75" s="1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4">
      <c r="A76" s="2"/>
      <c r="B76" s="14"/>
      <c r="C76" s="2"/>
      <c r="D76" s="2"/>
      <c r="E76" s="2"/>
      <c r="F76" s="1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4">
      <c r="A77" s="2"/>
      <c r="B77" s="14"/>
      <c r="C77" s="2"/>
      <c r="D77" s="2"/>
      <c r="E77" s="2"/>
      <c r="F77" s="1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4">
      <c r="A78" s="2"/>
      <c r="B78" s="14"/>
      <c r="C78" s="2"/>
      <c r="D78" s="2"/>
      <c r="E78" s="2"/>
      <c r="F78" s="1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4">
      <c r="A79" s="2"/>
      <c r="B79" s="14"/>
      <c r="C79" s="2"/>
      <c r="D79" s="2"/>
      <c r="E79" s="2"/>
      <c r="F79" s="1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4">
      <c r="A80" s="2"/>
      <c r="B80" s="14"/>
      <c r="C80" s="2"/>
      <c r="D80" s="2"/>
      <c r="E80" s="2"/>
      <c r="F80" s="1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4">
      <c r="A81" s="2"/>
      <c r="B81" s="14"/>
      <c r="C81" s="2"/>
      <c r="D81" s="2"/>
      <c r="E81" s="2"/>
      <c r="F81" s="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4">
      <c r="A82" s="2"/>
      <c r="B82" s="14"/>
      <c r="C82" s="2"/>
      <c r="D82" s="2"/>
      <c r="E82" s="2"/>
      <c r="F82" s="1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4">
      <c r="A83" s="2"/>
      <c r="B83" s="14"/>
      <c r="C83" s="2"/>
      <c r="D83" s="2"/>
      <c r="E83" s="2"/>
      <c r="F83" s="1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4">
      <c r="A84" s="2"/>
      <c r="B84" s="14"/>
      <c r="C84" s="2"/>
      <c r="D84" s="2"/>
      <c r="E84" s="2"/>
      <c r="F84" s="1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4">
      <c r="A85" s="2"/>
      <c r="B85" s="14"/>
      <c r="C85" s="2"/>
      <c r="D85" s="2"/>
      <c r="E85" s="2"/>
      <c r="F85" s="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4">
      <c r="A86" s="2"/>
      <c r="B86" s="14"/>
      <c r="C86" s="2"/>
      <c r="D86" s="2"/>
      <c r="E86" s="2"/>
      <c r="F86" s="1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4">
      <c r="A87" s="2"/>
      <c r="B87" s="14"/>
      <c r="C87" s="2"/>
      <c r="D87" s="2"/>
      <c r="E87" s="2"/>
      <c r="F87" s="1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4">
      <c r="A88" s="2"/>
      <c r="B88" s="14"/>
      <c r="C88" s="2"/>
      <c r="D88" s="2"/>
      <c r="E88" s="2"/>
      <c r="F88" s="1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4">
      <c r="A89" s="2"/>
      <c r="B89" s="14"/>
      <c r="C89" s="2"/>
      <c r="D89" s="2"/>
      <c r="E89" s="2"/>
      <c r="F89" s="1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4">
      <c r="A90" s="2"/>
      <c r="B90" s="14"/>
      <c r="C90" s="2"/>
      <c r="D90" s="2"/>
      <c r="E90" s="2"/>
      <c r="F90" s="1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4">
      <c r="A91" s="2"/>
      <c r="B91" s="14"/>
      <c r="C91" s="2"/>
      <c r="D91" s="2"/>
      <c r="E91" s="2"/>
      <c r="F91" s="1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4">
      <c r="A92" s="2"/>
      <c r="B92" s="14"/>
      <c r="C92" s="2"/>
      <c r="D92" s="2"/>
      <c r="E92" s="2"/>
      <c r="F92" s="1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4">
      <c r="A93" s="2"/>
      <c r="B93" s="14"/>
      <c r="C93" s="2"/>
      <c r="D93" s="2"/>
      <c r="E93" s="2"/>
      <c r="F93" s="1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4">
      <c r="A94" s="2"/>
      <c r="B94" s="14"/>
      <c r="C94" s="2"/>
      <c r="D94" s="2"/>
      <c r="E94" s="2"/>
      <c r="F94" s="1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4">
      <c r="A95" s="2"/>
      <c r="B95" s="14"/>
      <c r="C95" s="2"/>
      <c r="D95" s="2"/>
      <c r="E95" s="2"/>
      <c r="F95" s="1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4">
      <c r="A96" s="2"/>
      <c r="B96" s="14"/>
      <c r="C96" s="2"/>
      <c r="D96" s="2"/>
      <c r="E96" s="2"/>
      <c r="F96" s="1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4">
      <c r="A97" s="2"/>
      <c r="B97" s="14"/>
      <c r="C97" s="2"/>
      <c r="D97" s="2"/>
      <c r="E97" s="2"/>
      <c r="F97" s="1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4">
      <c r="A98" s="2"/>
      <c r="B98" s="14"/>
      <c r="C98" s="2"/>
      <c r="D98" s="2"/>
      <c r="E98" s="2"/>
      <c r="F98" s="1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4">
      <c r="A99" s="2"/>
      <c r="B99" s="14"/>
      <c r="C99" s="2"/>
      <c r="D99" s="2"/>
      <c r="E99" s="2"/>
      <c r="F99" s="1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4">
      <c r="A100" s="2"/>
      <c r="B100" s="14"/>
      <c r="C100" s="2"/>
      <c r="D100" s="2"/>
      <c r="E100" s="2"/>
      <c r="F100" s="1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4">
      <c r="A101" s="2"/>
      <c r="B101" s="14"/>
      <c r="C101" s="2"/>
      <c r="D101" s="2"/>
      <c r="E101" s="2"/>
      <c r="F101" s="1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4">
      <c r="A102" s="2"/>
      <c r="B102" s="14"/>
      <c r="C102" s="2"/>
      <c r="D102" s="2"/>
      <c r="E102" s="2"/>
      <c r="F102" s="1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4">
      <c r="A103" s="2"/>
      <c r="B103" s="14"/>
      <c r="C103" s="2"/>
      <c r="D103" s="2"/>
      <c r="E103" s="2"/>
      <c r="F103" s="1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4">
      <c r="A104" s="2"/>
      <c r="B104" s="14"/>
      <c r="C104" s="2"/>
      <c r="D104" s="2"/>
      <c r="E104" s="2"/>
      <c r="F104" s="1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4">
      <c r="A105" s="2"/>
      <c r="B105" s="14"/>
      <c r="C105" s="2"/>
      <c r="D105" s="2"/>
      <c r="E105" s="2"/>
      <c r="F105" s="1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4">
      <c r="A106" s="2"/>
      <c r="B106" s="14"/>
      <c r="C106" s="2"/>
      <c r="D106" s="2"/>
      <c r="E106" s="2"/>
      <c r="F106" s="1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4">
      <c r="A107" s="2"/>
      <c r="B107" s="14"/>
      <c r="C107" s="2"/>
      <c r="D107" s="2"/>
      <c r="E107" s="2"/>
      <c r="F107" s="1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4">
      <c r="A108" s="2"/>
      <c r="B108" s="14"/>
      <c r="C108" s="2"/>
      <c r="D108" s="2"/>
      <c r="E108" s="2"/>
      <c r="F108" s="1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4">
      <c r="A109" s="2"/>
      <c r="B109" s="14"/>
      <c r="C109" s="2"/>
      <c r="D109" s="2"/>
      <c r="E109" s="2"/>
      <c r="F109" s="1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4">
      <c r="A110" s="2"/>
      <c r="B110" s="14"/>
      <c r="C110" s="2"/>
      <c r="D110" s="2"/>
      <c r="E110" s="2"/>
      <c r="F110" s="1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4">
      <c r="A111" s="2"/>
      <c r="B111" s="14"/>
      <c r="C111" s="2"/>
      <c r="D111" s="2"/>
      <c r="E111" s="2"/>
      <c r="F111" s="1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4">
      <c r="A112" s="2"/>
      <c r="B112" s="14"/>
      <c r="C112" s="2"/>
      <c r="D112" s="2"/>
      <c r="E112" s="2"/>
      <c r="F112" s="1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4">
      <c r="A113" s="2"/>
      <c r="B113" s="14"/>
      <c r="C113" s="2"/>
      <c r="D113" s="2"/>
      <c r="E113" s="2"/>
      <c r="F113" s="1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4">
      <c r="A114" s="2"/>
      <c r="B114" s="14"/>
      <c r="C114" s="2"/>
      <c r="D114" s="2"/>
      <c r="E114" s="2"/>
      <c r="F114" s="1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4">
      <c r="A115" s="2"/>
      <c r="B115" s="14"/>
      <c r="C115" s="2"/>
      <c r="D115" s="2"/>
      <c r="E115" s="2"/>
      <c r="F115" s="1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4">
      <c r="A116" s="2"/>
      <c r="B116" s="14"/>
      <c r="C116" s="2"/>
      <c r="D116" s="2"/>
      <c r="E116" s="2"/>
      <c r="F116" s="1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4">
      <c r="A117" s="2"/>
      <c r="B117" s="14"/>
      <c r="C117" s="2"/>
      <c r="D117" s="2"/>
      <c r="E117" s="2"/>
      <c r="F117" s="1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4">
      <c r="A118" s="2"/>
      <c r="B118" s="14"/>
      <c r="C118" s="2"/>
      <c r="D118" s="2"/>
      <c r="E118" s="2"/>
      <c r="F118" s="1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4">
      <c r="A119" s="2"/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E48:G48"/>
    <mergeCell ref="E49:G49"/>
    <mergeCell ref="E19:G19"/>
    <mergeCell ref="E20:G20"/>
  </mergeCells>
  <hyperlinks>
    <hyperlink ref="B27" r:id="rId1"/>
    <hyperlink ref="B28" r:id="rId2"/>
    <hyperlink ref="B29" r:id="rId3"/>
    <hyperlink ref="B30" r:id="rId4"/>
    <hyperlink ref="B31" r:id="rId5"/>
    <hyperlink ref="B32" r:id="rId6"/>
    <hyperlink ref="B33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1" workbookViewId="0">
      <selection activeCell="E19" sqref="E19:H20"/>
    </sheetView>
  </sheetViews>
  <sheetFormatPr defaultColWidth="14.44140625" defaultRowHeight="15" customHeight="1"/>
  <cols>
    <col min="1" max="1" width="24" customWidth="1"/>
    <col min="2" max="2" width="43.6640625" customWidth="1"/>
    <col min="3" max="3" width="16" customWidth="1"/>
    <col min="4" max="4" width="18.44140625" customWidth="1"/>
    <col min="5" max="5" width="17.88671875" customWidth="1"/>
    <col min="6" max="6" width="15.109375" customWidth="1"/>
    <col min="7" max="7" width="16.5546875" customWidth="1"/>
    <col min="8" max="8" width="15.44140625" customWidth="1"/>
    <col min="9" max="9" width="34.88671875" customWidth="1"/>
    <col min="10" max="10" width="28.44140625" customWidth="1"/>
    <col min="11" max="11" width="27" customWidth="1"/>
    <col min="12" max="26" width="8.6640625" customWidth="1"/>
  </cols>
  <sheetData>
    <row r="1" spans="1:26" ht="14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17" t="s">
        <v>1</v>
      </c>
      <c r="B3" s="17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>
      <c r="A4" s="17" t="s">
        <v>4</v>
      </c>
      <c r="B4" s="17">
        <v>0.16600000000000001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17" t="s">
        <v>6</v>
      </c>
      <c r="B5" s="17">
        <f>2*2.5*8</f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17" t="s">
        <v>8</v>
      </c>
      <c r="B6" s="17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17" t="s">
        <v>9</v>
      </c>
      <c r="B7" s="17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17" t="s">
        <v>13</v>
      </c>
      <c r="B8" s="17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17" t="s">
        <v>16</v>
      </c>
      <c r="B9" s="17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17" t="s">
        <v>19</v>
      </c>
      <c r="B10" s="17">
        <v>220764.16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3" t="s">
        <v>24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4" t="s">
        <v>33</v>
      </c>
      <c r="J12" s="4" t="s">
        <v>36</v>
      </c>
      <c r="K12" s="4" t="s">
        <v>36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5"/>
      <c r="B13" s="5"/>
      <c r="C13" s="5"/>
      <c r="D13" s="5"/>
      <c r="E13" s="5"/>
      <c r="F13" s="5"/>
      <c r="G13" s="5"/>
      <c r="H13" s="5"/>
      <c r="I13" s="6" t="s">
        <v>37</v>
      </c>
      <c r="J13" s="6" t="s">
        <v>37</v>
      </c>
      <c r="K13" s="7" t="s">
        <v>38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5">
        <v>1</v>
      </c>
      <c r="B14" s="5">
        <v>1000000</v>
      </c>
      <c r="C14" s="5">
        <f t="shared" ref="C14:C17" si="0">B14*$B$4</f>
        <v>166000</v>
      </c>
      <c r="D14" s="8">
        <v>0.25</v>
      </c>
      <c r="E14" s="5">
        <f t="shared" ref="E14:E17" si="1">D14*B$5</f>
        <v>10</v>
      </c>
      <c r="F14" s="5">
        <v>10</v>
      </c>
      <c r="G14" s="5">
        <f t="shared" ref="G14:G17" si="2">$B$10/31/24</f>
        <v>296.72602150537637</v>
      </c>
      <c r="H14" s="5">
        <f t="shared" ref="H14:H17" si="3">(C14+G14)/E14</f>
        <v>16629.672602150538</v>
      </c>
      <c r="I14" s="5">
        <f t="shared" ref="I14:I17" si="4">(C14/4)*A14+G14</f>
        <v>41796.726021505376</v>
      </c>
      <c r="J14" s="9">
        <f t="shared" ref="J14:J17" si="5">I14*24*365</f>
        <v>366139319.94838709</v>
      </c>
      <c r="K14" s="9">
        <f t="shared" ref="K14:K17" si="6">((C14+G14)/4)*A14*24*365</f>
        <v>364189829.98709679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5">
        <v>2</v>
      </c>
      <c r="B15" s="5">
        <v>1000000</v>
      </c>
      <c r="C15" s="5">
        <f t="shared" si="0"/>
        <v>166000</v>
      </c>
      <c r="D15" s="8">
        <v>0.5</v>
      </c>
      <c r="E15" s="5">
        <f t="shared" si="1"/>
        <v>20</v>
      </c>
      <c r="F15" s="5">
        <v>10</v>
      </c>
      <c r="G15" s="5">
        <f t="shared" si="2"/>
        <v>296.72602150537637</v>
      </c>
      <c r="H15" s="5">
        <f t="shared" si="3"/>
        <v>8314.8363010752691</v>
      </c>
      <c r="I15" s="5">
        <f t="shared" si="4"/>
        <v>83296.726021505383</v>
      </c>
      <c r="J15" s="9">
        <f t="shared" si="5"/>
        <v>729679319.94838715</v>
      </c>
      <c r="K15" s="9">
        <f t="shared" si="6"/>
        <v>728379659.97419357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5">
        <v>3</v>
      </c>
      <c r="B16" s="5">
        <v>1000000</v>
      </c>
      <c r="C16" s="5">
        <f t="shared" si="0"/>
        <v>166000</v>
      </c>
      <c r="D16" s="8">
        <v>0.75</v>
      </c>
      <c r="E16" s="5">
        <f t="shared" si="1"/>
        <v>30</v>
      </c>
      <c r="F16" s="5">
        <v>10</v>
      </c>
      <c r="G16" s="5">
        <f t="shared" si="2"/>
        <v>296.72602150537637</v>
      </c>
      <c r="H16" s="5">
        <f t="shared" si="3"/>
        <v>5543.2242007168452</v>
      </c>
      <c r="I16" s="5">
        <f t="shared" si="4"/>
        <v>124796.72602150538</v>
      </c>
      <c r="J16" s="9">
        <f t="shared" si="5"/>
        <v>1093219319.9483871</v>
      </c>
      <c r="K16" s="9">
        <f t="shared" si="6"/>
        <v>1092569489.9612904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5">
        <v>4</v>
      </c>
      <c r="B17" s="5">
        <v>1000000</v>
      </c>
      <c r="C17" s="5">
        <f t="shared" si="0"/>
        <v>166000</v>
      </c>
      <c r="D17" s="8">
        <v>1</v>
      </c>
      <c r="E17" s="5">
        <f t="shared" si="1"/>
        <v>40</v>
      </c>
      <c r="F17" s="5">
        <v>10</v>
      </c>
      <c r="G17" s="5">
        <f t="shared" si="2"/>
        <v>296.72602150537637</v>
      </c>
      <c r="H17" s="5">
        <f t="shared" si="3"/>
        <v>4157.4181505376346</v>
      </c>
      <c r="I17" s="5">
        <f t="shared" si="4"/>
        <v>166296.72602150537</v>
      </c>
      <c r="J17" s="9">
        <f t="shared" si="5"/>
        <v>1456759319.9483871</v>
      </c>
      <c r="K17" s="9">
        <f t="shared" si="6"/>
        <v>1456759319.9483871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2"/>
      <c r="B19" s="2"/>
      <c r="C19" s="2"/>
      <c r="D19" s="2"/>
      <c r="E19" s="15" t="s">
        <v>39</v>
      </c>
      <c r="F19" s="16"/>
      <c r="G19" s="16"/>
      <c r="H19" s="2">
        <f>H17*5*365*24</f>
        <v>182094914.99354836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2"/>
      <c r="D20" s="2"/>
      <c r="E20" s="15" t="s">
        <v>40</v>
      </c>
      <c r="F20" s="16"/>
      <c r="G20" s="16"/>
      <c r="H20" s="2">
        <f>(C17+G17)*5*365*24</f>
        <v>7283796599.7419357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1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5"/>
      <c r="B24" s="10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5"/>
      <c r="B25" s="10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5.75" customHeight="1">
      <c r="A26" s="5" t="s">
        <v>48</v>
      </c>
      <c r="B26" s="10" t="s">
        <v>50</v>
      </c>
      <c r="C26" s="5">
        <v>1550</v>
      </c>
      <c r="D26" s="5">
        <v>1000000</v>
      </c>
      <c r="E26" s="5">
        <f t="shared" ref="E26:E28" si="7">C26*D26</f>
        <v>1550000000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6" customHeight="1">
      <c r="A27" s="5" t="s">
        <v>52</v>
      </c>
      <c r="B27" s="12" t="s">
        <v>53</v>
      </c>
      <c r="C27" s="5">
        <v>210.99</v>
      </c>
      <c r="D27" s="5">
        <v>1000000</v>
      </c>
      <c r="E27" s="5">
        <f t="shared" si="7"/>
        <v>210990000</v>
      </c>
      <c r="F27" s="10" t="s">
        <v>57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3" customHeight="1">
      <c r="A28" s="5" t="s">
        <v>58</v>
      </c>
      <c r="B28" s="12" t="s">
        <v>59</v>
      </c>
      <c r="C28" s="5">
        <v>96.99</v>
      </c>
      <c r="D28" s="5">
        <v>1000000</v>
      </c>
      <c r="E28" s="5">
        <f t="shared" si="7"/>
        <v>96990000</v>
      </c>
      <c r="F28" s="10" t="s">
        <v>61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1.75" customHeight="1">
      <c r="A29" s="5" t="s">
        <v>62</v>
      </c>
      <c r="B29" s="12" t="s">
        <v>63</v>
      </c>
      <c r="C29" s="5">
        <v>498.99</v>
      </c>
      <c r="D29" s="5">
        <f>1000000+1</f>
        <v>1000001</v>
      </c>
      <c r="E29" s="5">
        <f>D29*C29</f>
        <v>498990498.99000001</v>
      </c>
      <c r="F29" s="10" t="s">
        <v>67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0" customHeight="1">
      <c r="A30" s="5" t="s">
        <v>68</v>
      </c>
      <c r="B30" s="12" t="s">
        <v>70</v>
      </c>
      <c r="C30" s="5">
        <v>11323</v>
      </c>
      <c r="D30" s="5">
        <f>28572+1</f>
        <v>28573</v>
      </c>
      <c r="E30" s="5">
        <f t="shared" ref="E30:E34" si="8">C30*D30</f>
        <v>323532079</v>
      </c>
      <c r="F30" s="10" t="s">
        <v>72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7.5" customHeight="1">
      <c r="A31" s="5" t="s">
        <v>73</v>
      </c>
      <c r="B31" s="12" t="s">
        <v>74</v>
      </c>
      <c r="C31" s="5">
        <v>758.24</v>
      </c>
      <c r="D31" s="5">
        <f>D30</f>
        <v>28573</v>
      </c>
      <c r="E31" s="5">
        <f t="shared" si="8"/>
        <v>21665191.52</v>
      </c>
      <c r="F31" s="10" t="s">
        <v>77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5.75" customHeight="1">
      <c r="A32" s="5" t="s">
        <v>78</v>
      </c>
      <c r="B32" s="12" t="s">
        <v>79</v>
      </c>
      <c r="C32" s="5">
        <v>9.99</v>
      </c>
      <c r="D32" s="5">
        <f>1000000+28573+7</f>
        <v>1028580</v>
      </c>
      <c r="E32" s="5">
        <f t="shared" si="8"/>
        <v>10275514.200000001</v>
      </c>
      <c r="F32" s="10" t="s">
        <v>80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5.75" customHeight="1">
      <c r="A33" s="5" t="s">
        <v>81</v>
      </c>
      <c r="B33" s="12" t="s">
        <v>82</v>
      </c>
      <c r="C33" s="5">
        <v>228.99</v>
      </c>
      <c r="D33" s="5">
        <f>1000000/10</f>
        <v>100000</v>
      </c>
      <c r="E33" s="5">
        <f t="shared" si="8"/>
        <v>22899000</v>
      </c>
      <c r="F33" s="10" t="s">
        <v>85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7.5" customHeight="1">
      <c r="A34" s="5" t="s">
        <v>86</v>
      </c>
      <c r="B34" s="10" t="s">
        <v>87</v>
      </c>
      <c r="C34" s="10">
        <v>44250</v>
      </c>
      <c r="D34" s="10">
        <f>14</f>
        <v>14</v>
      </c>
      <c r="E34" s="10">
        <f t="shared" si="8"/>
        <v>619500</v>
      </c>
      <c r="F34" s="10" t="s">
        <v>89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.8">
      <c r="A35" s="5" t="s">
        <v>90</v>
      </c>
      <c r="B35" s="10" t="s">
        <v>91</v>
      </c>
      <c r="C35" s="5"/>
      <c r="D35" s="5"/>
      <c r="E35" s="10">
        <f>7.14*(0.85*5*365)/1000*1000000/100</f>
        <v>110759.25</v>
      </c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3.75" customHeight="1">
      <c r="A36" s="5" t="s">
        <v>94</v>
      </c>
      <c r="B36" s="10" t="s">
        <v>91</v>
      </c>
      <c r="C36" s="5"/>
      <c r="D36" s="5"/>
      <c r="E36" s="10">
        <v>71320000</v>
      </c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5" t="s">
        <v>96</v>
      </c>
      <c r="B37" s="10" t="s">
        <v>97</v>
      </c>
      <c r="C37" s="5">
        <v>70000</v>
      </c>
      <c r="D37" s="5">
        <v>1000</v>
      </c>
      <c r="E37" s="5">
        <f>D37*C37*5</f>
        <v>350000000</v>
      </c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14"/>
      <c r="C38" s="2"/>
      <c r="D38" s="2"/>
      <c r="E38" s="2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14"/>
      <c r="C39" s="2"/>
      <c r="D39" s="2"/>
      <c r="E39" s="2">
        <f>SUM(E26:E37)</f>
        <v>3157392542.9599996</v>
      </c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14"/>
      <c r="C40" s="2"/>
      <c r="D40" s="2"/>
      <c r="E40" s="2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3" t="s">
        <v>24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5"/>
      <c r="B42" s="5"/>
      <c r="C42" s="5"/>
      <c r="D42" s="5"/>
      <c r="E42" s="5"/>
      <c r="F42" s="5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5">
        <v>1</v>
      </c>
      <c r="B43" s="5">
        <v>1050</v>
      </c>
      <c r="C43" s="5">
        <f t="shared" ref="C43:C46" si="9">(($E$39-$E$34)/5/365/24)*D43</f>
        <v>18018.110975799082</v>
      </c>
      <c r="D43" s="8">
        <v>0.25</v>
      </c>
      <c r="E43" s="5">
        <f t="shared" ref="E43:E46" si="10">D43*B$5</f>
        <v>10</v>
      </c>
      <c r="F43" s="5">
        <v>100</v>
      </c>
      <c r="G43" s="5">
        <f t="shared" ref="G43:G46" si="11">$E$34/5/365/24</f>
        <v>14.143835616438357</v>
      </c>
      <c r="H43" s="5">
        <f t="shared" ref="H43:H46" si="12">(C43+G43)/E43</f>
        <v>1803.2254811415521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5">
        <v>2</v>
      </c>
      <c r="B44" s="5">
        <v>1050</v>
      </c>
      <c r="C44" s="5">
        <f t="shared" si="9"/>
        <v>36036.221951598163</v>
      </c>
      <c r="D44" s="8">
        <v>0.5</v>
      </c>
      <c r="E44" s="5">
        <f t="shared" si="10"/>
        <v>20</v>
      </c>
      <c r="F44" s="5">
        <v>100</v>
      </c>
      <c r="G44" s="5">
        <f t="shared" si="11"/>
        <v>14.143835616438357</v>
      </c>
      <c r="H44" s="5">
        <f t="shared" si="12"/>
        <v>1802.51828936073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5">
        <v>3</v>
      </c>
      <c r="B45" s="5">
        <v>1050</v>
      </c>
      <c r="C45" s="5">
        <f t="shared" si="9"/>
        <v>54054.332927397249</v>
      </c>
      <c r="D45" s="8">
        <v>0.75</v>
      </c>
      <c r="E45" s="5">
        <f t="shared" si="10"/>
        <v>30</v>
      </c>
      <c r="F45" s="5">
        <v>100</v>
      </c>
      <c r="G45" s="5">
        <f t="shared" si="11"/>
        <v>14.143835616438357</v>
      </c>
      <c r="H45" s="5">
        <f t="shared" si="12"/>
        <v>1802.2825587671227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5">
        <v>4</v>
      </c>
      <c r="B46" s="5">
        <v>1050</v>
      </c>
      <c r="C46" s="5">
        <f t="shared" si="9"/>
        <v>72072.443903196327</v>
      </c>
      <c r="D46" s="8">
        <v>1</v>
      </c>
      <c r="E46" s="5">
        <f t="shared" si="10"/>
        <v>40</v>
      </c>
      <c r="F46" s="5">
        <v>100</v>
      </c>
      <c r="G46" s="5">
        <f t="shared" si="11"/>
        <v>14.143835616438357</v>
      </c>
      <c r="H46" s="5">
        <f t="shared" si="12"/>
        <v>1802.1646934703192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15" t="s">
        <v>39</v>
      </c>
      <c r="F48" s="16"/>
      <c r="G48" s="16"/>
      <c r="H48" s="2">
        <f>H46*5*365*24</f>
        <v>78934813.573999971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15" t="s">
        <v>40</v>
      </c>
      <c r="F49" s="16"/>
      <c r="G49" s="16"/>
      <c r="H49" s="2">
        <f>(C46+G46)*5*365*24</f>
        <v>3157392542.9599991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E48:G48"/>
    <mergeCell ref="E49:G49"/>
    <mergeCell ref="E19:G19"/>
    <mergeCell ref="E20:G20"/>
  </mergeCells>
  <hyperlinks>
    <hyperlink ref="B27" r:id="rId1"/>
    <hyperlink ref="B28" r:id="rId2"/>
    <hyperlink ref="B29" r:id="rId3"/>
    <hyperlink ref="B30" r:id="rId4"/>
    <hyperlink ref="B31" r:id="rId5"/>
    <hyperlink ref="B32" r:id="rId6"/>
    <hyperlink ref="B33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5.6640625" customWidth="1"/>
    <col min="2" max="2" width="53.6640625" customWidth="1"/>
    <col min="3" max="3" width="16" customWidth="1"/>
    <col min="4" max="4" width="18.44140625" customWidth="1"/>
    <col min="5" max="5" width="20.33203125" customWidth="1"/>
    <col min="6" max="6" width="18.33203125" customWidth="1"/>
    <col min="7" max="7" width="14.5546875" customWidth="1"/>
    <col min="8" max="8" width="18.109375" customWidth="1"/>
    <col min="9" max="9" width="32.5546875" customWidth="1"/>
    <col min="10" max="10" width="30.5546875" customWidth="1"/>
    <col min="11" max="11" width="25.44140625" customWidth="1"/>
    <col min="12" max="26" width="8.6640625" customWidth="1"/>
  </cols>
  <sheetData>
    <row r="1" spans="1:26" ht="14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 t="s">
        <v>1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>
      <c r="A4" s="2" t="s">
        <v>4</v>
      </c>
      <c r="B4" s="2">
        <v>24.48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2" t="s">
        <v>7</v>
      </c>
      <c r="B5" s="2">
        <f>125*8</f>
        <v>1000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2" t="s">
        <v>8</v>
      </c>
      <c r="B6" s="2">
        <v>64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2" t="s">
        <v>11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2" t="s">
        <v>9</v>
      </c>
      <c r="B8" s="2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2" t="s">
        <v>21</v>
      </c>
      <c r="B9" s="2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2" t="s">
        <v>13</v>
      </c>
      <c r="B10" s="2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2" t="s">
        <v>16</v>
      </c>
      <c r="B11" s="2">
        <v>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2" t="s">
        <v>25</v>
      </c>
      <c r="B12" s="2">
        <v>22583.3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3" t="s">
        <v>24</v>
      </c>
      <c r="B14" s="3" t="s">
        <v>26</v>
      </c>
      <c r="C14" s="3" t="s">
        <v>27</v>
      </c>
      <c r="D14" s="3" t="s">
        <v>28</v>
      </c>
      <c r="E14" s="3" t="s">
        <v>34</v>
      </c>
      <c r="F14" s="3" t="s">
        <v>30</v>
      </c>
      <c r="G14" s="3" t="s">
        <v>31</v>
      </c>
      <c r="H14" s="3" t="s">
        <v>35</v>
      </c>
      <c r="I14" s="4" t="s">
        <v>33</v>
      </c>
      <c r="J14" s="4" t="s">
        <v>36</v>
      </c>
      <c r="K14" s="4" t="s">
        <v>36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5"/>
      <c r="B15" s="5"/>
      <c r="C15" s="5"/>
      <c r="D15" s="5"/>
      <c r="E15" s="5"/>
      <c r="F15" s="5"/>
      <c r="G15" s="5"/>
      <c r="H15" s="5"/>
      <c r="I15" s="6" t="s">
        <v>37</v>
      </c>
      <c r="J15" s="6" t="s">
        <v>37</v>
      </c>
      <c r="K15" s="7" t="s">
        <v>38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5">
        <v>1</v>
      </c>
      <c r="B16" s="5">
        <v>1000</v>
      </c>
      <c r="C16" s="5">
        <f t="shared" ref="C16:C19" si="0">B16*$B$4</f>
        <v>24480</v>
      </c>
      <c r="D16" s="8">
        <v>0.25</v>
      </c>
      <c r="E16" s="5">
        <f t="shared" ref="E16:E19" si="1">D16*B$5</f>
        <v>250</v>
      </c>
      <c r="F16" s="5">
        <v>1</v>
      </c>
      <c r="G16" s="5">
        <f t="shared" ref="G16:G19" si="2">$B$12/31/24</f>
        <v>30.353897849462367</v>
      </c>
      <c r="H16" s="5">
        <f t="shared" ref="H16:H19" si="3">(C16+G16)/E16</f>
        <v>98.04141559139785</v>
      </c>
      <c r="I16" s="5">
        <f t="shared" ref="I16:I19" si="4">(C16/4)*A16+G16</f>
        <v>6150.3538978494626</v>
      </c>
      <c r="J16" s="9">
        <f t="shared" ref="J16:J19" si="5">I16*24*365</f>
        <v>53877100.145161293</v>
      </c>
      <c r="K16" s="9">
        <f t="shared" ref="K16:K19" si="6">((C16+G16)/4)*A16*24*365</f>
        <v>53677675.036290318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5">
        <v>2</v>
      </c>
      <c r="B17" s="5">
        <v>1000</v>
      </c>
      <c r="C17" s="5">
        <f t="shared" si="0"/>
        <v>24480</v>
      </c>
      <c r="D17" s="8">
        <v>0.5</v>
      </c>
      <c r="E17" s="5">
        <f t="shared" si="1"/>
        <v>500</v>
      </c>
      <c r="F17" s="5">
        <v>1</v>
      </c>
      <c r="G17" s="5">
        <f t="shared" si="2"/>
        <v>30.353897849462367</v>
      </c>
      <c r="H17" s="5">
        <f t="shared" si="3"/>
        <v>49.020707795698925</v>
      </c>
      <c r="I17" s="5">
        <f t="shared" si="4"/>
        <v>12270.353897849462</v>
      </c>
      <c r="J17" s="9">
        <f t="shared" si="5"/>
        <v>107488300.14516129</v>
      </c>
      <c r="K17" s="9">
        <f t="shared" si="6"/>
        <v>107355350.07258064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5">
        <v>3</v>
      </c>
      <c r="B18" s="5">
        <v>1000</v>
      </c>
      <c r="C18" s="5">
        <f t="shared" si="0"/>
        <v>24480</v>
      </c>
      <c r="D18" s="8">
        <v>0.75</v>
      </c>
      <c r="E18" s="5">
        <f t="shared" si="1"/>
        <v>750</v>
      </c>
      <c r="F18" s="5">
        <v>1</v>
      </c>
      <c r="G18" s="5">
        <f t="shared" si="2"/>
        <v>30.353897849462367</v>
      </c>
      <c r="H18" s="5">
        <f t="shared" si="3"/>
        <v>32.680471863799283</v>
      </c>
      <c r="I18" s="5">
        <f t="shared" si="4"/>
        <v>18390.353897849462</v>
      </c>
      <c r="J18" s="9">
        <f t="shared" si="5"/>
        <v>161099500.14516127</v>
      </c>
      <c r="K18" s="9">
        <f t="shared" si="6"/>
        <v>161033025.10887095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5">
        <v>4</v>
      </c>
      <c r="B19" s="5">
        <v>1000</v>
      </c>
      <c r="C19" s="5">
        <f t="shared" si="0"/>
        <v>24480</v>
      </c>
      <c r="D19" s="8">
        <v>1</v>
      </c>
      <c r="E19" s="5">
        <f t="shared" si="1"/>
        <v>1000</v>
      </c>
      <c r="F19" s="5">
        <v>1</v>
      </c>
      <c r="G19" s="5">
        <f t="shared" si="2"/>
        <v>30.353897849462367</v>
      </c>
      <c r="H19" s="5">
        <f t="shared" si="3"/>
        <v>24.510353897849463</v>
      </c>
      <c r="I19" s="5">
        <f t="shared" si="4"/>
        <v>24510.353897849462</v>
      </c>
      <c r="J19" s="9">
        <f t="shared" si="5"/>
        <v>214710700.14516127</v>
      </c>
      <c r="K19" s="9">
        <f t="shared" si="6"/>
        <v>214710700.14516127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2"/>
      <c r="B21" s="2"/>
      <c r="C21" s="2"/>
      <c r="D21" s="2"/>
      <c r="E21" s="15" t="s">
        <v>41</v>
      </c>
      <c r="F21" s="16"/>
      <c r="G21" s="16"/>
      <c r="H21" s="2">
        <f>H19*5*365*24</f>
        <v>1073553.5007258062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15" t="s">
        <v>40</v>
      </c>
      <c r="F22" s="16"/>
      <c r="G22" s="16"/>
      <c r="H22" s="2">
        <f>(C19+G19)*5*365*24</f>
        <v>1073553500.7258064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1" t="s">
        <v>42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5"/>
      <c r="B26" s="10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5"/>
      <c r="B27" s="10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5.75" customHeight="1">
      <c r="A28" s="5" t="s">
        <v>48</v>
      </c>
      <c r="B28" s="10" t="s">
        <v>55</v>
      </c>
      <c r="C28" s="5">
        <v>1119</v>
      </c>
      <c r="D28" s="5">
        <f>1000*4</f>
        <v>4000</v>
      </c>
      <c r="E28" s="5">
        <f t="shared" ref="E28:E30" si="7">C28*D28</f>
        <v>4476000</v>
      </c>
      <c r="F28" s="10" t="s">
        <v>65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7.5" customHeight="1">
      <c r="A29" s="5" t="s">
        <v>52</v>
      </c>
      <c r="B29" s="12" t="s">
        <v>66</v>
      </c>
      <c r="C29" s="5">
        <v>899.99</v>
      </c>
      <c r="D29" s="5">
        <f>1000*8</f>
        <v>8000</v>
      </c>
      <c r="E29" s="5">
        <f t="shared" si="7"/>
        <v>7199920</v>
      </c>
      <c r="F29" s="10" t="s">
        <v>71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7.25" customHeight="1">
      <c r="A30" s="5" t="s">
        <v>58</v>
      </c>
      <c r="B30" s="12" t="s">
        <v>59</v>
      </c>
      <c r="C30" s="5">
        <v>96.99</v>
      </c>
      <c r="D30" s="5">
        <f>1000</f>
        <v>1000</v>
      </c>
      <c r="E30" s="5">
        <f t="shared" si="7"/>
        <v>96990</v>
      </c>
      <c r="F30" s="10" t="s">
        <v>61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" customHeight="1">
      <c r="A31" s="5" t="s">
        <v>11</v>
      </c>
      <c r="B31" s="13" t="s">
        <v>76</v>
      </c>
      <c r="C31" s="5">
        <v>18650</v>
      </c>
      <c r="D31" s="5">
        <v>8000</v>
      </c>
      <c r="E31" s="5">
        <f t="shared" ref="E31:E32" si="8">D31*C31</f>
        <v>149200000</v>
      </c>
      <c r="F31" s="10" t="s">
        <v>83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5.25" customHeight="1">
      <c r="A32" s="5" t="s">
        <v>62</v>
      </c>
      <c r="B32" s="12" t="s">
        <v>63</v>
      </c>
      <c r="C32" s="5">
        <v>498.99</v>
      </c>
      <c r="D32" s="5">
        <v>1001</v>
      </c>
      <c r="E32" s="5">
        <f t="shared" si="8"/>
        <v>499488.99</v>
      </c>
      <c r="F32" s="10" t="s">
        <v>88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3.75" customHeight="1">
      <c r="A33" s="5" t="s">
        <v>68</v>
      </c>
      <c r="B33" s="12" t="s">
        <v>70</v>
      </c>
      <c r="C33" s="5">
        <v>11323</v>
      </c>
      <c r="D33" s="5">
        <v>30</v>
      </c>
      <c r="E33" s="5">
        <f t="shared" ref="E33:E37" si="9">C33*D33</f>
        <v>339690</v>
      </c>
      <c r="F33" s="10" t="s">
        <v>95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7.25" customHeight="1">
      <c r="A34" s="5" t="s">
        <v>73</v>
      </c>
      <c r="B34" s="12" t="s">
        <v>74</v>
      </c>
      <c r="C34" s="5">
        <v>758.24</v>
      </c>
      <c r="D34" s="5">
        <f>D33</f>
        <v>30</v>
      </c>
      <c r="E34" s="5">
        <f t="shared" si="9"/>
        <v>22747.200000000001</v>
      </c>
      <c r="F34" s="10" t="s">
        <v>77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7" customHeight="1">
      <c r="A35" s="5" t="s">
        <v>78</v>
      </c>
      <c r="B35" s="12" t="s">
        <v>79</v>
      </c>
      <c r="C35" s="5">
        <v>9.99</v>
      </c>
      <c r="D35" s="5">
        <f>1000+30+5</f>
        <v>1035</v>
      </c>
      <c r="E35" s="5">
        <f t="shared" si="9"/>
        <v>10339.65</v>
      </c>
      <c r="F35" s="10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3" customHeight="1">
      <c r="A36" s="5" t="s">
        <v>81</v>
      </c>
      <c r="B36" s="12" t="s">
        <v>82</v>
      </c>
      <c r="C36" s="5">
        <v>228.99</v>
      </c>
      <c r="D36" s="5">
        <f>1000/10</f>
        <v>100</v>
      </c>
      <c r="E36" s="5">
        <f t="shared" si="9"/>
        <v>22899</v>
      </c>
      <c r="F36" s="10" t="s">
        <v>85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3.75" customHeight="1">
      <c r="A37" s="5" t="s">
        <v>86</v>
      </c>
      <c r="B37" s="10" t="s">
        <v>99</v>
      </c>
      <c r="C37" s="10">
        <v>26024.27</v>
      </c>
      <c r="D37" s="10">
        <v>3</v>
      </c>
      <c r="E37" s="10">
        <f t="shared" si="9"/>
        <v>78072.81</v>
      </c>
      <c r="F37" s="10" t="s">
        <v>89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8.8">
      <c r="A38" s="5" t="s">
        <v>90</v>
      </c>
      <c r="B38" s="10" t="s">
        <v>93</v>
      </c>
      <c r="C38" s="5"/>
      <c r="D38" s="5"/>
      <c r="E38" s="10">
        <f>7.14*(300*5*365*24)/1000*1000/100</f>
        <v>938196</v>
      </c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7.75" customHeight="1">
      <c r="A39" s="5" t="s">
        <v>94</v>
      </c>
      <c r="B39" s="10" t="s">
        <v>93</v>
      </c>
      <c r="C39" s="5"/>
      <c r="D39" s="5"/>
      <c r="E39" s="10">
        <f>(5*365*24*1023.64)*0.223/1000*7.15*1000/100</f>
        <v>714878.54552400007</v>
      </c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5" t="s">
        <v>96</v>
      </c>
      <c r="B40" s="10" t="s">
        <v>97</v>
      </c>
      <c r="C40" s="5">
        <v>70000</v>
      </c>
      <c r="D40" s="5">
        <v>1</v>
      </c>
      <c r="E40" s="5">
        <f>D40*C40*5</f>
        <v>350000</v>
      </c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14"/>
      <c r="C41" s="2"/>
      <c r="D41" s="2"/>
      <c r="E41" s="2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14"/>
      <c r="C42" s="2"/>
      <c r="D42" s="2"/>
      <c r="E42" s="1">
        <f>SUM(E28:E40)</f>
        <v>163949222.19552401</v>
      </c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14"/>
      <c r="C43" s="2"/>
      <c r="D43" s="2"/>
      <c r="E43" s="2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3" t="s">
        <v>24</v>
      </c>
      <c r="B44" s="3" t="s">
        <v>26</v>
      </c>
      <c r="C44" s="3" t="s">
        <v>27</v>
      </c>
      <c r="D44" s="3" t="s">
        <v>28</v>
      </c>
      <c r="E44" s="3" t="s">
        <v>34</v>
      </c>
      <c r="F44" s="3" t="s">
        <v>30</v>
      </c>
      <c r="G44" s="3" t="s">
        <v>31</v>
      </c>
      <c r="H44" s="3" t="s">
        <v>35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5"/>
      <c r="B45" s="5"/>
      <c r="C45" s="5"/>
      <c r="D45" s="5"/>
      <c r="E45" s="5"/>
      <c r="F45" s="5"/>
      <c r="G45" s="5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5">
        <v>1</v>
      </c>
      <c r="B46" s="5">
        <v>1050</v>
      </c>
      <c r="C46" s="5">
        <f t="shared" ref="C46:C49" si="10">(($E$42-$E$37)/5/365/24)*D46</f>
        <v>935.33761064796806</v>
      </c>
      <c r="D46" s="8">
        <v>0.25</v>
      </c>
      <c r="E46" s="5">
        <f t="shared" ref="E46:E49" si="11">D46*B$5</f>
        <v>250</v>
      </c>
      <c r="F46" s="5">
        <v>100</v>
      </c>
      <c r="G46" s="5">
        <f t="shared" ref="G46:G49" si="12">$E$37/5/365/24</f>
        <v>1.7824842465753425</v>
      </c>
      <c r="H46" s="5">
        <f t="shared" ref="H46:H49" si="13">(C46+G46)/E46</f>
        <v>3.7484803795781736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5">
        <v>2</v>
      </c>
      <c r="B47" s="5">
        <v>1050</v>
      </c>
      <c r="C47" s="5">
        <f t="shared" si="10"/>
        <v>1870.6752212959361</v>
      </c>
      <c r="D47" s="8">
        <v>0.5</v>
      </c>
      <c r="E47" s="5">
        <f t="shared" si="11"/>
        <v>500</v>
      </c>
      <c r="F47" s="5">
        <v>100</v>
      </c>
      <c r="G47" s="5">
        <f t="shared" si="12"/>
        <v>1.7824842465753425</v>
      </c>
      <c r="H47" s="5">
        <f t="shared" si="13"/>
        <v>3.7449154110850231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5">
        <v>3</v>
      </c>
      <c r="B48" s="5">
        <v>1050</v>
      </c>
      <c r="C48" s="5">
        <f t="shared" si="10"/>
        <v>2806.0128319439041</v>
      </c>
      <c r="D48" s="8">
        <v>0.75</v>
      </c>
      <c r="E48" s="5">
        <f t="shared" si="11"/>
        <v>750</v>
      </c>
      <c r="F48" s="5">
        <v>100</v>
      </c>
      <c r="G48" s="5">
        <f t="shared" si="12"/>
        <v>1.7824842465753425</v>
      </c>
      <c r="H48" s="5">
        <f t="shared" si="13"/>
        <v>3.7437270882539724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5">
        <v>4</v>
      </c>
      <c r="B49" s="5">
        <v>1050</v>
      </c>
      <c r="C49" s="5">
        <f t="shared" si="10"/>
        <v>3741.3504425918723</v>
      </c>
      <c r="D49" s="8">
        <v>1</v>
      </c>
      <c r="E49" s="5">
        <f t="shared" si="11"/>
        <v>1000</v>
      </c>
      <c r="F49" s="5">
        <v>100</v>
      </c>
      <c r="G49" s="5">
        <f t="shared" si="12"/>
        <v>1.7824842465753425</v>
      </c>
      <c r="H49" s="5">
        <f t="shared" si="13"/>
        <v>3.7431329268384474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15" t="s">
        <v>39</v>
      </c>
      <c r="F51" s="16"/>
      <c r="G51" s="16"/>
      <c r="H51" s="2">
        <f>H49*5*365*24</f>
        <v>163949.22219552399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15" t="s">
        <v>40</v>
      </c>
      <c r="F52" s="16"/>
      <c r="G52" s="16"/>
      <c r="H52" s="2">
        <f>(C49+G49)*5*365*24</f>
        <v>163949222.19552404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E21:G21"/>
    <mergeCell ref="E22:G22"/>
    <mergeCell ref="E51:G51"/>
    <mergeCell ref="E52:G52"/>
  </mergeCells>
  <hyperlinks>
    <hyperlink ref="B29" r:id="rId1"/>
    <hyperlink ref="B30" r:id="rId2"/>
    <hyperlink ref="B31" r:id="rId3"/>
    <hyperlink ref="B32" r:id="rId4"/>
    <hyperlink ref="B33" r:id="rId5"/>
    <hyperlink ref="B34" r:id="rId6"/>
    <hyperlink ref="B35" r:id="rId7"/>
    <hyperlink ref="B36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5" sqref="A1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Hadoop Configuration 1</vt:lpstr>
      <vt:lpstr>1Million Configuration 2</vt:lpstr>
      <vt:lpstr>Deep Learning Configuration 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Borde, Rohan</cp:lastModifiedBy>
  <dcterms:modified xsi:type="dcterms:W3CDTF">2017-11-27T00:09:44Z</dcterms:modified>
</cp:coreProperties>
</file>