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ngjiyang/Documents/Academia/Rutgers/Seminar/"/>
    </mc:Choice>
  </mc:AlternateContent>
  <xr:revisionPtr revIDLastSave="0" documentId="13_ncr:1_{50F7D89F-0F0D-CE4D-91EC-9ACE3FDEABB3}" xr6:coauthVersionLast="47" xr6:coauthVersionMax="47" xr10:uidLastSave="{00000000-0000-0000-0000-000000000000}"/>
  <bookViews>
    <workbookView xWindow="0" yWindow="500" windowWidth="51200" windowHeight="19620" activeTab="2" xr2:uid="{00000000-000D-0000-FFFF-FFFF00000000}"/>
  </bookViews>
  <sheets>
    <sheet name="High Level Calcualtion Flow" sheetId="12" r:id="rId1"/>
    <sheet name="Data_Input" sheetId="14" r:id="rId2"/>
    <sheet name="IR" sheetId="15" r:id="rId3"/>
    <sheet name="IR AddOn" sheetId="4" r:id="rId4"/>
  </sheets>
  <definedNames>
    <definedName name="CoB">IR!$A$1</definedName>
    <definedName name="Hedging_Set">IR!$J$5:$J$20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i">IR!$L$5</definedName>
  </definedNames>
  <calcPr calcId="191028"/>
  <pivotCaches>
    <pivotCache cacheId="105" r:id="rId5"/>
    <pivotCache cacheId="106" r:id="rId6"/>
    <pivotCache cacheId="107" r:id="rId7"/>
    <pivotCache cacheId="11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" i="15" l="1"/>
  <c r="I53" i="15"/>
  <c r="I52" i="15"/>
  <c r="I51" i="15"/>
  <c r="I50" i="15"/>
  <c r="I49" i="15"/>
  <c r="I48" i="15"/>
  <c r="A1" i="15"/>
  <c r="K5" i="15" a="1"/>
  <c r="K5" i="15" s="1"/>
  <c r="L5" i="15" s="1"/>
  <c r="M5" i="15" s="1"/>
  <c r="AD20" i="15" a="1"/>
  <c r="AD20" i="15" s="1"/>
  <c r="AC20" i="15" a="1"/>
  <c r="AC20" i="15" s="1"/>
  <c r="AB20" i="15" a="1"/>
  <c r="AB20" i="15" s="1"/>
  <c r="Z20" i="15" a="1"/>
  <c r="Z20" i="15" s="1"/>
  <c r="AA20" i="15" s="1"/>
  <c r="Y20" i="15" a="1"/>
  <c r="Y20" i="15" s="1"/>
  <c r="AG20" i="15" s="1"/>
  <c r="V20" i="15" a="1"/>
  <c r="V20" i="15" s="1"/>
  <c r="U20" i="15" a="1"/>
  <c r="U20" i="15" s="1"/>
  <c r="T20" i="15" a="1"/>
  <c r="T20" i="15" s="1"/>
  <c r="P20" i="15" a="1"/>
  <c r="P20" i="15" s="1"/>
  <c r="N20" i="15" a="1"/>
  <c r="N20" i="15" s="1"/>
  <c r="O20" i="15" s="1"/>
  <c r="K20" i="15" a="1"/>
  <c r="K20" i="15" s="1"/>
  <c r="I20" i="15" a="1"/>
  <c r="I20" i="15" s="1"/>
  <c r="H20" i="15" a="1"/>
  <c r="H20" i="15" s="1"/>
  <c r="G20" i="15" a="1"/>
  <c r="G20" i="15" s="1"/>
  <c r="F20" i="15" a="1"/>
  <c r="F20" i="15" s="1"/>
  <c r="AD19" i="15" a="1"/>
  <c r="AD19" i="15" s="1"/>
  <c r="AC19" i="15" a="1"/>
  <c r="AC19" i="15" s="1"/>
  <c r="AB19" i="15" a="1"/>
  <c r="AB19" i="15" s="1"/>
  <c r="Z19" i="15" a="1"/>
  <c r="Z19" i="15" s="1"/>
  <c r="AA19" i="15" s="1"/>
  <c r="Y19" i="15" a="1"/>
  <c r="Y19" i="15" s="1"/>
  <c r="AG19" i="15" s="1"/>
  <c r="V19" i="15" a="1"/>
  <c r="V19" i="15" s="1"/>
  <c r="U19" i="15" a="1"/>
  <c r="U19" i="15" s="1"/>
  <c r="T19" i="15" a="1"/>
  <c r="T19" i="15" s="1"/>
  <c r="P19" i="15" a="1"/>
  <c r="P19" i="15" s="1"/>
  <c r="N19" i="15" a="1"/>
  <c r="N19" i="15" s="1"/>
  <c r="O19" i="15" s="1"/>
  <c r="K19" i="15" a="1"/>
  <c r="K19" i="15" s="1"/>
  <c r="I19" i="15" a="1"/>
  <c r="I19" i="15" s="1"/>
  <c r="H19" i="15" a="1"/>
  <c r="H19" i="15" s="1"/>
  <c r="G19" i="15" a="1"/>
  <c r="G19" i="15" s="1"/>
  <c r="F19" i="15" a="1"/>
  <c r="F19" i="15" s="1"/>
  <c r="AD18" i="15" a="1"/>
  <c r="AD18" i="15" s="1"/>
  <c r="AC18" i="15" a="1"/>
  <c r="AC18" i="15" s="1"/>
  <c r="AB18" i="15" a="1"/>
  <c r="AB18" i="15" s="1"/>
  <c r="Z18" i="15" a="1"/>
  <c r="Z18" i="15" s="1"/>
  <c r="AA18" i="15" s="1"/>
  <c r="Y18" i="15" a="1"/>
  <c r="Y18" i="15" s="1"/>
  <c r="AG18" i="15" s="1"/>
  <c r="V18" i="15" a="1"/>
  <c r="V18" i="15" s="1"/>
  <c r="U18" i="15" a="1"/>
  <c r="U18" i="15" s="1"/>
  <c r="T18" i="15" a="1"/>
  <c r="T18" i="15" s="1"/>
  <c r="P18" i="15" a="1"/>
  <c r="P18" i="15" s="1"/>
  <c r="N18" i="15" a="1"/>
  <c r="N18" i="15" s="1"/>
  <c r="O18" i="15" s="1"/>
  <c r="K18" i="15" a="1"/>
  <c r="K18" i="15" s="1"/>
  <c r="I18" i="15" a="1"/>
  <c r="I18" i="15" s="1"/>
  <c r="H18" i="15" a="1"/>
  <c r="H18" i="15" s="1"/>
  <c r="G18" i="15" a="1"/>
  <c r="G18" i="15" s="1"/>
  <c r="F18" i="15" a="1"/>
  <c r="F18" i="15" s="1"/>
  <c r="AD17" i="15" a="1"/>
  <c r="AD17" i="15" s="1"/>
  <c r="AC17" i="15" a="1"/>
  <c r="AC17" i="15" s="1"/>
  <c r="AB17" i="15" a="1"/>
  <c r="AB17" i="15" s="1"/>
  <c r="Z17" i="15" a="1"/>
  <c r="Z17" i="15" s="1"/>
  <c r="AA17" i="15" s="1"/>
  <c r="Y17" i="15" a="1"/>
  <c r="Y17" i="15" s="1"/>
  <c r="AG17" i="15" s="1"/>
  <c r="V17" i="15" a="1"/>
  <c r="V17" i="15" s="1"/>
  <c r="U17" i="15" a="1"/>
  <c r="U17" i="15" s="1"/>
  <c r="T17" i="15" a="1"/>
  <c r="T17" i="15" s="1"/>
  <c r="P17" i="15" a="1"/>
  <c r="P17" i="15" s="1"/>
  <c r="N17" i="15" a="1"/>
  <c r="N17" i="15" s="1"/>
  <c r="O17" i="15" s="1"/>
  <c r="K17" i="15" a="1"/>
  <c r="K17" i="15" s="1"/>
  <c r="I17" i="15" a="1"/>
  <c r="I17" i="15" s="1"/>
  <c r="H17" i="15" a="1"/>
  <c r="H17" i="15" s="1"/>
  <c r="G17" i="15" a="1"/>
  <c r="G17" i="15" s="1"/>
  <c r="F17" i="15" a="1"/>
  <c r="F17" i="15" s="1"/>
  <c r="AD16" i="15" a="1"/>
  <c r="AD16" i="15" s="1"/>
  <c r="AC16" i="15" a="1"/>
  <c r="AC16" i="15" s="1"/>
  <c r="AB16" i="15" a="1"/>
  <c r="AB16" i="15" s="1"/>
  <c r="Z16" i="15" a="1"/>
  <c r="Z16" i="15" s="1"/>
  <c r="AA16" i="15" s="1"/>
  <c r="Y16" i="15" a="1"/>
  <c r="Y16" i="15" s="1"/>
  <c r="AG16" i="15" s="1"/>
  <c r="V16" i="15" a="1"/>
  <c r="V16" i="15" s="1"/>
  <c r="U16" i="15" a="1"/>
  <c r="U16" i="15" s="1"/>
  <c r="T16" i="15" a="1"/>
  <c r="T16" i="15" s="1"/>
  <c r="P16" i="15" a="1"/>
  <c r="P16" i="15" s="1"/>
  <c r="N16" i="15" a="1"/>
  <c r="N16" i="15" s="1"/>
  <c r="O16" i="15" s="1"/>
  <c r="K16" i="15" a="1"/>
  <c r="K16" i="15" s="1"/>
  <c r="I16" i="15" a="1"/>
  <c r="I16" i="15" s="1"/>
  <c r="H16" i="15" a="1"/>
  <c r="H16" i="15" s="1"/>
  <c r="G16" i="15" a="1"/>
  <c r="G16" i="15" s="1"/>
  <c r="F16" i="15" a="1"/>
  <c r="F16" i="15" s="1"/>
  <c r="AD15" i="15" a="1"/>
  <c r="AD15" i="15" s="1"/>
  <c r="AC15" i="15" a="1"/>
  <c r="AC15" i="15" s="1"/>
  <c r="AB15" i="15" a="1"/>
  <c r="AB15" i="15" s="1"/>
  <c r="Z15" i="15" a="1"/>
  <c r="Z15" i="15" s="1"/>
  <c r="AA15" i="15" s="1"/>
  <c r="Y15" i="15" a="1"/>
  <c r="Y15" i="15" s="1"/>
  <c r="AG15" i="15" s="1"/>
  <c r="V15" i="15" a="1"/>
  <c r="V15" i="15" s="1"/>
  <c r="U15" i="15" a="1"/>
  <c r="U15" i="15" s="1"/>
  <c r="T15" i="15" a="1"/>
  <c r="T15" i="15" s="1"/>
  <c r="P15" i="15" a="1"/>
  <c r="P15" i="15" s="1"/>
  <c r="N15" i="15" a="1"/>
  <c r="N15" i="15" s="1"/>
  <c r="O15" i="15" s="1"/>
  <c r="K15" i="15" a="1"/>
  <c r="K15" i="15" s="1"/>
  <c r="I15" i="15" a="1"/>
  <c r="I15" i="15" s="1"/>
  <c r="H15" i="15" a="1"/>
  <c r="H15" i="15" s="1"/>
  <c r="G15" i="15" a="1"/>
  <c r="G15" i="15" s="1"/>
  <c r="F15" i="15" a="1"/>
  <c r="F15" i="15" s="1"/>
  <c r="AD14" i="15" a="1"/>
  <c r="AD14" i="15" s="1"/>
  <c r="AC14" i="15" a="1"/>
  <c r="AC14" i="15" s="1"/>
  <c r="AB14" i="15" a="1"/>
  <c r="AB14" i="15" s="1"/>
  <c r="Z14" i="15" a="1"/>
  <c r="Z14" i="15" s="1"/>
  <c r="AA14" i="15" s="1"/>
  <c r="Y14" i="15" a="1"/>
  <c r="Y14" i="15" s="1"/>
  <c r="AG14" i="15" s="1"/>
  <c r="V14" i="15" a="1"/>
  <c r="V14" i="15" s="1"/>
  <c r="U14" i="15" a="1"/>
  <c r="U14" i="15" s="1"/>
  <c r="T14" i="15" a="1"/>
  <c r="T14" i="15" s="1"/>
  <c r="P14" i="15" a="1"/>
  <c r="P14" i="15" s="1"/>
  <c r="N14" i="15" a="1"/>
  <c r="N14" i="15" s="1"/>
  <c r="O14" i="15" s="1"/>
  <c r="K14" i="15" a="1"/>
  <c r="K14" i="15" s="1"/>
  <c r="I14" i="15" a="1"/>
  <c r="I14" i="15" s="1"/>
  <c r="H14" i="15" a="1"/>
  <c r="H14" i="15" s="1"/>
  <c r="G14" i="15" a="1"/>
  <c r="G14" i="15" s="1"/>
  <c r="F14" i="15" a="1"/>
  <c r="F14" i="15" s="1"/>
  <c r="AD13" i="15" a="1"/>
  <c r="AD13" i="15" s="1"/>
  <c r="AC13" i="15" a="1"/>
  <c r="AC13" i="15" s="1"/>
  <c r="AB13" i="15" a="1"/>
  <c r="AB13" i="15" s="1"/>
  <c r="Z13" i="15" a="1"/>
  <c r="Z13" i="15" s="1"/>
  <c r="AA13" i="15" s="1"/>
  <c r="Y13" i="15" a="1"/>
  <c r="Y13" i="15" s="1"/>
  <c r="AG13" i="15" s="1"/>
  <c r="V13" i="15" a="1"/>
  <c r="V13" i="15" s="1"/>
  <c r="U13" i="15" a="1"/>
  <c r="U13" i="15" s="1"/>
  <c r="T13" i="15" a="1"/>
  <c r="T13" i="15" s="1"/>
  <c r="P13" i="15" a="1"/>
  <c r="P13" i="15" s="1"/>
  <c r="N13" i="15" a="1"/>
  <c r="N13" i="15" s="1"/>
  <c r="O13" i="15" s="1"/>
  <c r="K13" i="15" a="1"/>
  <c r="K13" i="15" s="1"/>
  <c r="I13" i="15" a="1"/>
  <c r="I13" i="15" s="1"/>
  <c r="H13" i="15" a="1"/>
  <c r="H13" i="15" s="1"/>
  <c r="G13" i="15" a="1"/>
  <c r="G13" i="15" s="1"/>
  <c r="F13" i="15" a="1"/>
  <c r="F13" i="15" s="1"/>
  <c r="AD12" i="15" a="1"/>
  <c r="AD12" i="15" s="1"/>
  <c r="AC12" i="15" a="1"/>
  <c r="AC12" i="15" s="1"/>
  <c r="AB12" i="15" a="1"/>
  <c r="AB12" i="15" s="1"/>
  <c r="Z12" i="15" a="1"/>
  <c r="Z12" i="15" s="1"/>
  <c r="AA12" i="15" s="1"/>
  <c r="Y12" i="15" a="1"/>
  <c r="Y12" i="15" s="1"/>
  <c r="AG12" i="15" s="1"/>
  <c r="V12" i="15" a="1"/>
  <c r="V12" i="15" s="1"/>
  <c r="U12" i="15" a="1"/>
  <c r="U12" i="15" s="1"/>
  <c r="T12" i="15" a="1"/>
  <c r="T12" i="15" s="1"/>
  <c r="P12" i="15" a="1"/>
  <c r="P12" i="15" s="1"/>
  <c r="N12" i="15" a="1"/>
  <c r="N12" i="15" s="1"/>
  <c r="O12" i="15" s="1"/>
  <c r="K12" i="15" a="1"/>
  <c r="K12" i="15" s="1"/>
  <c r="I12" i="15" a="1"/>
  <c r="I12" i="15" s="1"/>
  <c r="H12" i="15" a="1"/>
  <c r="H12" i="15" s="1"/>
  <c r="G12" i="15" a="1"/>
  <c r="G12" i="15" s="1"/>
  <c r="F12" i="15" a="1"/>
  <c r="F12" i="15" s="1"/>
  <c r="AD11" i="15" a="1"/>
  <c r="AD11" i="15" s="1"/>
  <c r="AC11" i="15" a="1"/>
  <c r="AC11" i="15" s="1"/>
  <c r="AB11" i="15" a="1"/>
  <c r="AB11" i="15" s="1"/>
  <c r="Z11" i="15" a="1"/>
  <c r="Z11" i="15" s="1"/>
  <c r="AA11" i="15" s="1"/>
  <c r="Y11" i="15" a="1"/>
  <c r="Y11" i="15" s="1"/>
  <c r="AG11" i="15" s="1"/>
  <c r="V11" i="15" a="1"/>
  <c r="V11" i="15" s="1"/>
  <c r="U11" i="15" a="1"/>
  <c r="U11" i="15" s="1"/>
  <c r="T11" i="15" a="1"/>
  <c r="T11" i="15" s="1"/>
  <c r="P11" i="15" a="1"/>
  <c r="P11" i="15" s="1"/>
  <c r="N11" i="15" a="1"/>
  <c r="N11" i="15" s="1"/>
  <c r="O11" i="15" s="1"/>
  <c r="K11" i="15" a="1"/>
  <c r="K11" i="15" s="1"/>
  <c r="I11" i="15" a="1"/>
  <c r="I11" i="15" s="1"/>
  <c r="H11" i="15" a="1"/>
  <c r="H11" i="15" s="1"/>
  <c r="G11" i="15" a="1"/>
  <c r="G11" i="15" s="1"/>
  <c r="F11" i="15" a="1"/>
  <c r="F11" i="15" s="1"/>
  <c r="AD10" i="15" a="1"/>
  <c r="AD10" i="15" s="1"/>
  <c r="AC10" i="15" a="1"/>
  <c r="AC10" i="15" s="1"/>
  <c r="AB10" i="15" a="1"/>
  <c r="AB10" i="15" s="1"/>
  <c r="Z10" i="15" a="1"/>
  <c r="Z10" i="15" s="1"/>
  <c r="AA10" i="15" s="1"/>
  <c r="Y10" i="15" a="1"/>
  <c r="Y10" i="15" s="1"/>
  <c r="V10" i="15" a="1"/>
  <c r="V10" i="15" s="1"/>
  <c r="U10" i="15" a="1"/>
  <c r="U10" i="15" s="1"/>
  <c r="T10" i="15" a="1"/>
  <c r="T10" i="15" s="1"/>
  <c r="P10" i="15" a="1"/>
  <c r="P10" i="15" s="1"/>
  <c r="N10" i="15" a="1"/>
  <c r="N10" i="15" s="1"/>
  <c r="O10" i="15" s="1"/>
  <c r="K10" i="15" a="1"/>
  <c r="K10" i="15" s="1"/>
  <c r="I10" i="15" a="1"/>
  <c r="I10" i="15" s="1"/>
  <c r="H10" i="15" a="1"/>
  <c r="H10" i="15" s="1"/>
  <c r="G10" i="15" a="1"/>
  <c r="G10" i="15" s="1"/>
  <c r="F10" i="15" a="1"/>
  <c r="F10" i="15" s="1"/>
  <c r="AD9" i="15" a="1"/>
  <c r="AD9" i="15" s="1"/>
  <c r="AC9" i="15" a="1"/>
  <c r="AC9" i="15" s="1"/>
  <c r="AB9" i="15" a="1"/>
  <c r="AB9" i="15" s="1"/>
  <c r="Z9" i="15" a="1"/>
  <c r="Z9" i="15" s="1"/>
  <c r="AA9" i="15" s="1"/>
  <c r="Y9" i="15" a="1"/>
  <c r="Y9" i="15" s="1"/>
  <c r="V9" i="15" a="1"/>
  <c r="V9" i="15" s="1"/>
  <c r="U9" i="15" a="1"/>
  <c r="U9" i="15" s="1"/>
  <c r="T9" i="15" a="1"/>
  <c r="T9" i="15" s="1"/>
  <c r="P9" i="15" a="1"/>
  <c r="P9" i="15" s="1"/>
  <c r="N9" i="15" a="1"/>
  <c r="N9" i="15" s="1"/>
  <c r="O9" i="15" s="1"/>
  <c r="K9" i="15" a="1"/>
  <c r="K9" i="15" s="1"/>
  <c r="I9" i="15" a="1"/>
  <c r="I9" i="15" s="1"/>
  <c r="H9" i="15" a="1"/>
  <c r="H9" i="15" s="1"/>
  <c r="G9" i="15" a="1"/>
  <c r="G9" i="15" s="1"/>
  <c r="F9" i="15" a="1"/>
  <c r="F9" i="15" s="1"/>
  <c r="AD8" i="15" a="1"/>
  <c r="AD8" i="15" s="1"/>
  <c r="AC8" i="15" a="1"/>
  <c r="AC8" i="15" s="1"/>
  <c r="AB8" i="15" a="1"/>
  <c r="AB8" i="15" s="1"/>
  <c r="Z8" i="15" a="1"/>
  <c r="Z8" i="15" s="1"/>
  <c r="AA8" i="15" s="1"/>
  <c r="Y8" i="15" a="1"/>
  <c r="Y8" i="15" s="1"/>
  <c r="V8" i="15" a="1"/>
  <c r="V8" i="15" s="1"/>
  <c r="U8" i="15" a="1"/>
  <c r="U8" i="15" s="1"/>
  <c r="T8" i="15" a="1"/>
  <c r="T8" i="15" s="1"/>
  <c r="P8" i="15" a="1"/>
  <c r="P8" i="15" s="1"/>
  <c r="N8" i="15" a="1"/>
  <c r="N8" i="15" s="1"/>
  <c r="O8" i="15" s="1"/>
  <c r="K8" i="15" a="1"/>
  <c r="K8" i="15" s="1"/>
  <c r="I8" i="15" a="1"/>
  <c r="I8" i="15" s="1"/>
  <c r="H8" i="15" a="1"/>
  <c r="H8" i="15" s="1"/>
  <c r="G8" i="15" a="1"/>
  <c r="G8" i="15" s="1"/>
  <c r="F8" i="15" a="1"/>
  <c r="F8" i="15" s="1"/>
  <c r="AD7" i="15" a="1"/>
  <c r="AD7" i="15" s="1"/>
  <c r="AC7" i="15" a="1"/>
  <c r="AC7" i="15" s="1"/>
  <c r="AB7" i="15" a="1"/>
  <c r="AB7" i="15" s="1"/>
  <c r="Z7" i="15" a="1"/>
  <c r="Z7" i="15" s="1"/>
  <c r="AA7" i="15" s="1"/>
  <c r="Y7" i="15" a="1"/>
  <c r="Y7" i="15" s="1"/>
  <c r="V7" i="15" a="1"/>
  <c r="V7" i="15" s="1"/>
  <c r="U7" i="15" a="1"/>
  <c r="U7" i="15" s="1"/>
  <c r="T7" i="15" a="1"/>
  <c r="T7" i="15" s="1"/>
  <c r="P7" i="15" a="1"/>
  <c r="P7" i="15" s="1"/>
  <c r="N7" i="15" a="1"/>
  <c r="N7" i="15" s="1"/>
  <c r="O7" i="15" s="1"/>
  <c r="K7" i="15" a="1"/>
  <c r="K7" i="15" s="1"/>
  <c r="I7" i="15" a="1"/>
  <c r="I7" i="15" s="1"/>
  <c r="H7" i="15" a="1"/>
  <c r="H7" i="15" s="1"/>
  <c r="G7" i="15" a="1"/>
  <c r="G7" i="15" s="1"/>
  <c r="F7" i="15" a="1"/>
  <c r="F7" i="15" s="1"/>
  <c r="AD6" i="15" a="1"/>
  <c r="AD6" i="15" s="1"/>
  <c r="AC6" i="15" a="1"/>
  <c r="AC6" i="15" s="1"/>
  <c r="AB6" i="15" a="1"/>
  <c r="AB6" i="15" s="1"/>
  <c r="Z6" i="15" a="1"/>
  <c r="Z6" i="15" s="1"/>
  <c r="AA6" i="15" s="1"/>
  <c r="Y6" i="15" a="1"/>
  <c r="Y6" i="15" s="1"/>
  <c r="V6" i="15" a="1"/>
  <c r="V6" i="15" s="1"/>
  <c r="U6" i="15" a="1"/>
  <c r="U6" i="15" s="1"/>
  <c r="T6" i="15" a="1"/>
  <c r="T6" i="15" s="1"/>
  <c r="P6" i="15" a="1"/>
  <c r="P6" i="15" s="1"/>
  <c r="N6" i="15" a="1"/>
  <c r="N6" i="15" s="1"/>
  <c r="O6" i="15" s="1"/>
  <c r="K6" i="15" a="1"/>
  <c r="K6" i="15" s="1"/>
  <c r="I6" i="15" a="1"/>
  <c r="I6" i="15" s="1"/>
  <c r="H6" i="15" a="1"/>
  <c r="H6" i="15" s="1"/>
  <c r="G6" i="15" a="1"/>
  <c r="G6" i="15" s="1"/>
  <c r="F6" i="15" a="1"/>
  <c r="F6" i="15" s="1"/>
  <c r="AD5" i="15" a="1"/>
  <c r="AD5" i="15" s="1"/>
  <c r="AC5" i="15" a="1"/>
  <c r="AC5" i="15" s="1"/>
  <c r="AB5" i="15" a="1"/>
  <c r="AB5" i="15" s="1"/>
  <c r="Z5" i="15" a="1"/>
  <c r="Z5" i="15" s="1"/>
  <c r="AA5" i="15" s="1"/>
  <c r="Y5" i="15" a="1"/>
  <c r="Y5" i="15" s="1"/>
  <c r="V5" i="15" a="1"/>
  <c r="V5" i="15" s="1"/>
  <c r="U5" i="15" a="1"/>
  <c r="U5" i="15" s="1"/>
  <c r="T5" i="15" a="1"/>
  <c r="T5" i="15" s="1"/>
  <c r="P5" i="15" a="1"/>
  <c r="P5" i="15" s="1"/>
  <c r="N5" i="15" a="1"/>
  <c r="N5" i="15" s="1"/>
  <c r="O5" i="15" s="1"/>
  <c r="I5" i="15" a="1"/>
  <c r="I5" i="15" s="1"/>
  <c r="H5" i="15" a="1"/>
  <c r="H5" i="15" s="1"/>
  <c r="G5" i="15" a="1"/>
  <c r="G5" i="15" s="1"/>
  <c r="F5" i="15" a="1"/>
  <c r="F5" i="15" s="1"/>
  <c r="F75" i="4"/>
  <c r="F74" i="4"/>
  <c r="Q43" i="4"/>
  <c r="N43" i="4"/>
  <c r="L43" i="4"/>
  <c r="O43" i="4"/>
  <c r="AF6" i="15" l="1"/>
  <c r="AG6" i="15" s="1"/>
  <c r="Q18" i="15"/>
  <c r="R18" i="15" s="1"/>
  <c r="S18" i="15" s="1"/>
  <c r="AF9" i="15"/>
  <c r="AG9" i="15" s="1"/>
  <c r="AF5" i="15"/>
  <c r="AG5" i="15" s="1"/>
  <c r="AF8" i="15"/>
  <c r="AG8" i="15" s="1"/>
  <c r="AF10" i="15"/>
  <c r="AG10" i="15" s="1"/>
  <c r="AF7" i="15"/>
  <c r="AG7" i="15" s="1"/>
  <c r="L12" i="15"/>
  <c r="M12" i="15" s="1"/>
  <c r="L20" i="15"/>
  <c r="M20" i="15" s="1"/>
  <c r="Q11" i="15"/>
  <c r="R11" i="15" s="1"/>
  <c r="S11" i="15" s="1"/>
  <c r="Q19" i="15"/>
  <c r="R19" i="15" s="1"/>
  <c r="S19" i="15" s="1"/>
  <c r="W11" i="15"/>
  <c r="X11" i="15" s="1"/>
  <c r="W19" i="15"/>
  <c r="X19" i="15" s="1"/>
  <c r="L13" i="15"/>
  <c r="M13" i="15" s="1"/>
  <c r="Q12" i="15"/>
  <c r="R12" i="15" s="1"/>
  <c r="S12" i="15" s="1"/>
  <c r="Q20" i="15"/>
  <c r="R20" i="15" s="1"/>
  <c r="S20" i="15" s="1"/>
  <c r="W12" i="15"/>
  <c r="X12" i="15" s="1"/>
  <c r="W20" i="15"/>
  <c r="X20" i="15" s="1"/>
  <c r="L6" i="15"/>
  <c r="M6" i="15" s="1"/>
  <c r="L14" i="15"/>
  <c r="M14" i="15" s="1"/>
  <c r="Q5" i="15"/>
  <c r="R5" i="15" s="1"/>
  <c r="S5" i="15" s="1"/>
  <c r="Q13" i="15"/>
  <c r="R13" i="15" s="1"/>
  <c r="S13" i="15" s="1"/>
  <c r="W5" i="15"/>
  <c r="X5" i="15" s="1"/>
  <c r="W13" i="15"/>
  <c r="L7" i="15"/>
  <c r="M7" i="15" s="1"/>
  <c r="L15" i="15"/>
  <c r="M15" i="15" s="1"/>
  <c r="Q6" i="15"/>
  <c r="R6" i="15" s="1"/>
  <c r="S6" i="15" s="1"/>
  <c r="Q14" i="15"/>
  <c r="R14" i="15" s="1"/>
  <c r="S14" i="15" s="1"/>
  <c r="W6" i="15"/>
  <c r="X6" i="15" s="1"/>
  <c r="W14" i="15"/>
  <c r="L8" i="15"/>
  <c r="M8" i="15" s="1"/>
  <c r="L16" i="15"/>
  <c r="M16" i="15" s="1"/>
  <c r="Q7" i="15"/>
  <c r="R7" i="15" s="1"/>
  <c r="S7" i="15" s="1"/>
  <c r="Q15" i="15"/>
  <c r="R15" i="15" s="1"/>
  <c r="S15" i="15" s="1"/>
  <c r="W7" i="15"/>
  <c r="X7" i="15" s="1"/>
  <c r="W15" i="15"/>
  <c r="X15" i="15" s="1"/>
  <c r="L9" i="15"/>
  <c r="M9" i="15" s="1"/>
  <c r="L17" i="15"/>
  <c r="M17" i="15" s="1"/>
  <c r="Q8" i="15"/>
  <c r="R8" i="15" s="1"/>
  <c r="S8" i="15" s="1"/>
  <c r="Q16" i="15"/>
  <c r="R16" i="15" s="1"/>
  <c r="S16" i="15" s="1"/>
  <c r="W8" i="15"/>
  <c r="X8" i="15" s="1"/>
  <c r="W16" i="15"/>
  <c r="X16" i="15" s="1"/>
  <c r="L10" i="15"/>
  <c r="M10" i="15" s="1"/>
  <c r="L18" i="15"/>
  <c r="M18" i="15" s="1"/>
  <c r="Q9" i="15"/>
  <c r="R9" i="15" s="1"/>
  <c r="S9" i="15" s="1"/>
  <c r="Q17" i="15"/>
  <c r="R17" i="15" s="1"/>
  <c r="S17" i="15" s="1"/>
  <c r="W9" i="15"/>
  <c r="X9" i="15" s="1"/>
  <c r="W17" i="15"/>
  <c r="X17" i="15" s="1"/>
  <c r="L11" i="15"/>
  <c r="M11" i="15" s="1"/>
  <c r="L19" i="15"/>
  <c r="M19" i="15" s="1"/>
  <c r="Q10" i="15"/>
  <c r="R10" i="15" s="1"/>
  <c r="S10" i="15" s="1"/>
  <c r="W10" i="15"/>
  <c r="X10" i="15" s="1"/>
  <c r="W18" i="15"/>
  <c r="X18" i="15" s="1"/>
  <c r="J6" i="15"/>
  <c r="J7" i="15"/>
  <c r="J8" i="15"/>
  <c r="J9" i="15"/>
  <c r="J10" i="15"/>
  <c r="J13" i="15"/>
  <c r="J14" i="15"/>
  <c r="J15" i="15"/>
  <c r="J16" i="15"/>
  <c r="J17" i="15"/>
  <c r="J18" i="15"/>
  <c r="J19" i="15"/>
  <c r="J20" i="15"/>
  <c r="J5" i="15"/>
  <c r="J11" i="15"/>
  <c r="J12" i="15"/>
  <c r="AJ58" i="4"/>
  <c r="Z58" i="4"/>
  <c r="S58" i="4"/>
  <c r="Q58" i="4"/>
  <c r="N58" i="4"/>
  <c r="AA58" i="4" s="1"/>
  <c r="L58" i="4"/>
  <c r="AJ57" i="4"/>
  <c r="Z57" i="4"/>
  <c r="S57" i="4"/>
  <c r="Q57" i="4"/>
  <c r="N57" i="4"/>
  <c r="O57" i="4" s="1"/>
  <c r="L57" i="4"/>
  <c r="AJ56" i="4"/>
  <c r="Z56" i="4"/>
  <c r="AA56" i="4" s="1"/>
  <c r="S56" i="4"/>
  <c r="Q56" i="4"/>
  <c r="N56" i="4"/>
  <c r="O56" i="4" s="1"/>
  <c r="L56" i="4"/>
  <c r="AJ55" i="4"/>
  <c r="Z55" i="4"/>
  <c r="AA55" i="4" s="1"/>
  <c r="S55" i="4"/>
  <c r="Q55" i="4"/>
  <c r="N55" i="4"/>
  <c r="O55" i="4" s="1"/>
  <c r="L55" i="4"/>
  <c r="AJ54" i="4"/>
  <c r="Z54" i="4"/>
  <c r="AA54" i="4" s="1"/>
  <c r="S54" i="4"/>
  <c r="Q54" i="4"/>
  <c r="N54" i="4"/>
  <c r="O54" i="4" s="1"/>
  <c r="L54" i="4"/>
  <c r="AJ53" i="4"/>
  <c r="Z53" i="4"/>
  <c r="AA53" i="4" s="1"/>
  <c r="S53" i="4"/>
  <c r="Q53" i="4"/>
  <c r="N53" i="4"/>
  <c r="O53" i="4" s="1"/>
  <c r="L53" i="4"/>
  <c r="AJ52" i="4"/>
  <c r="Z52" i="4"/>
  <c r="AA52" i="4" s="1"/>
  <c r="S52" i="4"/>
  <c r="Q52" i="4"/>
  <c r="T52" i="4" s="1"/>
  <c r="V52" i="4" s="1"/>
  <c r="N52" i="4"/>
  <c r="O52" i="4" s="1"/>
  <c r="L52" i="4"/>
  <c r="AJ51" i="4"/>
  <c r="Z51" i="4"/>
  <c r="AA51" i="4" s="1"/>
  <c r="S51" i="4"/>
  <c r="Q51" i="4"/>
  <c r="N51" i="4"/>
  <c r="O51" i="4" s="1"/>
  <c r="L51" i="4"/>
  <c r="AJ50" i="4"/>
  <c r="Z50" i="4"/>
  <c r="AA50" i="4" s="1"/>
  <c r="S50" i="4"/>
  <c r="Q50" i="4"/>
  <c r="N50" i="4"/>
  <c r="O50" i="4" s="1"/>
  <c r="L50" i="4"/>
  <c r="AJ49" i="4"/>
  <c r="Z49" i="4"/>
  <c r="AA49" i="4" s="1"/>
  <c r="S49" i="4"/>
  <c r="Q49" i="4"/>
  <c r="N49" i="4"/>
  <c r="O49" i="4" s="1"/>
  <c r="L49" i="4"/>
  <c r="AD48" i="4"/>
  <c r="AI48" i="4" s="1"/>
  <c r="AJ48" i="4" s="1"/>
  <c r="Z48" i="4"/>
  <c r="AA48" i="4" s="1"/>
  <c r="S48" i="4"/>
  <c r="Q48" i="4"/>
  <c r="N48" i="4"/>
  <c r="O48" i="4" s="1"/>
  <c r="L48" i="4"/>
  <c r="AD47" i="4"/>
  <c r="AI47" i="4" s="1"/>
  <c r="AJ47" i="4" s="1"/>
  <c r="Z47" i="4"/>
  <c r="AA47" i="4" s="1"/>
  <c r="S47" i="4"/>
  <c r="Q47" i="4"/>
  <c r="N47" i="4"/>
  <c r="O47" i="4" s="1"/>
  <c r="L47" i="4"/>
  <c r="AD46" i="4"/>
  <c r="AI46" i="4" s="1"/>
  <c r="AJ46" i="4" s="1"/>
  <c r="Z46" i="4"/>
  <c r="AA46" i="4" s="1"/>
  <c r="S46" i="4"/>
  <c r="Q46" i="4"/>
  <c r="N46" i="4"/>
  <c r="O46" i="4" s="1"/>
  <c r="L46" i="4"/>
  <c r="AD45" i="4"/>
  <c r="AI45" i="4" s="1"/>
  <c r="AJ45" i="4" s="1"/>
  <c r="Z45" i="4"/>
  <c r="AA45" i="4" s="1"/>
  <c r="S45" i="4"/>
  <c r="Q45" i="4"/>
  <c r="N45" i="4"/>
  <c r="O45" i="4" s="1"/>
  <c r="L45" i="4"/>
  <c r="AD44" i="4"/>
  <c r="AI44" i="4" s="1"/>
  <c r="AJ44" i="4" s="1"/>
  <c r="Z44" i="4"/>
  <c r="AA44" i="4" s="1"/>
  <c r="S44" i="4"/>
  <c r="Q44" i="4"/>
  <c r="N44" i="4"/>
  <c r="O44" i="4" s="1"/>
  <c r="L44" i="4"/>
  <c r="AD43" i="4"/>
  <c r="AI43" i="4" s="1"/>
  <c r="AJ43" i="4" s="1"/>
  <c r="Z43" i="4"/>
  <c r="AA43" i="4" s="1"/>
  <c r="S43" i="4"/>
  <c r="T43" i="4" s="1"/>
  <c r="V43" i="4" s="1"/>
  <c r="AH18" i="15" l="1"/>
  <c r="G52" i="15" a="1"/>
  <c r="G52" i="15" s="1"/>
  <c r="H52" i="15" s="1"/>
  <c r="J52" i="15" s="1"/>
  <c r="C62" i="15" s="1"/>
  <c r="G51" i="15" a="1"/>
  <c r="G51" i="15" s="1"/>
  <c r="H51" i="15" s="1"/>
  <c r="J51" i="15" s="1"/>
  <c r="G50" i="15" a="1"/>
  <c r="G50" i="15" s="1"/>
  <c r="H50" i="15" s="1"/>
  <c r="J50" i="15" s="1"/>
  <c r="G49" i="15" a="1"/>
  <c r="G49" i="15" s="1"/>
  <c r="H49" i="15" s="1"/>
  <c r="J49" i="15" s="1"/>
  <c r="G48" i="15" a="1"/>
  <c r="G48" i="15" s="1"/>
  <c r="H48" i="15" s="1"/>
  <c r="J48" i="15" s="1"/>
  <c r="G54" i="15" a="1"/>
  <c r="G54" i="15" s="1"/>
  <c r="H54" i="15" s="1"/>
  <c r="J54" i="15" s="1"/>
  <c r="G53" i="15" a="1"/>
  <c r="G53" i="15" s="1"/>
  <c r="H53" i="15" s="1"/>
  <c r="J53" i="15" s="1"/>
  <c r="AH6" i="15"/>
  <c r="X13" i="15"/>
  <c r="AH13" i="15" s="1"/>
  <c r="AH19" i="15"/>
  <c r="AH7" i="15"/>
  <c r="AH16" i="15"/>
  <c r="AH20" i="15"/>
  <c r="X14" i="15"/>
  <c r="AH14" i="15" s="1"/>
  <c r="AH8" i="15"/>
  <c r="AH12" i="15"/>
  <c r="AH17" i="15"/>
  <c r="AH9" i="15"/>
  <c r="AH15" i="15"/>
  <c r="AH11" i="15"/>
  <c r="AH10" i="15"/>
  <c r="AH5" i="15"/>
  <c r="T50" i="4"/>
  <c r="V50" i="4" s="1"/>
  <c r="AK43" i="4"/>
  <c r="T51" i="4"/>
  <c r="V51" i="4" s="1"/>
  <c r="F100" i="4"/>
  <c r="AK50" i="4"/>
  <c r="T54" i="4"/>
  <c r="V54" i="4" s="1"/>
  <c r="AK54" i="4" s="1"/>
  <c r="T47" i="4"/>
  <c r="V47" i="4" s="1"/>
  <c r="AK47" i="4" s="1"/>
  <c r="T46" i="4"/>
  <c r="V46" i="4" s="1"/>
  <c r="AK46" i="4" s="1"/>
  <c r="T44" i="4"/>
  <c r="V44" i="4" s="1"/>
  <c r="AK44" i="4" s="1"/>
  <c r="T53" i="4"/>
  <c r="V53" i="4" s="1"/>
  <c r="AK53" i="4" s="1"/>
  <c r="T45" i="4"/>
  <c r="V45" i="4" s="1"/>
  <c r="AK45" i="4" s="1"/>
  <c r="F69" i="4" s="1"/>
  <c r="AA57" i="4"/>
  <c r="T56" i="4"/>
  <c r="V56" i="4" s="1"/>
  <c r="AK56" i="4" s="1"/>
  <c r="T49" i="4"/>
  <c r="V49" i="4" s="1"/>
  <c r="AK49" i="4" s="1"/>
  <c r="F71" i="4" s="1"/>
  <c r="E96" i="4" s="1"/>
  <c r="G96" i="4" s="1"/>
  <c r="T58" i="4"/>
  <c r="V58" i="4" s="1"/>
  <c r="AK58" i="4" s="1"/>
  <c r="AK51" i="4"/>
  <c r="F96" i="4"/>
  <c r="T55" i="4"/>
  <c r="V55" i="4" s="1"/>
  <c r="AK55" i="4" s="1"/>
  <c r="T48" i="4"/>
  <c r="V48" i="4" s="1"/>
  <c r="AK48" i="4" s="1"/>
  <c r="T57" i="4"/>
  <c r="V57" i="4" s="1"/>
  <c r="AK52" i="4"/>
  <c r="O58" i="4"/>
  <c r="F79" i="4" s="1"/>
  <c r="F95" i="4"/>
  <c r="F99" i="4"/>
  <c r="F77" i="4"/>
  <c r="F94" i="4"/>
  <c r="F98" i="4"/>
  <c r="F72" i="4"/>
  <c r="E97" i="4" s="1"/>
  <c r="F97" i="4"/>
  <c r="C63" i="15" l="1"/>
  <c r="C61" i="15"/>
  <c r="F67" i="4"/>
  <c r="E94" i="4" s="1"/>
  <c r="G94" i="4" s="1"/>
  <c r="F70" i="4"/>
  <c r="F76" i="4"/>
  <c r="E99" i="4" s="1"/>
  <c r="G99" i="4" s="1"/>
  <c r="F68" i="4"/>
  <c r="G97" i="4"/>
  <c r="F73" i="4"/>
  <c r="E98" i="4" s="1"/>
  <c r="G98" i="4" s="1"/>
  <c r="AK57" i="4"/>
  <c r="F78" i="4" s="1"/>
  <c r="E100" i="4" s="1"/>
  <c r="G100" i="4" s="1"/>
  <c r="D112" i="4" s="1"/>
  <c r="E95" i="4" l="1"/>
  <c r="G95" i="4" s="1"/>
  <c r="D110" i="4" s="1"/>
  <c r="D1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<sst xmlns="http://schemas.openxmlformats.org/spreadsheetml/2006/main" count="1131" uniqueCount="161">
  <si>
    <t>IR Trade Level Data</t>
  </si>
  <si>
    <t>COB Date</t>
  </si>
  <si>
    <t>Counterparty ID</t>
  </si>
  <si>
    <t>Netting Set ID</t>
  </si>
  <si>
    <t>Ticket Number</t>
  </si>
  <si>
    <t>Trade Type</t>
  </si>
  <si>
    <t>Base Currency</t>
  </si>
  <si>
    <t>Basis/Volatility Indicator</t>
  </si>
  <si>
    <t>Specific Basis</t>
  </si>
  <si>
    <t>Maturity Date</t>
  </si>
  <si>
    <t>Start Date</t>
  </si>
  <si>
    <t>End Date</t>
  </si>
  <si>
    <t>Notional</t>
  </si>
  <si>
    <t>Margined/ Unmargined</t>
  </si>
  <si>
    <t>CCP</t>
  </si>
  <si>
    <t>Margin Frequency (Business Days)</t>
  </si>
  <si>
    <t>Buy/Sell Indicator</t>
  </si>
  <si>
    <t>Contractucal Exercise Date</t>
  </si>
  <si>
    <t>Put/Call Indicator</t>
  </si>
  <si>
    <t>Strike Price (Ki)</t>
  </si>
  <si>
    <t>Underlying Price (Pi)</t>
  </si>
  <si>
    <t>MtM</t>
  </si>
  <si>
    <t>ABC123</t>
  </si>
  <si>
    <t>SWPTN</t>
  </si>
  <si>
    <t>USD</t>
  </si>
  <si>
    <t>M</t>
  </si>
  <si>
    <t>N</t>
  </si>
  <si>
    <t>B</t>
  </si>
  <si>
    <t>C</t>
  </si>
  <si>
    <t>P</t>
  </si>
  <si>
    <t>JPY</t>
  </si>
  <si>
    <t>S</t>
  </si>
  <si>
    <t>CPFLR</t>
  </si>
  <si>
    <t>IRSWP</t>
  </si>
  <si>
    <t>AUD</t>
  </si>
  <si>
    <t>Basis</t>
  </si>
  <si>
    <t>3 month LIBOR vs 6 month LIBOR</t>
  </si>
  <si>
    <t>1 month LIBOR vs OIS Rate</t>
  </si>
  <si>
    <t>XYZ789</t>
  </si>
  <si>
    <t>FRA</t>
  </si>
  <si>
    <t>DEF123</t>
  </si>
  <si>
    <t>U</t>
  </si>
  <si>
    <t>NA</t>
  </si>
  <si>
    <t>Trade Level Calculations</t>
  </si>
  <si>
    <t>Trade Level Effective Notional Calculation</t>
  </si>
  <si>
    <t>Adjusted Notional Calculation</t>
  </si>
  <si>
    <t>Reference Information</t>
  </si>
  <si>
    <t>Hedging Set Identification</t>
  </si>
  <si>
    <t>Hedging Subset Identification</t>
  </si>
  <si>
    <t>Supervisory Duration Calculation</t>
  </si>
  <si>
    <t>Maturity Factor Calculation</t>
  </si>
  <si>
    <t>Supervisory Delta Calculation</t>
  </si>
  <si>
    <t>Hedging Set</t>
  </si>
  <si>
    <t>Mi</t>
  </si>
  <si>
    <t>Hedging Subset</t>
  </si>
  <si>
    <t>Si</t>
  </si>
  <si>
    <t>Ei</t>
  </si>
  <si>
    <t>Supervisory Duration</t>
  </si>
  <si>
    <t>Adjusted Notional</t>
  </si>
  <si>
    <t>MPOR</t>
  </si>
  <si>
    <t>Maturity Factor</t>
  </si>
  <si>
    <t>Contractual Exercise Date</t>
  </si>
  <si>
    <t>Ti</t>
  </si>
  <si>
    <t>Supervisory Option Volatility</t>
  </si>
  <si>
    <t>Option Delta</t>
  </si>
  <si>
    <t>Supervisory Delta</t>
  </si>
  <si>
    <t>Trade Level Effective Notional</t>
  </si>
  <si>
    <t>Swaption</t>
  </si>
  <si>
    <t>OTC Caps/Floors</t>
  </si>
  <si>
    <t>Interest Rate Swap</t>
  </si>
  <si>
    <t>Forward Rate Agreement</t>
  </si>
  <si>
    <t>Hedging Subset Level Calculation</t>
  </si>
  <si>
    <t>Hedging Subset Effective Notional</t>
  </si>
  <si>
    <t>AUD [3 month LIBOR vs 6 month LIBOR]</t>
  </si>
  <si>
    <t>AUD [1 month LIBOR vs OIS Rate]</t>
  </si>
  <si>
    <t>Hedging Set Level Calculation</t>
  </si>
  <si>
    <t>Hedging Set Effective Notional</t>
  </si>
  <si>
    <t>Supervisory Factor</t>
  </si>
  <si>
    <t>Hedging Set AddOn</t>
  </si>
  <si>
    <t>Asset Class Calculation</t>
  </si>
  <si>
    <t>Asset Class AddOn</t>
  </si>
  <si>
    <t>Trade Leg 1 Currency</t>
  </si>
  <si>
    <t>Trade Leg 2 Currency</t>
  </si>
  <si>
    <t>Leg 1 Notional</t>
  </si>
  <si>
    <t>Leg 2 Notional</t>
  </si>
  <si>
    <t>OTC FX Options</t>
  </si>
  <si>
    <t>CAD</t>
  </si>
  <si>
    <t>EUR</t>
  </si>
  <si>
    <t>OTC Currency Swaps</t>
  </si>
  <si>
    <t>MXN</t>
  </si>
  <si>
    <t>OTC FX Forwards</t>
  </si>
  <si>
    <t>CHF</t>
  </si>
  <si>
    <t>NOK</t>
  </si>
  <si>
    <t>CR Trade Level Data</t>
  </si>
  <si>
    <t>Underlying Entity Name</t>
  </si>
  <si>
    <t>Underlying Entity Rating</t>
  </si>
  <si>
    <t>ABC345</t>
  </si>
  <si>
    <t>OTC Credit Default Options</t>
  </si>
  <si>
    <t>CR_Entity1</t>
  </si>
  <si>
    <t>Singleton</t>
  </si>
  <si>
    <t>AAA</t>
  </si>
  <si>
    <t>Volatility</t>
  </si>
  <si>
    <t>CR_Entity2</t>
  </si>
  <si>
    <t>BB</t>
  </si>
  <si>
    <t>CR_Entity3</t>
  </si>
  <si>
    <t>OTC BD Swaps</t>
  </si>
  <si>
    <t>CR_Index1</t>
  </si>
  <si>
    <t>Index</t>
  </si>
  <si>
    <t>IG</t>
  </si>
  <si>
    <t>CR_Index2</t>
  </si>
  <si>
    <t>SG</t>
  </si>
  <si>
    <t>XYZ200</t>
  </si>
  <si>
    <t>OTC Credit Default Swaps</t>
  </si>
  <si>
    <t>CR_Entity4</t>
  </si>
  <si>
    <t>CCC</t>
  </si>
  <si>
    <t>CR_Entity5</t>
  </si>
  <si>
    <t>AA</t>
  </si>
  <si>
    <t>CR_Entity6</t>
  </si>
  <si>
    <t>CR_Entity7</t>
  </si>
  <si>
    <t>CR_Entity8</t>
  </si>
  <si>
    <t>A</t>
  </si>
  <si>
    <t>EQ_Entity1</t>
  </si>
  <si>
    <t>EQ_Entity2</t>
  </si>
  <si>
    <t>EQ_Index1</t>
  </si>
  <si>
    <t>EQ_Index2</t>
  </si>
  <si>
    <t>EQ_Entity3</t>
  </si>
  <si>
    <t>EQ_Entity4</t>
  </si>
  <si>
    <t>EQ_Entity5</t>
  </si>
  <si>
    <t>Underlying Entity Type</t>
  </si>
  <si>
    <t>OTC Oil-Gas Options</t>
  </si>
  <si>
    <t>Oil</t>
  </si>
  <si>
    <t>Gas</t>
  </si>
  <si>
    <t>OTC Precious Metal Options</t>
  </si>
  <si>
    <t>Gold</t>
  </si>
  <si>
    <t>OTC Base Metal Options</t>
  </si>
  <si>
    <t>Steel</t>
  </si>
  <si>
    <t>Aluminum</t>
  </si>
  <si>
    <t>OTC Wheat Forwards</t>
  </si>
  <si>
    <t>Wheat</t>
  </si>
  <si>
    <t>OTC Electricity Forwards</t>
  </si>
  <si>
    <t>Electricity</t>
  </si>
  <si>
    <t>OTC Oil-Gas Swaps</t>
  </si>
  <si>
    <t>Crude Oil</t>
  </si>
  <si>
    <t>OTC Base Metal Forwards</t>
  </si>
  <si>
    <t>OTC Base Metal Swaps</t>
  </si>
  <si>
    <t>Copper</t>
  </si>
  <si>
    <t>Asset Class</t>
  </si>
  <si>
    <t>Base Notional</t>
  </si>
  <si>
    <t>OTC Equity Swap</t>
  </si>
  <si>
    <t>CALL</t>
  </si>
  <si>
    <t>Credit</t>
  </si>
  <si>
    <t>Interest Rate</t>
  </si>
  <si>
    <t>FX</t>
  </si>
  <si>
    <t>Equity</t>
  </si>
  <si>
    <t>Commodity</t>
  </si>
  <si>
    <t>Sub Class</t>
  </si>
  <si>
    <t>Sum of MtM</t>
  </si>
  <si>
    <t>Sum of Base Notional</t>
  </si>
  <si>
    <t>Sum of Trade Level Effective Notional</t>
  </si>
  <si>
    <t>Sum of Sum of Trade Level Effective Notional</t>
  </si>
  <si>
    <t>PFE Add_on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</si>
</sst>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0.000000"/>
    <numFmt numFmtId="169" formatCode="_(* #,##0_);_(* \(#,##0\);_(* &quot;-&quot;??_);_(@_)"/>
  </numFmts>
  <fonts count="27">
    <font>
      <sz val="10"/>
      <color theme="1"/>
      <name val="Credit Suisse Type Light"/>
      <family val="2"/>
      <scheme val="minor"/>
    </font>
    <font>
      <sz val="11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u/>
      <sz val="12"/>
      <color theme="1"/>
      <name val="Arial"/>
      <family val="2"/>
    </font>
    <font>
      <sz val="10"/>
      <color theme="0"/>
      <name val="Credit Suisse Type Light"/>
      <family val="2"/>
      <scheme val="minor"/>
    </font>
    <font>
      <sz val="11"/>
      <name val="Arial"/>
      <family val="2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darkDown">
        <bgColor theme="0" tint="-0.499984740745262"/>
      </patternFill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43">
    <xf numFmtId="0" fontId="0" fillId="0" borderId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11" fillId="5" borderId="1" applyNumberFormat="0" applyAlignment="0" applyProtection="0"/>
    <xf numFmtId="0" fontId="7" fillId="6" borderId="2" applyNumberFormat="0" applyAlignment="0" applyProtection="0"/>
    <xf numFmtId="0" fontId="2" fillId="6" borderId="1" applyNumberFormat="0" applyAlignment="0" applyProtection="0"/>
    <xf numFmtId="0" fontId="10" fillId="0" borderId="3" applyNumberFormat="0" applyFill="0" applyAlignment="0" applyProtection="0"/>
    <xf numFmtId="0" fontId="3" fillId="7" borderId="4" applyNumberFormat="0" applyAlignment="0" applyProtection="0"/>
    <xf numFmtId="0" fontId="8" fillId="0" borderId="0" applyNumberFormat="0" applyFill="0" applyBorder="0" applyAlignment="0" applyProtection="0"/>
    <xf numFmtId="0" fontId="9" fillId="8" borderId="5" applyNumberFormat="0" applyAlignment="0" applyProtection="0"/>
    <xf numFmtId="0" fontId="12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7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9" fillId="0" borderId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11" fillId="5" borderId="1" applyNumberFormat="0" applyAlignment="0" applyProtection="0"/>
    <xf numFmtId="0" fontId="7" fillId="6" borderId="2" applyNumberFormat="0" applyAlignment="0" applyProtection="0"/>
    <xf numFmtId="0" fontId="2" fillId="6" borderId="1" applyNumberFormat="0" applyAlignment="0" applyProtection="0"/>
    <xf numFmtId="0" fontId="10" fillId="0" borderId="3" applyNumberFormat="0" applyFill="0" applyAlignment="0" applyProtection="0"/>
    <xf numFmtId="0" fontId="3" fillId="7" borderId="4" applyNumberFormat="0" applyAlignment="0" applyProtection="0"/>
    <xf numFmtId="0" fontId="8" fillId="0" borderId="0" applyNumberFormat="0" applyFill="0" applyBorder="0" applyAlignment="0" applyProtection="0"/>
    <xf numFmtId="0" fontId="9" fillId="8" borderId="5" applyNumberFormat="0" applyAlignment="0" applyProtection="0"/>
    <xf numFmtId="0" fontId="12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229">
    <xf numFmtId="0" fontId="0" fillId="0" borderId="0" xfId="0"/>
    <xf numFmtId="0" fontId="19" fillId="0" borderId="0" xfId="0" applyFont="1"/>
    <xf numFmtId="0" fontId="20" fillId="0" borderId="0" xfId="19" applyFont="1"/>
    <xf numFmtId="44" fontId="20" fillId="0" borderId="0" xfId="20" applyFont="1" applyFill="1" applyBorder="1"/>
    <xf numFmtId="14" fontId="20" fillId="0" borderId="16" xfId="19" applyNumberFormat="1" applyFont="1" applyBorder="1"/>
    <xf numFmtId="0" fontId="20" fillId="0" borderId="0" xfId="19" applyFont="1" applyAlignment="1">
      <alignment horizontal="center"/>
    </xf>
    <xf numFmtId="14" fontId="17" fillId="0" borderId="0" xfId="21" applyNumberFormat="1" applyAlignment="1"/>
    <xf numFmtId="14" fontId="20" fillId="0" borderId="0" xfId="19" applyNumberFormat="1" applyFont="1"/>
    <xf numFmtId="44" fontId="20" fillId="0" borderId="17" xfId="20" applyFont="1" applyFill="1" applyBorder="1"/>
    <xf numFmtId="14" fontId="20" fillId="0" borderId="13" xfId="19" applyNumberFormat="1" applyFont="1" applyBorder="1"/>
    <xf numFmtId="0" fontId="20" fillId="0" borderId="14" xfId="19" applyFont="1" applyBorder="1" applyAlignment="1">
      <alignment horizontal="center"/>
    </xf>
    <xf numFmtId="0" fontId="20" fillId="0" borderId="14" xfId="19" applyFont="1" applyBorder="1"/>
    <xf numFmtId="14" fontId="17" fillId="0" borderId="14" xfId="21" applyNumberFormat="1" applyBorder="1" applyAlignment="1"/>
    <xf numFmtId="14" fontId="20" fillId="0" borderId="14" xfId="19" applyNumberFormat="1" applyFont="1" applyBorder="1"/>
    <xf numFmtId="44" fontId="20" fillId="0" borderId="14" xfId="20" applyFont="1" applyFill="1" applyBorder="1"/>
    <xf numFmtId="44" fontId="20" fillId="0" borderId="15" xfId="20" applyFont="1" applyFill="1" applyBorder="1"/>
    <xf numFmtId="0" fontId="20" fillId="0" borderId="11" xfId="19" applyFont="1" applyBorder="1" applyAlignment="1">
      <alignment horizontal="center"/>
    </xf>
    <xf numFmtId="0" fontId="20" fillId="0" borderId="11" xfId="19" applyFont="1" applyBorder="1"/>
    <xf numFmtId="44" fontId="20" fillId="0" borderId="11" xfId="20" applyFont="1" applyFill="1" applyBorder="1"/>
    <xf numFmtId="44" fontId="20" fillId="0" borderId="12" xfId="20" applyFont="1" applyFill="1" applyBorder="1"/>
    <xf numFmtId="0" fontId="20" fillId="10" borderId="11" xfId="19" applyFont="1" applyFill="1" applyBorder="1"/>
    <xf numFmtId="0" fontId="20" fillId="10" borderId="0" xfId="19" applyFont="1" applyFill="1"/>
    <xf numFmtId="164" fontId="17" fillId="10" borderId="11" xfId="21" applyNumberFormat="1" applyFill="1" applyBorder="1" applyAlignment="1"/>
    <xf numFmtId="164" fontId="17" fillId="10" borderId="0" xfId="21" applyNumberFormat="1" applyFill="1" applyAlignment="1"/>
    <xf numFmtId="164" fontId="17" fillId="10" borderId="14" xfId="21" applyNumberFormat="1" applyFill="1" applyBorder="1" applyAlignment="1"/>
    <xf numFmtId="0" fontId="20" fillId="10" borderId="31" xfId="19" applyFont="1" applyFill="1" applyBorder="1"/>
    <xf numFmtId="14" fontId="17" fillId="0" borderId="32" xfId="21" applyNumberFormat="1" applyBorder="1" applyAlignment="1"/>
    <xf numFmtId="0" fontId="20" fillId="0" borderId="30" xfId="19" applyFont="1" applyBorder="1"/>
    <xf numFmtId="14" fontId="17" fillId="0" borderId="34" xfId="21" applyNumberFormat="1" applyBorder="1" applyAlignment="1"/>
    <xf numFmtId="0" fontId="20" fillId="10" borderId="35" xfId="19" applyFont="1" applyFill="1" applyBorder="1"/>
    <xf numFmtId="14" fontId="17" fillId="0" borderId="30" xfId="21" applyNumberFormat="1" applyBorder="1" applyAlignment="1"/>
    <xf numFmtId="0" fontId="20" fillId="0" borderId="32" xfId="19" applyFont="1" applyBorder="1"/>
    <xf numFmtId="0" fontId="20" fillId="0" borderId="34" xfId="19" applyFont="1" applyBorder="1"/>
    <xf numFmtId="14" fontId="17" fillId="0" borderId="14" xfId="21" applyNumberFormat="1" applyBorder="1" applyAlignment="1">
      <alignment horizontal="center"/>
    </xf>
    <xf numFmtId="0" fontId="20" fillId="10" borderId="33" xfId="19" applyFont="1" applyFill="1" applyBorder="1"/>
    <xf numFmtId="1" fontId="17" fillId="10" borderId="35" xfId="21" applyNumberFormat="1" applyFill="1" applyBorder="1" applyAlignment="1"/>
    <xf numFmtId="1" fontId="17" fillId="10" borderId="31" xfId="21" applyNumberFormat="1" applyFill="1" applyBorder="1" applyAlignment="1"/>
    <xf numFmtId="14" fontId="17" fillId="0" borderId="11" xfId="21" applyNumberFormat="1" applyBorder="1" applyAlignment="1">
      <alignment horizontal="center"/>
    </xf>
    <xf numFmtId="14" fontId="17" fillId="0" borderId="0" xfId="21" applyNumberFormat="1" applyAlignment="1">
      <alignment horizontal="center"/>
    </xf>
    <xf numFmtId="1" fontId="17" fillId="10" borderId="33" xfId="21" applyNumberFormat="1" applyFill="1" applyBorder="1" applyAlignment="1"/>
    <xf numFmtId="0" fontId="20" fillId="10" borderId="14" xfId="19" applyFont="1" applyFill="1" applyBorder="1" applyAlignment="1">
      <alignment horizontal="center"/>
    </xf>
    <xf numFmtId="0" fontId="20" fillId="0" borderId="34" xfId="19" applyFont="1" applyBorder="1" applyAlignment="1">
      <alignment horizontal="center"/>
    </xf>
    <xf numFmtId="0" fontId="20" fillId="10" borderId="0" xfId="19" applyFont="1" applyFill="1" applyAlignment="1">
      <alignment horizontal="center"/>
    </xf>
    <xf numFmtId="0" fontId="20" fillId="10" borderId="33" xfId="19" applyFont="1" applyFill="1" applyBorder="1" applyAlignment="1">
      <alignment horizontal="center"/>
    </xf>
    <xf numFmtId="0" fontId="20" fillId="10" borderId="35" xfId="19" applyFont="1" applyFill="1" applyBorder="1" applyAlignment="1">
      <alignment horizontal="center"/>
    </xf>
    <xf numFmtId="0" fontId="20" fillId="10" borderId="31" xfId="19" applyFont="1" applyFill="1" applyBorder="1" applyAlignment="1">
      <alignment horizontal="center"/>
    </xf>
    <xf numFmtId="0" fontId="20" fillId="0" borderId="32" xfId="19" applyFont="1" applyBorder="1" applyAlignment="1">
      <alignment horizontal="center"/>
    </xf>
    <xf numFmtId="0" fontId="20" fillId="0" borderId="30" xfId="19" applyFont="1" applyBorder="1" applyAlignment="1">
      <alignment horizontal="center"/>
    </xf>
    <xf numFmtId="0" fontId="20" fillId="10" borderId="11" xfId="19" applyFont="1" applyFill="1" applyBorder="1" applyAlignment="1">
      <alignment horizontal="center"/>
    </xf>
    <xf numFmtId="165" fontId="17" fillId="10" borderId="11" xfId="21" applyNumberFormat="1" applyFill="1" applyBorder="1" applyAlignment="1"/>
    <xf numFmtId="165" fontId="17" fillId="10" borderId="0" xfId="21" applyNumberFormat="1" applyFill="1" applyAlignment="1"/>
    <xf numFmtId="14" fontId="17" fillId="0" borderId="30" xfId="21" applyNumberFormat="1" applyBorder="1" applyAlignment="1">
      <alignment horizontal="center"/>
    </xf>
    <xf numFmtId="14" fontId="17" fillId="0" borderId="32" xfId="21" applyNumberFormat="1" applyBorder="1" applyAlignment="1">
      <alignment horizontal="center"/>
    </xf>
    <xf numFmtId="14" fontId="17" fillId="0" borderId="34" xfId="21" applyNumberFormat="1" applyBorder="1" applyAlignment="1">
      <alignment horizontal="center"/>
    </xf>
    <xf numFmtId="0" fontId="20" fillId="13" borderId="0" xfId="19" applyFont="1" applyFill="1"/>
    <xf numFmtId="0" fontId="20" fillId="13" borderId="14" xfId="19" applyFont="1" applyFill="1" applyBorder="1"/>
    <xf numFmtId="0" fontId="20" fillId="13" borderId="11" xfId="19" applyFont="1" applyFill="1" applyBorder="1"/>
    <xf numFmtId="44" fontId="20" fillId="10" borderId="11" xfId="20" applyFont="1" applyFill="1" applyBorder="1"/>
    <xf numFmtId="44" fontId="20" fillId="10" borderId="0" xfId="20" applyFont="1" applyFill="1" applyBorder="1"/>
    <xf numFmtId="44" fontId="20" fillId="10" borderId="14" xfId="20" applyFont="1" applyFill="1" applyBorder="1"/>
    <xf numFmtId="0" fontId="0" fillId="0" borderId="33" xfId="0" applyBorder="1"/>
    <xf numFmtId="0" fontId="0" fillId="0" borderId="36" xfId="0" applyBorder="1"/>
    <xf numFmtId="0" fontId="0" fillId="0" borderId="27" xfId="0" applyBorder="1"/>
    <xf numFmtId="0" fontId="0" fillId="0" borderId="38" xfId="0" applyBorder="1"/>
    <xf numFmtId="0" fontId="19" fillId="0" borderId="27" xfId="0" applyFont="1" applyBorder="1"/>
    <xf numFmtId="0" fontId="0" fillId="0" borderId="39" xfId="0" applyBorder="1"/>
    <xf numFmtId="0" fontId="0" fillId="0" borderId="32" xfId="0" applyBorder="1"/>
    <xf numFmtId="0" fontId="0" fillId="0" borderId="7" xfId="0" applyBorder="1"/>
    <xf numFmtId="0" fontId="19" fillId="0" borderId="7" xfId="0" applyFont="1" applyBorder="1"/>
    <xf numFmtId="0" fontId="0" fillId="0" borderId="37" xfId="0" applyBorder="1"/>
    <xf numFmtId="0" fontId="19" fillId="0" borderId="33" xfId="0" applyFont="1" applyBorder="1"/>
    <xf numFmtId="0" fontId="21" fillId="0" borderId="0" xfId="0" applyFont="1"/>
    <xf numFmtId="0" fontId="21" fillId="0" borderId="33" xfId="0" applyFont="1" applyBorder="1"/>
    <xf numFmtId="0" fontId="21" fillId="0" borderId="9" xfId="0" applyFont="1" applyBorder="1"/>
    <xf numFmtId="0" fontId="0" fillId="11" borderId="0" xfId="0" applyFill="1"/>
    <xf numFmtId="0" fontId="19" fillId="11" borderId="0" xfId="0" applyFont="1" applyFill="1"/>
    <xf numFmtId="0" fontId="22" fillId="14" borderId="24" xfId="19" applyFont="1" applyFill="1" applyBorder="1"/>
    <xf numFmtId="0" fontId="22" fillId="14" borderId="25" xfId="19" applyFont="1" applyFill="1" applyBorder="1" applyAlignment="1">
      <alignment horizontal="center"/>
    </xf>
    <xf numFmtId="0" fontId="22" fillId="14" borderId="25" xfId="19" applyFont="1" applyFill="1" applyBorder="1"/>
    <xf numFmtId="0" fontId="22" fillId="14" borderId="19" xfId="19" applyFont="1" applyFill="1" applyBorder="1"/>
    <xf numFmtId="0" fontId="22" fillId="14" borderId="26" xfId="19" applyFont="1" applyFill="1" applyBorder="1"/>
    <xf numFmtId="0" fontId="22" fillId="12" borderId="21" xfId="19" applyFont="1" applyFill="1" applyBorder="1"/>
    <xf numFmtId="0" fontId="22" fillId="12" borderId="25" xfId="19" applyFont="1" applyFill="1" applyBorder="1"/>
    <xf numFmtId="0" fontId="22" fillId="14" borderId="11" xfId="19" applyFont="1" applyFill="1" applyBorder="1" applyAlignment="1">
      <alignment horizontal="center"/>
    </xf>
    <xf numFmtId="0" fontId="22" fillId="14" borderId="11" xfId="19" applyFont="1" applyFill="1" applyBorder="1"/>
    <xf numFmtId="0" fontId="22" fillId="14" borderId="24" xfId="19" applyFont="1" applyFill="1" applyBorder="1" applyAlignment="1">
      <alignment horizontal="center"/>
    </xf>
    <xf numFmtId="0" fontId="22" fillId="14" borderId="26" xfId="19" applyFont="1" applyFill="1" applyBorder="1" applyAlignment="1">
      <alignment horizontal="center"/>
    </xf>
    <xf numFmtId="0" fontId="20" fillId="0" borderId="0" xfId="0" applyFont="1"/>
    <xf numFmtId="0" fontId="20" fillId="0" borderId="14" xfId="0" applyFont="1" applyBorder="1"/>
    <xf numFmtId="0" fontId="20" fillId="0" borderId="11" xfId="0" applyFont="1" applyBorder="1"/>
    <xf numFmtId="0" fontId="20" fillId="0" borderId="38" xfId="0" applyFont="1" applyBorder="1"/>
    <xf numFmtId="0" fontId="20" fillId="0" borderId="27" xfId="0" applyFont="1" applyBorder="1"/>
    <xf numFmtId="0" fontId="20" fillId="0" borderId="39" xfId="0" applyFont="1" applyBorder="1"/>
    <xf numFmtId="0" fontId="20" fillId="0" borderId="32" xfId="0" applyFont="1" applyBorder="1"/>
    <xf numFmtId="0" fontId="20" fillId="0" borderId="33" xfId="0" applyFont="1" applyBorder="1"/>
    <xf numFmtId="0" fontId="20" fillId="0" borderId="36" xfId="0" applyFont="1" applyBorder="1"/>
    <xf numFmtId="0" fontId="20" fillId="0" borderId="7" xfId="0" applyFont="1" applyBorder="1"/>
    <xf numFmtId="0" fontId="20" fillId="0" borderId="37" xfId="0" applyFont="1" applyBorder="1"/>
    <xf numFmtId="0" fontId="20" fillId="11" borderId="0" xfId="0" applyFont="1" applyFill="1"/>
    <xf numFmtId="0" fontId="20" fillId="11" borderId="0" xfId="19" applyFont="1" applyFill="1"/>
    <xf numFmtId="0" fontId="23" fillId="0" borderId="27" xfId="0" applyFont="1" applyBorder="1"/>
    <xf numFmtId="0" fontId="22" fillId="14" borderId="24" xfId="19" applyFont="1" applyFill="1" applyBorder="1" applyAlignment="1">
      <alignment horizontal="center" vertical="center"/>
    </xf>
    <xf numFmtId="0" fontId="22" fillId="14" borderId="25" xfId="19" applyFont="1" applyFill="1" applyBorder="1" applyAlignment="1">
      <alignment horizontal="center" vertical="center"/>
    </xf>
    <xf numFmtId="0" fontId="22" fillId="14" borderId="26" xfId="19" applyFont="1" applyFill="1" applyBorder="1" applyAlignment="1">
      <alignment horizontal="center" vertical="center" wrapText="1"/>
    </xf>
    <xf numFmtId="43" fontId="20" fillId="0" borderId="17" xfId="18" applyFont="1" applyBorder="1"/>
    <xf numFmtId="43" fontId="20" fillId="0" borderId="15" xfId="18" applyFont="1" applyBorder="1"/>
    <xf numFmtId="43" fontId="20" fillId="0" borderId="12" xfId="18" applyFont="1" applyBorder="1"/>
    <xf numFmtId="43" fontId="20" fillId="0" borderId="11" xfId="18" applyFont="1" applyBorder="1"/>
    <xf numFmtId="43" fontId="20" fillId="0" borderId="0" xfId="18" applyFont="1" applyBorder="1"/>
    <xf numFmtId="43" fontId="20" fillId="0" borderId="14" xfId="18" applyFont="1" applyBorder="1"/>
    <xf numFmtId="0" fontId="20" fillId="0" borderId="25" xfId="0" applyFont="1" applyBorder="1"/>
    <xf numFmtId="43" fontId="20" fillId="0" borderId="25" xfId="18" applyFont="1" applyBorder="1"/>
    <xf numFmtId="0" fontId="20" fillId="0" borderId="0" xfId="0" applyFont="1" applyAlignment="1">
      <alignment horizontal="center"/>
    </xf>
    <xf numFmtId="0" fontId="20" fillId="0" borderId="11" xfId="0" applyFont="1" applyBorder="1" applyAlignment="1">
      <alignment horizontal="center"/>
    </xf>
    <xf numFmtId="43" fontId="20" fillId="0" borderId="17" xfId="18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43" fontId="20" fillId="0" borderId="15" xfId="18" applyFont="1" applyBorder="1" applyAlignment="1">
      <alignment horizontal="center"/>
    </xf>
    <xf numFmtId="43" fontId="20" fillId="0" borderId="26" xfId="18" applyFont="1" applyBorder="1" applyAlignment="1">
      <alignment horizontal="center"/>
    </xf>
    <xf numFmtId="43" fontId="20" fillId="0" borderId="23" xfId="18" applyFont="1" applyBorder="1" applyAlignment="1"/>
    <xf numFmtId="0" fontId="22" fillId="14" borderId="24" xfId="19" applyFont="1" applyFill="1" applyBorder="1" applyAlignment="1">
      <alignment horizontal="center" vertical="center" wrapText="1"/>
    </xf>
    <xf numFmtId="0" fontId="18" fillId="11" borderId="0" xfId="19" applyFont="1" applyFill="1" applyAlignment="1">
      <alignment wrapText="1"/>
    </xf>
    <xf numFmtId="43" fontId="20" fillId="11" borderId="0" xfId="18" applyFont="1" applyFill="1" applyBorder="1" applyAlignment="1"/>
    <xf numFmtId="0" fontId="22" fillId="14" borderId="10" xfId="19" applyFont="1" applyFill="1" applyBorder="1" applyAlignment="1">
      <alignment horizontal="center" vertical="center"/>
    </xf>
    <xf numFmtId="0" fontId="22" fillId="14" borderId="28" xfId="19" applyFont="1" applyFill="1" applyBorder="1" applyAlignment="1">
      <alignment horizontal="center" vertical="center"/>
    </xf>
    <xf numFmtId="0" fontId="20" fillId="9" borderId="36" xfId="0" applyFont="1" applyFill="1" applyBorder="1"/>
    <xf numFmtId="0" fontId="20" fillId="9" borderId="7" xfId="0" applyFont="1" applyFill="1" applyBorder="1"/>
    <xf numFmtId="0" fontId="20" fillId="9" borderId="37" xfId="0" applyFont="1" applyFill="1" applyBorder="1"/>
    <xf numFmtId="0" fontId="19" fillId="0" borderId="38" xfId="0" applyFont="1" applyBorder="1"/>
    <xf numFmtId="0" fontId="19" fillId="0" borderId="39" xfId="0" applyFont="1" applyBorder="1"/>
    <xf numFmtId="0" fontId="19" fillId="0" borderId="32" xfId="0" applyFont="1" applyBorder="1"/>
    <xf numFmtId="0" fontId="19" fillId="0" borderId="36" xfId="0" applyFont="1" applyBorder="1"/>
    <xf numFmtId="0" fontId="19" fillId="0" borderId="37" xfId="0" applyFont="1" applyBorder="1"/>
    <xf numFmtId="0" fontId="22" fillId="14" borderId="12" xfId="19" applyFont="1" applyFill="1" applyBorder="1" applyAlignment="1">
      <alignment horizontal="center"/>
    </xf>
    <xf numFmtId="44" fontId="20" fillId="0" borderId="17" xfId="20" applyFont="1" applyFill="1" applyBorder="1" applyAlignment="1">
      <alignment horizontal="center"/>
    </xf>
    <xf numFmtId="44" fontId="20" fillId="0" borderId="15" xfId="20" applyFont="1" applyFill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2" fillId="14" borderId="19" xfId="19" applyFont="1" applyFill="1" applyBorder="1" applyAlignment="1">
      <alignment horizontal="center"/>
    </xf>
    <xf numFmtId="0" fontId="22" fillId="12" borderId="25" xfId="19" applyFont="1" applyFill="1" applyBorder="1" applyAlignment="1">
      <alignment horizontal="center"/>
    </xf>
    <xf numFmtId="14" fontId="20" fillId="0" borderId="30" xfId="19" applyNumberFormat="1" applyFont="1" applyBorder="1" applyAlignment="1">
      <alignment horizontal="center"/>
    </xf>
    <xf numFmtId="164" fontId="20" fillId="10" borderId="11" xfId="19" applyNumberFormat="1" applyFont="1" applyFill="1" applyBorder="1" applyAlignment="1">
      <alignment horizontal="center"/>
    </xf>
    <xf numFmtId="14" fontId="20" fillId="0" borderId="32" xfId="19" applyNumberFormat="1" applyFont="1" applyBorder="1" applyAlignment="1">
      <alignment horizontal="center"/>
    </xf>
    <xf numFmtId="164" fontId="20" fillId="10" borderId="0" xfId="19" applyNumberFormat="1" applyFont="1" applyFill="1" applyAlignment="1">
      <alignment horizontal="center"/>
    </xf>
    <xf numFmtId="14" fontId="20" fillId="0" borderId="34" xfId="19" applyNumberFormat="1" applyFont="1" applyBorder="1" applyAlignment="1">
      <alignment horizontal="center"/>
    </xf>
    <xf numFmtId="164" fontId="20" fillId="10" borderId="14" xfId="19" applyNumberFormat="1" applyFont="1" applyFill="1" applyBorder="1" applyAlignment="1">
      <alignment horizontal="center"/>
    </xf>
    <xf numFmtId="0" fontId="22" fillId="12" borderId="21" xfId="19" applyFont="1" applyFill="1" applyBorder="1" applyAlignment="1">
      <alignment horizontal="center"/>
    </xf>
    <xf numFmtId="164" fontId="17" fillId="10" borderId="11" xfId="21" applyNumberFormat="1" applyFill="1" applyBorder="1" applyAlignment="1">
      <alignment horizontal="center"/>
    </xf>
    <xf numFmtId="164" fontId="17" fillId="10" borderId="31" xfId="21" applyNumberFormat="1" applyFill="1" applyBorder="1" applyAlignment="1">
      <alignment horizontal="center"/>
    </xf>
    <xf numFmtId="164" fontId="17" fillId="10" borderId="0" xfId="21" applyNumberFormat="1" applyFill="1" applyAlignment="1">
      <alignment horizontal="center"/>
    </xf>
    <xf numFmtId="164" fontId="17" fillId="10" borderId="33" xfId="21" applyNumberFormat="1" applyFill="1" applyBorder="1" applyAlignment="1">
      <alignment horizontal="center"/>
    </xf>
    <xf numFmtId="164" fontId="17" fillId="10" borderId="14" xfId="21" applyNumberFormat="1" applyFill="1" applyBorder="1" applyAlignment="1">
      <alignment horizontal="center"/>
    </xf>
    <xf numFmtId="164" fontId="17" fillId="10" borderId="35" xfId="21" applyNumberFormat="1" applyFill="1" applyBorder="1" applyAlignment="1">
      <alignment horizontal="center"/>
    </xf>
    <xf numFmtId="14" fontId="20" fillId="0" borderId="10" xfId="19" applyNumberFormat="1" applyFont="1" applyBorder="1" applyAlignment="1">
      <alignment horizontal="center"/>
    </xf>
    <xf numFmtId="14" fontId="20" fillId="0" borderId="16" xfId="19" applyNumberFormat="1" applyFont="1" applyBorder="1" applyAlignment="1">
      <alignment horizontal="center"/>
    </xf>
    <xf numFmtId="14" fontId="20" fillId="0" borderId="13" xfId="19" applyNumberFormat="1" applyFont="1" applyBorder="1" applyAlignment="1">
      <alignment horizontal="center"/>
    </xf>
    <xf numFmtId="0" fontId="22" fillId="14" borderId="10" xfId="19" applyFont="1" applyFill="1" applyBorder="1" applyAlignment="1">
      <alignment horizontal="center"/>
    </xf>
    <xf numFmtId="0" fontId="24" fillId="9" borderId="33" xfId="0" applyFont="1" applyFill="1" applyBorder="1"/>
    <xf numFmtId="0" fontId="19" fillId="0" borderId="0" xfId="0" applyFont="1" applyAlignment="1">
      <alignment horizontal="center"/>
    </xf>
    <xf numFmtId="0" fontId="25" fillId="0" borderId="0" xfId="22" applyFont="1"/>
    <xf numFmtId="0" fontId="1" fillId="0" borderId="14" xfId="19" applyBorder="1" applyAlignment="1">
      <alignment horizontal="center"/>
    </xf>
    <xf numFmtId="0" fontId="1" fillId="0" borderId="0" xfId="19" applyAlignment="1">
      <alignment horizontal="center"/>
    </xf>
    <xf numFmtId="0" fontId="19" fillId="0" borderId="0" xfId="19" applyFont="1" applyAlignment="1">
      <alignment horizontal="center"/>
    </xf>
    <xf numFmtId="0" fontId="26" fillId="9" borderId="33" xfId="0" applyFont="1" applyFill="1" applyBorder="1"/>
    <xf numFmtId="0" fontId="19" fillId="9" borderId="0" xfId="0" applyFont="1" applyFill="1"/>
    <xf numFmtId="14" fontId="17" fillId="9" borderId="0" xfId="21" applyNumberFormat="1" applyFill="1" applyAlignment="1"/>
    <xf numFmtId="44" fontId="20" fillId="0" borderId="0" xfId="20" applyFont="1" applyBorder="1"/>
    <xf numFmtId="44" fontId="20" fillId="0" borderId="17" xfId="20" applyFont="1" applyBorder="1"/>
    <xf numFmtId="0" fontId="20" fillId="0" borderId="0" xfId="22" applyFont="1"/>
    <xf numFmtId="0" fontId="20" fillId="0" borderId="14" xfId="22" applyFont="1" applyBorder="1"/>
    <xf numFmtId="0" fontId="19" fillId="9" borderId="14" xfId="0" applyFont="1" applyFill="1" applyBorder="1"/>
    <xf numFmtId="14" fontId="17" fillId="9" borderId="14" xfId="21" applyNumberFormat="1" applyFill="1" applyBorder="1" applyAlignment="1"/>
    <xf numFmtId="44" fontId="20" fillId="0" borderId="15" xfId="20" applyFont="1" applyBorder="1"/>
    <xf numFmtId="0" fontId="19" fillId="9" borderId="11" xfId="0" applyFont="1" applyFill="1" applyBorder="1"/>
    <xf numFmtId="0" fontId="25" fillId="0" borderId="14" xfId="19" applyFont="1" applyBorder="1"/>
    <xf numFmtId="44" fontId="20" fillId="0" borderId="0" xfId="20" applyFont="1" applyBorder="1" applyAlignment="1">
      <alignment horizontal="center"/>
    </xf>
    <xf numFmtId="0" fontId="25" fillId="0" borderId="0" xfId="19" applyFont="1"/>
    <xf numFmtId="44" fontId="20" fillId="0" borderId="14" xfId="20" applyFont="1" applyBorder="1" applyAlignment="1">
      <alignment horizontal="center"/>
    </xf>
    <xf numFmtId="0" fontId="20" fillId="9" borderId="0" xfId="19" applyFont="1" applyFill="1" applyAlignment="1">
      <alignment horizontal="center"/>
    </xf>
    <xf numFmtId="43" fontId="0" fillId="0" borderId="0" xfId="0" applyNumberFormat="1"/>
    <xf numFmtId="0" fontId="0" fillId="0" borderId="0" xfId="0" pivotButton="1"/>
    <xf numFmtId="169" fontId="0" fillId="0" borderId="0" xfId="0" applyNumberFormat="1"/>
    <xf numFmtId="14" fontId="0" fillId="0" borderId="0" xfId="0" applyNumberFormat="1"/>
    <xf numFmtId="43" fontId="0" fillId="0" borderId="0" xfId="18" applyFont="1"/>
    <xf numFmtId="14" fontId="0" fillId="0" borderId="0" xfId="18" applyNumberFormat="1" applyFont="1"/>
    <xf numFmtId="2" fontId="0" fillId="0" borderId="0" xfId="0" applyNumberFormat="1"/>
    <xf numFmtId="1" fontId="0" fillId="0" borderId="0" xfId="0" applyNumberFormat="1"/>
    <xf numFmtId="169" fontId="0" fillId="0" borderId="0" xfId="18" applyNumberFormat="1" applyFont="1"/>
    <xf numFmtId="0" fontId="19" fillId="0" borderId="0" xfId="0" applyFont="1" applyAlignment="1">
      <alignment horizontal="center"/>
    </xf>
    <xf numFmtId="0" fontId="20" fillId="0" borderId="0" xfId="19" applyFont="1" applyAlignment="1">
      <alignment horizontal="center"/>
    </xf>
    <xf numFmtId="0" fontId="0" fillId="11" borderId="0" xfId="0" applyFill="1"/>
    <xf numFmtId="0" fontId="22" fillId="14" borderId="11" xfId="19" applyFont="1" applyFill="1" applyBorder="1" applyAlignment="1">
      <alignment horizontal="center"/>
    </xf>
    <xf numFmtId="0" fontId="21" fillId="0" borderId="38" xfId="0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1" fillId="0" borderId="39" xfId="0" applyFont="1" applyBorder="1" applyAlignment="1">
      <alignment horizontal="center"/>
    </xf>
    <xf numFmtId="0" fontId="20" fillId="0" borderId="14" xfId="19" applyFont="1" applyBorder="1" applyAlignment="1">
      <alignment horizontal="center"/>
    </xf>
    <xf numFmtId="0" fontId="0" fillId="11" borderId="7" xfId="0" applyFill="1" applyBorder="1"/>
    <xf numFmtId="0" fontId="0" fillId="0" borderId="27" xfId="0" applyBorder="1"/>
    <xf numFmtId="0" fontId="21" fillId="0" borderId="0" xfId="0" applyFont="1"/>
    <xf numFmtId="0" fontId="20" fillId="0" borderId="0" xfId="19" applyFont="1"/>
    <xf numFmtId="0" fontId="20" fillId="0" borderId="33" xfId="19" applyFont="1" applyBorder="1"/>
    <xf numFmtId="0" fontId="21" fillId="0" borderId="7" xfId="0" applyFont="1" applyBorder="1"/>
    <xf numFmtId="0" fontId="21" fillId="0" borderId="20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2" fillId="14" borderId="25" xfId="19" applyFont="1" applyFill="1" applyBorder="1"/>
    <xf numFmtId="0" fontId="22" fillId="14" borderId="21" xfId="19" applyFont="1" applyFill="1" applyBorder="1"/>
    <xf numFmtId="0" fontId="20" fillId="0" borderId="11" xfId="19" applyFont="1" applyBorder="1"/>
    <xf numFmtId="0" fontId="20" fillId="0" borderId="31" xfId="19" applyFont="1" applyBorder="1"/>
    <xf numFmtId="0" fontId="20" fillId="0" borderId="14" xfId="19" applyFont="1" applyBorder="1"/>
    <xf numFmtId="0" fontId="20" fillId="0" borderId="35" xfId="19" applyFont="1" applyBorder="1"/>
    <xf numFmtId="0" fontId="20" fillId="0" borderId="14" xfId="0" applyFont="1" applyBorder="1"/>
    <xf numFmtId="0" fontId="0" fillId="0" borderId="40" xfId="0" applyBorder="1"/>
    <xf numFmtId="0" fontId="0" fillId="11" borderId="27" xfId="0" applyFill="1" applyBorder="1"/>
    <xf numFmtId="0" fontId="20" fillId="11" borderId="0" xfId="0" applyFont="1" applyFill="1"/>
    <xf numFmtId="0" fontId="20" fillId="0" borderId="27" xfId="0" applyFont="1" applyBorder="1"/>
    <xf numFmtId="0" fontId="22" fillId="14" borderId="24" xfId="19" applyFont="1" applyFill="1" applyBorder="1" applyAlignment="1">
      <alignment horizontal="center" vertical="center"/>
    </xf>
    <xf numFmtId="0" fontId="22" fillId="14" borderId="25" xfId="19" applyFont="1" applyFill="1" applyBorder="1" applyAlignment="1">
      <alignment horizontal="center" vertical="center"/>
    </xf>
    <xf numFmtId="43" fontId="20" fillId="0" borderId="11" xfId="18" applyFont="1" applyBorder="1" applyAlignment="1"/>
    <xf numFmtId="43" fontId="20" fillId="0" borderId="12" xfId="18" applyFont="1" applyBorder="1" applyAlignment="1"/>
    <xf numFmtId="43" fontId="20" fillId="0" borderId="0" xfId="18" applyFont="1" applyBorder="1" applyAlignment="1"/>
    <xf numFmtId="43" fontId="20" fillId="0" borderId="17" xfId="18" applyFont="1" applyBorder="1" applyAlignment="1"/>
    <xf numFmtId="43" fontId="20" fillId="0" borderId="14" xfId="18" applyFont="1" applyBorder="1" applyAlignment="1"/>
    <xf numFmtId="43" fontId="20" fillId="0" borderId="15" xfId="18" applyFont="1" applyBorder="1" applyAlignment="1"/>
    <xf numFmtId="43" fontId="20" fillId="0" borderId="25" xfId="18" applyFont="1" applyBorder="1" applyAlignment="1"/>
    <xf numFmtId="43" fontId="20" fillId="0" borderId="26" xfId="18" applyFont="1" applyBorder="1" applyAlignment="1"/>
    <xf numFmtId="0" fontId="20" fillId="9" borderId="40" xfId="0" applyFont="1" applyFill="1" applyBorder="1"/>
  </cellXfs>
  <cellStyles count="43">
    <cellStyle name="Bad" xfId="6" builtinId="27" customBuiltin="1"/>
    <cellStyle name="Bad 2" xfId="30" xr:uid="{00000000-0005-0000-0000-000001000000}"/>
    <cellStyle name="Calculation" xfId="10" builtinId="22" customBuiltin="1"/>
    <cellStyle name="Calculation 2" xfId="34" xr:uid="{00000000-0005-0000-0000-000003000000}"/>
    <cellStyle name="Check Cell" xfId="12" builtinId="23" customBuiltin="1"/>
    <cellStyle name="Check Cell 2" xfId="36" xr:uid="{00000000-0005-0000-0000-000005000000}"/>
    <cellStyle name="Comma" xfId="18" builtinId="3"/>
    <cellStyle name="Comma 2" xfId="23" xr:uid="{00000000-0005-0000-0000-000007000000}"/>
    <cellStyle name="Comma 3" xfId="42" xr:uid="{00000000-0005-0000-0000-000008000000}"/>
    <cellStyle name="Currency 2" xfId="20" xr:uid="{00000000-0005-0000-0000-000009000000}"/>
    <cellStyle name="Explanatory Text" xfId="15" builtinId="53" customBuiltin="1"/>
    <cellStyle name="Explanatory Text 2" xfId="39" xr:uid="{00000000-0005-0000-0000-00000B000000}"/>
    <cellStyle name="Good" xfId="5" builtinId="26" customBuiltin="1"/>
    <cellStyle name="Good 2" xfId="29" xr:uid="{00000000-0005-0000-0000-00000D000000}"/>
    <cellStyle name="Heading 1" xfId="1" builtinId="16" customBuiltin="1"/>
    <cellStyle name="Heading 1 2" xfId="25" xr:uid="{00000000-0005-0000-0000-00000F000000}"/>
    <cellStyle name="Heading 2" xfId="2" builtinId="17" customBuiltin="1"/>
    <cellStyle name="Heading 2 2" xfId="26" xr:uid="{00000000-0005-0000-0000-000011000000}"/>
    <cellStyle name="Heading 3" xfId="3" builtinId="18" customBuiltin="1"/>
    <cellStyle name="Heading 3 2" xfId="27" xr:uid="{00000000-0005-0000-0000-000013000000}"/>
    <cellStyle name="Heading 4" xfId="4" builtinId="19" customBuiltin="1"/>
    <cellStyle name="Heading 4 2" xfId="28" xr:uid="{00000000-0005-0000-0000-000015000000}"/>
    <cellStyle name="Input" xfId="8" builtinId="20" customBuiltin="1"/>
    <cellStyle name="Input 2" xfId="32" xr:uid="{00000000-0005-0000-0000-000017000000}"/>
    <cellStyle name="Linked Cell" xfId="11" builtinId="24" customBuiltin="1"/>
    <cellStyle name="Linked Cell 2" xfId="35" xr:uid="{00000000-0005-0000-0000-000019000000}"/>
    <cellStyle name="Neutral" xfId="7" builtinId="28" customBuiltin="1"/>
    <cellStyle name="Neutral 2" xfId="31" xr:uid="{00000000-0005-0000-0000-00001B000000}"/>
    <cellStyle name="Normal" xfId="0" builtinId="0" customBuiltin="1"/>
    <cellStyle name="Normal 2" xfId="21" xr:uid="{00000000-0005-0000-0000-00001D000000}"/>
    <cellStyle name="Normal 3" xfId="24" xr:uid="{00000000-0005-0000-0000-00001E000000}"/>
    <cellStyle name="Normal 4" xfId="19" xr:uid="{00000000-0005-0000-0000-00001F000000}"/>
    <cellStyle name="Normal 7" xfId="22" xr:uid="{00000000-0005-0000-0000-000020000000}"/>
    <cellStyle name="Note" xfId="14" builtinId="10" customBuiltin="1"/>
    <cellStyle name="Note 2" xfId="38" xr:uid="{00000000-0005-0000-0000-000022000000}"/>
    <cellStyle name="Output" xfId="9" builtinId="21" customBuiltin="1"/>
    <cellStyle name="Output 2" xfId="33" xr:uid="{00000000-0005-0000-0000-000024000000}"/>
    <cellStyle name="Title" xfId="17" builtinId="15" customBuiltin="1"/>
    <cellStyle name="Title 2" xfId="41" xr:uid="{00000000-0005-0000-0000-000026000000}"/>
    <cellStyle name="Total" xfId="16" builtinId="25" customBuiltin="1"/>
    <cellStyle name="Total 2" xfId="40" xr:uid="{00000000-0005-0000-0000-000028000000}"/>
    <cellStyle name="Warning Text" xfId="13" builtinId="11" customBuiltin="1"/>
    <cellStyle name="Warning Text 2" xfId="37" xr:uid="{00000000-0005-0000-0000-00002A000000}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335193</xdr:colOff>
      <xdr:row>28</xdr:row>
      <xdr:rowOff>11138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571500" y="165100"/>
          <a:ext cx="7764693" cy="4468838"/>
          <a:chOff x="444421" y="1164228"/>
          <a:chExt cx="8253643" cy="4376763"/>
        </a:xfrm>
      </xdr:grpSpPr>
      <xdr:sp macro="" textlink="">
        <xdr:nvSpPr>
          <xdr:cNvPr id="60" name="Rounded Rectangle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 bwMode="auto">
          <a:xfrm>
            <a:off x="6685591" y="1196670"/>
            <a:ext cx="2011680" cy="4344321"/>
          </a:xfrm>
          <a:prstGeom prst="roundRect">
            <a:avLst/>
          </a:prstGeom>
          <a:solidFill>
            <a:srgbClr val="FFE600">
              <a:lumMod val="20000"/>
              <a:lumOff val="80000"/>
            </a:srgbClr>
          </a:solidFill>
          <a:ln w="6350" cap="flat" cmpd="sng" algn="ctr">
            <a:solidFill>
              <a:srgbClr val="80808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300"/>
              </a:spcAft>
              <a:buClr>
                <a:srgbClr val="FFE600"/>
              </a:buClr>
              <a:buSzPct val="75000"/>
              <a:buFont typeface="Arial" charset="0"/>
              <a:buChar char="►"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EYInterstate Light" panose="02000506000000020004" pitchFamily="2" charset="0"/>
              <a:cs typeface="Arial" pitchFamily="34" charset="0"/>
            </a:endParaRPr>
          </a:p>
          <a:p>
            <a:pPr marL="114300" marR="0" lvl="1" indent="-11430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300"/>
              </a:spcAft>
              <a:buClr>
                <a:srgbClr val="FFE600"/>
              </a:buClr>
              <a:buSzPct val="75000"/>
              <a:buFont typeface="Arial" charset="0"/>
              <a:buChar char="►"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EYInterstate Light" panose="02000506000000020004" pitchFamily="2" charset="0"/>
              <a:cs typeface="Arial" pitchFamily="34" charset="0"/>
            </a:endParaRPr>
          </a:p>
          <a:p>
            <a:pPr marL="114300" marR="0" lvl="1" indent="-11430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300"/>
              </a:spcAft>
              <a:buClr>
                <a:srgbClr val="FFE600"/>
              </a:buClr>
              <a:buSzPct val="75000"/>
              <a:buFont typeface="Arial" charset="0"/>
              <a:buChar char="►"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EYInterstate Light" panose="02000506000000020004" pitchFamily="2" charset="0"/>
              <a:cs typeface="Arial" pitchFamily="34" charset="0"/>
            </a:endParaRPr>
          </a:p>
          <a:p>
            <a:pPr marL="114300" marR="0" lvl="1" indent="-11430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30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EYInterstate Light" panose="02000506000000020004" pitchFamily="2" charset="0"/>
              <a:cs typeface="Arial" pitchFamily="34" charset="0"/>
            </a:endParaRPr>
          </a:p>
        </xdr:txBody>
      </xdr:sp>
      <xdr:sp macro="" textlink="">
        <xdr:nvSpPr>
          <xdr:cNvPr id="61" name="Rounded Rectangle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 bwMode="auto">
          <a:xfrm>
            <a:off x="6686384" y="1166656"/>
            <a:ext cx="2011680" cy="320040"/>
          </a:xfrm>
          <a:prstGeom prst="roundRect">
            <a:avLst/>
          </a:prstGeom>
          <a:solidFill>
            <a:srgbClr val="808080">
              <a:lumMod val="75000"/>
            </a:srgbClr>
          </a:solidFill>
          <a:ln w="38100">
            <a:solidFill>
              <a:srgbClr val="808080">
                <a:lumMod val="75000"/>
              </a:srgbClr>
            </a:solidFill>
            <a:round/>
            <a:headEnd/>
            <a:tailEnd/>
          </a:ln>
          <a:effectLst/>
        </xdr:spPr>
        <xdr:txBody>
          <a:bodyPr wrap="square" lIns="45712" tIns="45712" rIns="45712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kumimoji="0" lang="en-US" sz="1400" b="1" i="0" u="none" strike="noStrike" kern="0" cap="none" spc="0" normalizeH="0" baseline="0">
                <a:ln>
                  <a:noFill/>
                </a:ln>
                <a:solidFill>
                  <a:srgbClr val="FFE600">
                    <a:lumMod val="60000"/>
                    <a:lumOff val="40000"/>
                  </a:srgbClr>
                </a:solidFill>
                <a:effectLst/>
                <a:uLnTx/>
                <a:uFillTx/>
                <a:latin typeface="EYInterstate Light" panose="02000506000000020004" pitchFamily="2" charset="0"/>
              </a:rPr>
              <a:t>Netting Set Level</a:t>
            </a:r>
          </a:p>
        </xdr:txBody>
      </xdr:sp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GrpSpPr/>
        </xdr:nvGrpSpPr>
        <xdr:grpSpPr>
          <a:xfrm>
            <a:off x="444421" y="1164228"/>
            <a:ext cx="6483037" cy="1757010"/>
            <a:chOff x="457200" y="2627317"/>
            <a:chExt cx="6483037" cy="1757010"/>
          </a:xfrm>
        </xdr:grpSpPr>
        <xdr:sp macro="" textlink="">
          <xdr:nvSpPr>
            <xdr:cNvPr id="91" name="Rounded Rectangle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/>
          </xdr:nvSpPr>
          <xdr:spPr bwMode="auto">
            <a:xfrm>
              <a:off x="457200" y="2657331"/>
              <a:ext cx="2011680" cy="1726996"/>
            </a:xfrm>
            <a:prstGeom prst="roundRect">
              <a:avLst/>
            </a:prstGeom>
            <a:solidFill>
              <a:srgbClr val="F1F1F1"/>
            </a:solidFill>
            <a:ln w="6350" cap="flat" cmpd="sng" algn="ctr">
              <a:solidFill>
                <a:srgbClr val="80808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 typeface="Arial" charset="0"/>
                <a:buChar char="►"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 typeface="Arial" charset="0"/>
                <a:buChar char="►"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 typeface="Arial" charset="0"/>
                <a:buChar char="►"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</xdr:txBody>
        </xdr:sp>
        <xdr:sp macro="" textlink="">
          <xdr:nvSpPr>
            <xdr:cNvPr id="92" name="Rounded Rectangle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/>
          </xdr:nvSpPr>
          <xdr:spPr bwMode="auto">
            <a:xfrm>
              <a:off x="2533989" y="2657331"/>
              <a:ext cx="2011680" cy="1726996"/>
            </a:xfrm>
            <a:prstGeom prst="roundRect">
              <a:avLst/>
            </a:prstGeom>
            <a:solidFill>
              <a:srgbClr val="F1F1F1"/>
            </a:solidFill>
            <a:ln w="6350" cap="flat" cmpd="sng" algn="ctr">
              <a:solidFill>
                <a:srgbClr val="80808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 typeface="Arial" charset="0"/>
                <a:buChar char="►"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 typeface="Arial" charset="0"/>
                <a:buChar char="►"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 typeface="Arial" charset="0"/>
                <a:buChar char="►"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</xdr:txBody>
        </xdr:sp>
        <xdr:sp macro="" textlink="">
          <xdr:nvSpPr>
            <xdr:cNvPr id="93" name="Rounded 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 bwMode="auto">
            <a:xfrm>
              <a:off x="457992" y="2627317"/>
              <a:ext cx="2011680" cy="320040"/>
            </a:xfrm>
            <a:prstGeom prst="roundRect">
              <a:avLst/>
            </a:prstGeom>
            <a:solidFill>
              <a:srgbClr val="808080"/>
            </a:solidFill>
            <a:ln w="38100">
              <a:solidFill>
                <a:srgbClr val="808080"/>
              </a:solidFill>
              <a:round/>
              <a:headEnd/>
              <a:tailEnd/>
            </a:ln>
            <a:effectLst/>
          </xdr:spPr>
          <xdr:txBody>
            <a:bodyPr wrap="square" lIns="45712" tIns="45712" rIns="45712" bIns="45712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marR="0" lvl="1" indent="-114300" algn="ctr" defTabSz="40005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FFE600"/>
                </a:buClr>
                <a:buSzPct val="75000"/>
                <a:buFontTx/>
                <a:buNone/>
                <a:tabLst/>
                <a:defRPr/>
              </a:pPr>
              <a:r>
                <a:rPr kumimoji="0" lang="en-US" sz="1400" b="1" i="0" u="none" strike="noStrike" kern="0" cap="none" spc="0" normalizeH="0" baseline="0">
                  <a:ln>
                    <a:noFill/>
                  </a:ln>
                  <a:solidFill>
                    <a:srgbClr val="FFE600">
                      <a:lumMod val="60000"/>
                      <a:lumOff val="40000"/>
                    </a:srgbClr>
                  </a:solidFill>
                  <a:effectLst/>
                  <a:uLnTx/>
                  <a:uFillTx/>
                  <a:latin typeface="EYInterstate Light" panose="02000506000000020004" pitchFamily="2" charset="0"/>
                </a:rPr>
                <a:t>Trade Level</a:t>
              </a:r>
            </a:p>
          </xdr:txBody>
        </xdr:sp>
        <xdr:sp macro="" textlink="">
          <xdr:nvSpPr>
            <xdr:cNvPr id="94" name="Rounded Rectangle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 bwMode="auto">
            <a:xfrm>
              <a:off x="2534782" y="2627317"/>
              <a:ext cx="2011680" cy="320040"/>
            </a:xfrm>
            <a:prstGeom prst="roundRect">
              <a:avLst/>
            </a:prstGeom>
            <a:solidFill>
              <a:srgbClr val="808080"/>
            </a:solidFill>
            <a:ln w="38100">
              <a:solidFill>
                <a:srgbClr val="808080"/>
              </a:solidFill>
              <a:round/>
              <a:headEnd/>
              <a:tailEnd/>
            </a:ln>
            <a:effectLst/>
          </xdr:spPr>
          <xdr:txBody>
            <a:bodyPr wrap="square" lIns="45712" tIns="45712" rIns="45712" bIns="45712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marR="0" lvl="1" indent="-114300" algn="ctr" defTabSz="40005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FFE600"/>
                </a:buClr>
                <a:buSzPct val="75000"/>
                <a:buFontTx/>
                <a:buNone/>
                <a:tabLst/>
                <a:defRPr/>
              </a:pPr>
              <a:r>
                <a:rPr kumimoji="0" lang="en-US" sz="1400" b="1" i="0" u="none" strike="noStrike" kern="0" cap="none" spc="0" normalizeH="0" baseline="0">
                  <a:ln>
                    <a:noFill/>
                  </a:ln>
                  <a:solidFill>
                    <a:srgbClr val="FFE600">
                      <a:lumMod val="60000"/>
                      <a:lumOff val="40000"/>
                    </a:srgbClr>
                  </a:solidFill>
                  <a:effectLst/>
                  <a:uLnTx/>
                  <a:uFillTx/>
                  <a:latin typeface="EYInterstate Light" panose="02000506000000020004" pitchFamily="2" charset="0"/>
                </a:rPr>
                <a:t>Hedging Set </a:t>
              </a:r>
              <a:r>
                <a:rPr lang="en-US" sz="1400" b="1" kern="0">
                  <a:solidFill>
                    <a:srgbClr val="FFE600">
                      <a:lumMod val="60000"/>
                      <a:lumOff val="40000"/>
                    </a:srgbClr>
                  </a:solidFill>
                  <a:latin typeface="EYInterstate Light" panose="02000506000000020004" pitchFamily="2" charset="0"/>
                </a:rPr>
                <a:t>Level</a:t>
              </a:r>
              <a:endParaRPr kumimoji="0" lang="en-US" sz="1400" b="1" i="0" u="none" strike="noStrike" kern="0" cap="none" spc="0" normalizeH="0" baseline="0">
                <a:ln>
                  <a:noFill/>
                </a:ln>
                <a:solidFill>
                  <a:srgbClr val="FFE600">
                    <a:lumMod val="60000"/>
                    <a:lumOff val="40000"/>
                  </a:srgbClr>
                </a:solidFill>
                <a:effectLst/>
                <a:uLnTx/>
                <a:uFillTx/>
                <a:latin typeface="EYInterstate Light" panose="02000506000000020004" pitchFamily="2" charset="0"/>
              </a:endParaRPr>
            </a:p>
          </xdr:txBody>
        </xdr:sp>
        <xdr:sp macro="" textlink="">
          <xdr:nvSpPr>
            <xdr:cNvPr id="95" name="Rounded 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 bwMode="auto">
            <a:xfrm>
              <a:off x="4610778" y="2657331"/>
              <a:ext cx="2011680" cy="1726996"/>
            </a:xfrm>
            <a:prstGeom prst="roundRect">
              <a:avLst/>
            </a:prstGeom>
            <a:solidFill>
              <a:srgbClr val="F1F1F1"/>
            </a:solidFill>
            <a:ln w="6350" cap="flat" cmpd="sng" algn="ctr">
              <a:solidFill>
                <a:srgbClr val="80808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 typeface="Arial" charset="0"/>
                <a:buChar char="►"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 typeface="Arial" charset="0"/>
                <a:buChar char="►"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 typeface="Arial" charset="0"/>
                <a:buChar char="►"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  <a:p>
              <a:pPr marL="114300" marR="0" lvl="1" indent="-11430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300"/>
                </a:spcAft>
                <a:buClr>
                  <a:srgbClr val="FFE600"/>
                </a:buClr>
                <a:buSzPct val="75000"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rgbClr val="808080"/>
                </a:solidFill>
                <a:effectLst/>
                <a:uLnTx/>
                <a:uFillTx/>
                <a:latin typeface="EYInterstate Light" panose="02000506000000020004" pitchFamily="2" charset="0"/>
                <a:cs typeface="Arial" pitchFamily="34" charset="0"/>
              </a:endParaRPr>
            </a:p>
          </xdr:txBody>
        </xdr:sp>
        <xdr:sp macro="" textlink="">
          <xdr:nvSpPr>
            <xdr:cNvPr id="96" name="Rounded Rectangle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 bwMode="auto">
            <a:xfrm>
              <a:off x="4611572" y="2627317"/>
              <a:ext cx="2011680" cy="320040"/>
            </a:xfrm>
            <a:prstGeom prst="roundRect">
              <a:avLst/>
            </a:prstGeom>
            <a:solidFill>
              <a:srgbClr val="808080"/>
            </a:solidFill>
            <a:ln w="38100">
              <a:solidFill>
                <a:srgbClr val="808080"/>
              </a:solidFill>
              <a:round/>
              <a:headEnd/>
              <a:tailEnd/>
            </a:ln>
            <a:effectLst/>
          </xdr:spPr>
          <xdr:txBody>
            <a:bodyPr wrap="square" lIns="45712" tIns="45712" rIns="45712" bIns="45712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marR="0" lvl="1" indent="-114300" algn="ctr" defTabSz="40005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FFE600"/>
                </a:buClr>
                <a:buSzPct val="75000"/>
                <a:buFontTx/>
                <a:buNone/>
                <a:tabLst/>
                <a:defRPr/>
              </a:pPr>
              <a:r>
                <a:rPr kumimoji="0" lang="en-US" sz="1400" b="1" i="0" u="none" strike="noStrike" kern="0" cap="none" spc="0" normalizeH="0" baseline="0">
                  <a:ln>
                    <a:noFill/>
                  </a:ln>
                  <a:solidFill>
                    <a:srgbClr val="FFE600">
                      <a:lumMod val="60000"/>
                      <a:lumOff val="40000"/>
                    </a:srgbClr>
                  </a:solidFill>
                  <a:effectLst/>
                  <a:uLnTx/>
                  <a:uFillTx/>
                  <a:latin typeface="EYInterstate Light" panose="02000506000000020004" pitchFamily="2" charset="0"/>
                </a:rPr>
                <a:t>Asset Class Level</a:t>
              </a:r>
            </a:p>
          </xdr:txBody>
        </xdr:sp>
        <xdr:cxnSp macro="">
          <xdr:nvCxnSpPr>
            <xdr:cNvPr id="97" name="Straight Connector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CxnSpPr/>
          </xdr:nvCxnSpPr>
          <xdr:spPr>
            <a:xfrm>
              <a:off x="2359078" y="3254415"/>
              <a:ext cx="0" cy="486780"/>
            </a:xfrm>
            <a:prstGeom prst="line">
              <a:avLst/>
            </a:prstGeom>
            <a:noFill/>
            <a:ln w="38100" cap="flat" cmpd="sng" algn="ctr">
              <a:solidFill>
                <a:srgbClr val="FFE600"/>
              </a:solidFill>
              <a:prstDash val="solid"/>
              <a:tailEnd type="none"/>
            </a:ln>
            <a:effectLst/>
          </xdr:spPr>
        </xdr:cxnSp>
        <xdr:cxnSp macro="">
          <xdr:nvCxnSpPr>
            <xdr:cNvPr id="98" name="Straight Arrow Connector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CxnSpPr/>
          </xdr:nvCxnSpPr>
          <xdr:spPr>
            <a:xfrm>
              <a:off x="3567918" y="3177032"/>
              <a:ext cx="0" cy="886343"/>
            </a:xfrm>
            <a:prstGeom prst="straightConnector1">
              <a:avLst/>
            </a:prstGeom>
            <a:noFill/>
            <a:ln w="38100" cap="flat" cmpd="sng" algn="ctr">
              <a:solidFill>
                <a:srgbClr val="FFE600"/>
              </a:solidFill>
              <a:prstDash val="solid"/>
              <a:tailEnd type="arrow"/>
            </a:ln>
            <a:effectLst/>
          </xdr:spPr>
        </xdr:cxn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9" name="Rounded Rectangle 98">
                  <a:extLst>
                    <a:ext uri="{FF2B5EF4-FFF2-40B4-BE49-F238E27FC236}">
                      <a16:creationId xmlns:a16="http://schemas.microsoft.com/office/drawing/2014/main" id="{00000000-0008-0000-0000-000063000000}"/>
                    </a:ext>
                  </a:extLst>
                </xdr:cNvPr>
                <xdr:cNvSpPr/>
              </xdr:nvSpPr>
              <xdr:spPr bwMode="auto">
                <a:xfrm>
                  <a:off x="2763382" y="3417811"/>
                  <a:ext cx="1554480" cy="182880"/>
                </a:xfrm>
                <a:prstGeom prst="roundRect">
                  <a:avLst/>
                </a:prstGeom>
                <a:solidFill>
                  <a:srgbClr val="C0C0C0"/>
                </a:solidFill>
                <a:ln w="25400" cap="flat" cmpd="sng" algn="ctr">
                  <a:solidFill>
                    <a:srgbClr val="C0C0C0">
                      <a:shade val="50000"/>
                    </a:srgbClr>
                  </a:solidFill>
                  <a:prstDash val="solid"/>
                  <a:headEnd/>
                  <a:tailEnd/>
                </a:ln>
                <a:effectLst/>
              </xdr:spPr>
              <xdr:txBody>
                <a:bodyPr wrap="square" lIns="45712" tIns="45712" rIns="45712" bIns="45712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114300" lvl="1" indent="-114300" algn="ctr" defTabSz="400050">
                    <a:buClr>
                      <a:srgbClr val="FFE600"/>
                    </a:buClr>
                    <a:buSzPct val="75000"/>
                  </a:pPr>
                  <a:r>
                    <a:rPr lang="en-US" sz="900" b="1" kern="0">
                      <a:solidFill>
                        <a:srgbClr val="000000"/>
                      </a:solidFill>
                      <a:latin typeface="EYInterstate Light" panose="02000506000000020004" pitchFamily="2" charset="0"/>
                    </a:rPr>
                    <a:t>Supervisory Factor </a:t>
                  </a:r>
                  <a14:m>
                    <m:oMath xmlns:m="http://schemas.openxmlformats.org/officeDocument/2006/math">
                      <m:d>
                        <m:dPr>
                          <m:ctrlPr>
                            <a:rPr lang="en-US" sz="900" b="1" i="1" kern="0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sz="900" b="1" i="1" kern="0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900" b="1" kern="0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𝑆𝐹</m:t>
                              </m:r>
                            </m:e>
                            <m:sub>
                              <m:r>
                                <a:rPr lang="en-US" sz="900" b="1" kern="0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𝑗</m:t>
                              </m:r>
                            </m:sub>
                          </m:sSub>
                        </m:e>
                      </m:d>
                    </m:oMath>
                  </a14:m>
                  <a:endParaRPr lang="en-US" sz="900" b="1" kern="0">
                    <a:solidFill>
                      <a:srgbClr val="000000"/>
                    </a:solidFill>
                    <a:latin typeface="EYInterstate Light" panose="02000506000000020004" pitchFamily="2" charset="0"/>
                  </a:endParaRPr>
                </a:p>
              </xdr:txBody>
            </xdr:sp>
          </mc:Choice>
          <mc:Fallback xmlns="">
            <xdr:sp macro="" textlink="">
              <xdr:nvSpPr>
                <xdr:cNvPr id="99" name="Rounded Rectangle 98">
                  <a:extLst>
                    <a:ext uri="{FF2B5EF4-FFF2-40B4-BE49-F238E27FC236}">
                      <a16:creationId xmlns:a16="http://schemas.microsoft.com/office/drawing/2014/main" id="{00000000-0008-0000-0000-000063000000}"/>
                    </a:ext>
                  </a:extLst>
                </xdr:cNvPr>
                <xdr:cNvSpPr/>
              </xdr:nvSpPr>
              <xdr:spPr bwMode="auto">
                <a:xfrm>
                  <a:off x="2763382" y="3417811"/>
                  <a:ext cx="1554480" cy="182880"/>
                </a:xfrm>
                <a:prstGeom prst="roundRect">
                  <a:avLst/>
                </a:prstGeom>
                <a:solidFill>
                  <a:srgbClr val="C0C0C0"/>
                </a:solidFill>
                <a:ln w="25400" cap="flat" cmpd="sng" algn="ctr">
                  <a:solidFill>
                    <a:srgbClr val="C0C0C0">
                      <a:shade val="50000"/>
                    </a:srgbClr>
                  </a:solidFill>
                  <a:prstDash val="solid"/>
                  <a:headEnd/>
                  <a:tailEnd/>
                </a:ln>
                <a:effectLst/>
              </xdr:spPr>
              <xdr:txBody>
                <a:bodyPr wrap="square" lIns="45712" tIns="45712" rIns="45712" bIns="45712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114300" lvl="1" indent="-114300" algn="ctr" defTabSz="400050">
                    <a:buClr>
                      <a:srgbClr val="FFE600"/>
                    </a:buClr>
                    <a:buSzPct val="75000"/>
                  </a:pPr>
                  <a:r>
                    <a:rPr lang="en-US" sz="900" b="1" kern="0">
                      <a:solidFill>
                        <a:srgbClr val="000000"/>
                      </a:solidFill>
                      <a:latin typeface="EYInterstate Light" panose="02000506000000020004" pitchFamily="2" charset="0"/>
                    </a:rPr>
                    <a:t>Supervisory Factor </a:t>
                  </a:r>
                  <a:r>
                    <a:rPr lang="en-US" sz="900" b="1" i="0" kern="0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a:t>(〖</a:t>
                  </a:r>
                  <a:r>
                    <a:rPr lang="en-US" sz="900" b="1" i="0" kern="0">
                      <a:solidFill>
                        <a:srgbClr val="000000"/>
                      </a:solidFill>
                      <a:latin typeface="Cambria Math"/>
                    </a:rPr>
                    <a:t>𝑆𝐹</a:t>
                  </a:r>
                  <a:r>
                    <a:rPr lang="en-US" sz="900" b="1" i="0" kern="0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a:t>〗_</a:t>
                  </a:r>
                  <a:r>
                    <a:rPr lang="en-US" sz="900" b="1" i="0" kern="0">
                      <a:solidFill>
                        <a:srgbClr val="000000"/>
                      </a:solidFill>
                      <a:latin typeface="Cambria Math"/>
                    </a:rPr>
                    <a:t>𝑗</a:t>
                  </a:r>
                  <a:r>
                    <a:rPr lang="en-US" sz="900" b="1" i="0" kern="0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a:t> )</a:t>
                  </a:r>
                  <a:endParaRPr lang="en-US" sz="900" b="1" kern="0">
                    <a:solidFill>
                      <a:srgbClr val="000000"/>
                    </a:solidFill>
                    <a:latin typeface="EYInterstate Light" panose="02000506000000020004" pitchFamily="2" charset="0"/>
                  </a:endParaRPr>
                </a:p>
              </xdr:txBody>
            </xdr:sp>
          </mc:Fallback>
        </mc:AlternateContent>
        <xdr:cxnSp macro="">
          <xdr:nvCxnSpPr>
            <xdr:cNvPr id="100" name="Straight Arrow Connector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CxnSpPr/>
          </xdr:nvCxnSpPr>
          <xdr:spPr>
            <a:xfrm>
              <a:off x="4718501" y="3620204"/>
              <a:ext cx="247838" cy="0"/>
            </a:xfrm>
            <a:prstGeom prst="straightConnector1">
              <a:avLst/>
            </a:prstGeom>
            <a:noFill/>
            <a:ln w="38100" cap="flat" cmpd="sng" algn="ctr">
              <a:solidFill>
                <a:srgbClr val="FFE600"/>
              </a:solidFill>
              <a:prstDash val="solid"/>
              <a:tailEnd type="arrow"/>
            </a:ln>
            <a:effectLst/>
          </xdr:spPr>
        </xdr:cxnSp>
        <xdr:cxnSp macro="">
          <xdr:nvCxnSpPr>
            <xdr:cNvPr id="101" name="Straight Arrow Connector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CxnSpPr>
              <a:endCxn id="88" idx="1"/>
            </xdr:cNvCxnSpPr>
          </xdr:nvCxnSpPr>
          <xdr:spPr>
            <a:xfrm>
              <a:off x="5860025" y="3607617"/>
              <a:ext cx="1080212" cy="28699"/>
            </a:xfrm>
            <a:prstGeom prst="straightConnector1">
              <a:avLst/>
            </a:prstGeom>
            <a:noFill/>
            <a:ln w="38100" cap="flat" cmpd="sng" algn="ctr">
              <a:solidFill>
                <a:srgbClr val="FFE600"/>
              </a:solidFill>
              <a:prstDash val="solid"/>
              <a:tailEnd type="arrow"/>
            </a:ln>
            <a:effectLst/>
          </xdr:spPr>
        </xdr:cxnSp>
        <xdr:sp macro="" textlink="">
          <xdr:nvSpPr>
            <xdr:cNvPr id="102" name="Rounded Rectangle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 bwMode="auto">
            <a:xfrm>
              <a:off x="4942582" y="3528763"/>
              <a:ext cx="1554480" cy="182880"/>
            </a:xfrm>
            <a:prstGeom prst="roundRect">
              <a:avLst/>
            </a:prstGeom>
            <a:solidFill>
              <a:srgbClr val="C0C0C0"/>
            </a:solidFill>
            <a:ln w="25400" cap="flat" cmpd="sng" algn="ctr">
              <a:solidFill>
                <a:srgbClr val="C0C0C0">
                  <a:shade val="50000"/>
                </a:srgbClr>
              </a:solidFill>
              <a:prstDash val="solid"/>
              <a:headEnd/>
              <a:tailEnd/>
            </a:ln>
            <a:effectLst/>
          </xdr:spPr>
          <xdr:txBody>
            <a:bodyPr wrap="square" lIns="45712" tIns="45712" rIns="45712" bIns="45712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marR="0" lvl="1" indent="-114300" algn="ctr" defTabSz="40005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FFE600"/>
                </a:buClr>
                <a:buSzPct val="75000"/>
                <a:buFontTx/>
                <a:buNone/>
                <a:tabLst/>
                <a:defRPr/>
              </a:pPr>
              <a:r>
                <a:rPr kumimoji="0" lang="en-US" sz="900" b="1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EYInterstate Light" panose="02000506000000020004" pitchFamily="2" charset="0"/>
                  <a:ea typeface="+mn-ea"/>
                  <a:cs typeface="+mn-cs"/>
                </a:rPr>
                <a:t>Asset Class Addon</a:t>
              </a:r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3" name="Rounded Rectangle 102">
                  <a:extLst>
                    <a:ext uri="{FF2B5EF4-FFF2-40B4-BE49-F238E27FC236}">
                      <a16:creationId xmlns:a16="http://schemas.microsoft.com/office/drawing/2014/main" id="{00000000-0008-0000-0000-000067000000}"/>
                    </a:ext>
                  </a:extLst>
                </xdr:cNvPr>
                <xdr:cNvSpPr/>
              </xdr:nvSpPr>
              <xdr:spPr bwMode="auto">
                <a:xfrm>
                  <a:off x="2763382" y="3649755"/>
                  <a:ext cx="1554480" cy="182880"/>
                </a:xfrm>
                <a:prstGeom prst="roundRect">
                  <a:avLst/>
                </a:prstGeom>
                <a:solidFill>
                  <a:srgbClr val="C0C0C0"/>
                </a:solidFill>
                <a:ln w="25400" cap="flat" cmpd="sng" algn="ctr">
                  <a:solidFill>
                    <a:srgbClr val="C0C0C0">
                      <a:shade val="50000"/>
                    </a:srgbClr>
                  </a:solidFill>
                  <a:prstDash val="solid"/>
                  <a:headEnd/>
                  <a:tailEnd/>
                </a:ln>
                <a:effectLst/>
              </xdr:spPr>
              <xdr:txBody>
                <a:bodyPr wrap="square" lIns="0" tIns="45712" rIns="0" bIns="45712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114300" lvl="1" indent="-114300" algn="ctr" defTabSz="400050">
                    <a:buClr>
                      <a:srgbClr val="FFE600"/>
                    </a:buClr>
                    <a:buSzPct val="75000"/>
                  </a:pPr>
                  <a:r>
                    <a:rPr lang="en-US" sz="900" b="1" kern="0">
                      <a:solidFill>
                        <a:srgbClr val="000000"/>
                      </a:solidFill>
                      <a:latin typeface="EYInterstate Light" panose="02000506000000020004" pitchFamily="2" charset="0"/>
                    </a:rPr>
                    <a:t>Supervisory Correlation</a:t>
                  </a:r>
                  <a14:m>
                    <m:oMath xmlns:m="http://schemas.openxmlformats.org/officeDocument/2006/math">
                      <m:r>
                        <a:rPr lang="en-US" sz="900" b="1" kern="0">
                          <a:solidFill>
                            <a:srgbClr val="000000"/>
                          </a:solidFill>
                          <a:latin typeface="Cambria Math"/>
                        </a:rPr>
                        <m:t> </m:t>
                      </m:r>
                      <m:d>
                        <m:dPr>
                          <m:ctrlPr>
                            <a:rPr lang="en-US" sz="900" b="1" i="1" kern="0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sz="900" b="1" i="1" kern="0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900" b="1" kern="0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𝜌</m:t>
                              </m:r>
                            </m:e>
                            <m:sub>
                              <m:r>
                                <a:rPr lang="en-US" sz="900" b="1" kern="0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𝑘</m:t>
                              </m:r>
                            </m:sub>
                          </m:sSub>
                        </m:e>
                      </m:d>
                    </m:oMath>
                  </a14:m>
                  <a:endParaRPr lang="en-US" sz="900" b="1" kern="0">
                    <a:solidFill>
                      <a:srgbClr val="000000"/>
                    </a:solidFill>
                    <a:latin typeface="EYInterstate Light" panose="02000506000000020004" pitchFamily="2" charset="0"/>
                  </a:endParaRPr>
                </a:p>
              </xdr:txBody>
            </xdr:sp>
          </mc:Choice>
          <mc:Fallback xmlns="">
            <xdr:sp macro="" textlink="">
              <xdr:nvSpPr>
                <xdr:cNvPr id="103" name="Rounded Rectangle 102">
                  <a:extLst>
                    <a:ext uri="{FF2B5EF4-FFF2-40B4-BE49-F238E27FC236}">
                      <a16:creationId xmlns:a16="http://schemas.microsoft.com/office/drawing/2014/main" id="{00000000-0008-0000-0000-000067000000}"/>
                    </a:ext>
                  </a:extLst>
                </xdr:cNvPr>
                <xdr:cNvSpPr/>
              </xdr:nvSpPr>
              <xdr:spPr bwMode="auto">
                <a:xfrm>
                  <a:off x="2763382" y="3649755"/>
                  <a:ext cx="1554480" cy="182880"/>
                </a:xfrm>
                <a:prstGeom prst="roundRect">
                  <a:avLst/>
                </a:prstGeom>
                <a:solidFill>
                  <a:srgbClr val="C0C0C0"/>
                </a:solidFill>
                <a:ln w="25400" cap="flat" cmpd="sng" algn="ctr">
                  <a:solidFill>
                    <a:srgbClr val="C0C0C0">
                      <a:shade val="50000"/>
                    </a:srgbClr>
                  </a:solidFill>
                  <a:prstDash val="solid"/>
                  <a:headEnd/>
                  <a:tailEnd/>
                </a:ln>
                <a:effectLst/>
              </xdr:spPr>
              <xdr:txBody>
                <a:bodyPr wrap="square" lIns="0" tIns="45712" rIns="0" bIns="45712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114300" lvl="1" indent="-114300" algn="ctr" defTabSz="400050">
                    <a:buClr>
                      <a:srgbClr val="FFE600"/>
                    </a:buClr>
                    <a:buSzPct val="75000"/>
                  </a:pPr>
                  <a:r>
                    <a:rPr lang="en-US" sz="900" b="1" kern="0">
                      <a:solidFill>
                        <a:srgbClr val="000000"/>
                      </a:solidFill>
                      <a:latin typeface="EYInterstate Light" panose="02000506000000020004" pitchFamily="2" charset="0"/>
                    </a:rPr>
                    <a:t>Supervisory Correlation</a:t>
                  </a:r>
                  <a:r>
                    <a:rPr lang="en-US" sz="900" b="1" i="0" kern="0">
                      <a:solidFill>
                        <a:srgbClr val="000000"/>
                      </a:solidFill>
                      <a:latin typeface="Cambria Math"/>
                    </a:rPr>
                    <a:t> </a:t>
                  </a:r>
                  <a:r>
                    <a:rPr lang="en-US" sz="900" b="1" i="0" kern="0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a:t>(</a:t>
                  </a:r>
                  <a:r>
                    <a:rPr lang="en-US" sz="900" b="1" i="0" kern="0">
                      <a:solidFill>
                        <a:srgbClr val="000000"/>
                      </a:solidFill>
                      <a:latin typeface="Cambria Math"/>
                    </a:rPr>
                    <a:t>𝜌</a:t>
                  </a:r>
                  <a:r>
                    <a:rPr lang="en-US" sz="900" b="1" i="0" kern="0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a:t>_</a:t>
                  </a:r>
                  <a:r>
                    <a:rPr lang="en-US" sz="900" b="1" i="0" kern="0">
                      <a:solidFill>
                        <a:srgbClr val="000000"/>
                      </a:solidFill>
                      <a:latin typeface="Cambria Math"/>
                    </a:rPr>
                    <a:t>𝑘</a:t>
                  </a:r>
                  <a:r>
                    <a:rPr lang="en-US" sz="900" b="1" i="0" kern="0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a:t> )</a:t>
                  </a:r>
                  <a:endParaRPr lang="en-US" sz="900" b="1" kern="0">
                    <a:solidFill>
                      <a:srgbClr val="000000"/>
                    </a:solidFill>
                    <a:latin typeface="EYInterstate Light" panose="02000506000000020004" pitchFamily="2" charset="0"/>
                  </a:endParaRPr>
                </a:p>
              </xdr:txBody>
            </xdr:sp>
          </mc:Fallback>
        </mc:AlternateContent>
        <xdr:cxnSp macro="">
          <xdr:nvCxnSpPr>
            <xdr:cNvPr id="104" name="Straight Arrow Connector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CxnSpPr>
              <a:endCxn id="105" idx="1"/>
            </xdr:cNvCxnSpPr>
          </xdr:nvCxnSpPr>
          <xdr:spPr>
            <a:xfrm>
              <a:off x="1934986" y="3261422"/>
              <a:ext cx="828396" cy="7050"/>
            </a:xfrm>
            <a:prstGeom prst="straightConnector1">
              <a:avLst/>
            </a:prstGeom>
            <a:noFill/>
            <a:ln w="38100" cap="flat" cmpd="sng" algn="ctr">
              <a:solidFill>
                <a:srgbClr val="FFE600"/>
              </a:solidFill>
              <a:prstDash val="solid"/>
              <a:tailEnd type="arrow"/>
            </a:ln>
            <a:effectLst/>
          </xdr:spPr>
        </xdr:cxnSp>
        <xdr:sp macro="" textlink="">
          <xdr:nvSpPr>
            <xdr:cNvPr id="105" name="Rounded Rectangle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 bwMode="auto">
            <a:xfrm>
              <a:off x="2763382" y="3177032"/>
              <a:ext cx="1554480" cy="182880"/>
            </a:xfrm>
            <a:prstGeom prst="roundRect">
              <a:avLst/>
            </a:prstGeom>
            <a:solidFill>
              <a:srgbClr val="C0C0C0"/>
            </a:solidFill>
            <a:ln w="25400" cap="flat" cmpd="sng" algn="ctr">
              <a:solidFill>
                <a:srgbClr val="C0C0C0">
                  <a:shade val="50000"/>
                </a:srgbClr>
              </a:solidFill>
              <a:prstDash val="solid"/>
              <a:headEnd/>
              <a:tailEnd/>
            </a:ln>
            <a:effectLst/>
          </xdr:spPr>
          <xdr:txBody>
            <a:bodyPr wrap="square" lIns="45712" tIns="45712" rIns="45712" bIns="45712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lvl="1" indent="-114300" algn="ctr" defTabSz="400050">
                <a:buClr>
                  <a:srgbClr val="FFE600"/>
                </a:buClr>
                <a:buSzPct val="75000"/>
              </a:pPr>
              <a:r>
                <a:rPr lang="en-US" sz="900" b="1" kern="0">
                  <a:solidFill>
                    <a:srgbClr val="000000"/>
                  </a:solidFill>
                  <a:latin typeface="EYInterstate Light" panose="02000506000000020004" pitchFamily="2" charset="0"/>
                </a:rPr>
                <a:t>Effective Notional</a:t>
              </a:r>
            </a:p>
          </xdr:txBody>
        </xdr:sp>
        <xdr:cxnSp macro="">
          <xdr:nvCxnSpPr>
            <xdr:cNvPr id="106" name="Straight Connector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CxnSpPr/>
          </xdr:nvCxnSpPr>
          <xdr:spPr>
            <a:xfrm>
              <a:off x="2050100" y="3727318"/>
              <a:ext cx="299084" cy="0"/>
            </a:xfrm>
            <a:prstGeom prst="line">
              <a:avLst/>
            </a:prstGeom>
            <a:noFill/>
            <a:ln w="38100" cap="flat" cmpd="sng" algn="ctr">
              <a:solidFill>
                <a:srgbClr val="FFE600"/>
              </a:solidFill>
              <a:prstDash val="solid"/>
              <a:tailEnd type="none"/>
            </a:ln>
            <a:effectLst/>
          </xdr:spPr>
        </xdr:cxnSp>
        <xdr:cxnSp macro="">
          <xdr:nvCxnSpPr>
            <xdr:cNvPr id="107" name="Straight Connector 106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CxnSpPr/>
          </xdr:nvCxnSpPr>
          <xdr:spPr>
            <a:xfrm>
              <a:off x="2062852" y="3497805"/>
              <a:ext cx="299084" cy="0"/>
            </a:xfrm>
            <a:prstGeom prst="line">
              <a:avLst/>
            </a:prstGeom>
            <a:noFill/>
            <a:ln w="38100" cap="flat" cmpd="sng" algn="ctr">
              <a:solidFill>
                <a:srgbClr val="FFE600"/>
              </a:solidFill>
              <a:prstDash val="solid"/>
              <a:tailEnd type="none"/>
            </a:ln>
            <a:effectLst/>
          </xdr:spPr>
        </xdr:cxnSp>
        <xdr:grpSp>
          <xdr:nvGrpSpPr>
            <xdr:cNvPr id="108" name="Group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GrpSpPr/>
          </xdr:nvGrpSpPr>
          <xdr:grpSpPr>
            <a:xfrm>
              <a:off x="657914" y="2984302"/>
              <a:ext cx="1554480" cy="834456"/>
              <a:chOff x="523712" y="3091361"/>
              <a:chExt cx="1554480" cy="834456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2" name="Rounded Rectangle 111">
                    <a:extLst>
                      <a:ext uri="{FF2B5EF4-FFF2-40B4-BE49-F238E27FC236}">
                        <a16:creationId xmlns:a16="http://schemas.microsoft.com/office/drawing/2014/main" id="{00000000-0008-0000-0000-000070000000}"/>
                      </a:ext>
                    </a:extLst>
                  </xdr:cNvPr>
                  <xdr:cNvSpPr/>
                </xdr:nvSpPr>
                <xdr:spPr bwMode="auto">
                  <a:xfrm>
                    <a:off x="523712" y="3506485"/>
                    <a:ext cx="1554480" cy="182880"/>
                  </a:xfrm>
                  <a:prstGeom prst="roundRect">
                    <a:avLst/>
                  </a:prstGeom>
                  <a:solidFill>
                    <a:srgbClr val="C0C0C0"/>
                  </a:solidFill>
                  <a:ln w="25400" cap="flat" cmpd="sng" algn="ctr">
                    <a:solidFill>
                      <a:srgbClr val="C0C0C0">
                        <a:shade val="50000"/>
                      </a:srgbClr>
                    </a:solidFill>
                    <a:prstDash val="solid"/>
                    <a:headEnd/>
                    <a:tailEnd/>
                  </a:ln>
                  <a:effectLst/>
                </xdr:spPr>
                <xdr:txBody>
                  <a:bodyPr wrap="square" lIns="45712" tIns="45712" rIns="45712" bIns="45712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114300" marR="0" lvl="1" indent="-114300" algn="ctr" defTabSz="40005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FFE600"/>
                      </a:buClr>
                      <a:buSzPct val="75000"/>
                      <a:buFontTx/>
                      <a:buNone/>
                      <a:tabLst/>
                      <a:defRPr/>
                    </a:pPr>
                    <a:r>
                      <a:rPr kumimoji="0" lang="en-US" sz="900" b="1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  <a:ea typeface="+mn-ea"/>
                        <a:cs typeface="+mn-cs"/>
                      </a:rPr>
                      <a:t>Supervisory delta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  <a:ea typeface="+mn-ea"/>
                        <a:cs typeface="+mn-cs"/>
                      </a:rPr>
                      <a:t> </a:t>
                    </a:r>
                    <a14:m>
                      <m:oMath xmlns:m="http://schemas.openxmlformats.org/officeDocument/2006/math">
                        <m:d>
                          <m:dPr>
                            <m:ctrlPr>
                              <a:rPr kumimoji="0" lang="en-US" sz="900" b="0" i="1" u="none" strike="noStrike" kern="0" cap="none" spc="0" normalizeH="0" baseline="0">
                                <a:ln>
                                  <a:noFill/>
                                </a:ln>
                                <a:solidFill>
                                  <a:srgbClr val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n-US" sz="900" b="0" i="1" u="none" strike="noStrike" kern="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sz="900" b="0" i="1" u="none" strike="noStrike" kern="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000000"/>
                                    </a:solidFill>
                                    <a:effectLst/>
                                    <a:uLnTx/>
                                    <a:uFillTx/>
                                    <a:latin typeface="Cambria Math"/>
                                    <a:ea typeface="Cambria Math"/>
                                    <a:cs typeface="+mn-cs"/>
                                  </a:rPr>
                                  <m:t>𝛿</m:t>
                                </m:r>
                              </m:e>
                              <m:sub>
                                <m:r>
                                  <a:rPr kumimoji="0" lang="en-US" sz="900" b="0" i="1" u="none" strike="noStrike" kern="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000000"/>
                                    </a:solidFill>
                                    <a:effectLst/>
                                    <a:uLnTx/>
                                    <a:uFillTx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oMath>
                    </a14:m>
                    <a:endParaRPr kumimoji="0" lang="en-US" sz="900" b="0" i="0" u="none" strike="noStrike" kern="0" cap="none" spc="0" normalizeH="0" baseline="0">
                      <a:ln>
                        <a:noFill/>
                      </a:ln>
                      <a:solidFill>
                        <a:srgbClr val="000000"/>
                      </a:solidFill>
                      <a:effectLst/>
                      <a:uLnTx/>
                      <a:uFillTx/>
                      <a:latin typeface="EYInterstate Light" panose="02000506000000020004" pitchFamily="2" charset="0"/>
                      <a:ea typeface="+mn-ea"/>
                      <a:cs typeface="+mn-cs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12" name="Rounded Rectangle 111">
                    <a:extLst>
                      <a:ext uri="{FF2B5EF4-FFF2-40B4-BE49-F238E27FC236}">
                        <a16:creationId xmlns:a16="http://schemas.microsoft.com/office/drawing/2014/main" id="{00000000-0008-0000-0000-000070000000}"/>
                      </a:ext>
                    </a:extLst>
                  </xdr:cNvPr>
                  <xdr:cNvSpPr/>
                </xdr:nvSpPr>
                <xdr:spPr bwMode="auto">
                  <a:xfrm>
                    <a:off x="523712" y="3506485"/>
                    <a:ext cx="1554480" cy="182880"/>
                  </a:xfrm>
                  <a:prstGeom prst="roundRect">
                    <a:avLst/>
                  </a:prstGeom>
                  <a:solidFill>
                    <a:srgbClr val="C0C0C0"/>
                  </a:solidFill>
                  <a:ln w="25400" cap="flat" cmpd="sng" algn="ctr">
                    <a:solidFill>
                      <a:srgbClr val="C0C0C0">
                        <a:shade val="50000"/>
                      </a:srgbClr>
                    </a:solidFill>
                    <a:prstDash val="solid"/>
                    <a:headEnd/>
                    <a:tailEnd/>
                  </a:ln>
                  <a:effectLst/>
                </xdr:spPr>
                <xdr:txBody>
                  <a:bodyPr wrap="square" lIns="45712" tIns="45712" rIns="45712" bIns="45712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114300" marR="0" lvl="1" indent="-114300" algn="ctr" defTabSz="40005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FFE600"/>
                      </a:buClr>
                      <a:buSzPct val="75000"/>
                      <a:buFontTx/>
                      <a:buNone/>
                      <a:tabLst/>
                      <a:defRPr/>
                    </a:pPr>
                    <a:r>
                      <a:rPr kumimoji="0" lang="en-US" sz="900" b="1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  <a:ea typeface="+mn-ea"/>
                        <a:cs typeface="+mn-cs"/>
                      </a:rPr>
                      <a:t>Supervisory delta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  <a:ea typeface="+mn-ea"/>
                        <a:cs typeface="+mn-cs"/>
                      </a:rPr>
                      <a:t> 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/>
                        <a:ea typeface="Cambria Math"/>
                        <a:cs typeface="+mn-cs"/>
                      </a:rPr>
                      <a:t>𝛿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/>
                        <a:ea typeface="+mn-ea"/>
                        <a:cs typeface="+mn-cs"/>
                      </a:rPr>
                      <a:t>𝑖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)</a:t>
                    </a:r>
                    <a:endParaRPr kumimoji="0" lang="en-US" sz="900" b="0" i="0" u="none" strike="noStrike" kern="0" cap="none" spc="0" normalizeH="0" baseline="0">
                      <a:ln>
                        <a:noFill/>
                      </a:ln>
                      <a:solidFill>
                        <a:srgbClr val="000000"/>
                      </a:solidFill>
                      <a:effectLst/>
                      <a:uLnTx/>
                      <a:uFillTx/>
                      <a:latin typeface="EYInterstate Light" panose="02000506000000020004" pitchFamily="2" charset="0"/>
                      <a:ea typeface="+mn-ea"/>
                      <a:cs typeface="+mn-cs"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3" name="Rounded Rectangle 112">
                    <a:extLst>
                      <a:ext uri="{FF2B5EF4-FFF2-40B4-BE49-F238E27FC236}">
                        <a16:creationId xmlns:a16="http://schemas.microsoft.com/office/drawing/2014/main" id="{00000000-0008-0000-0000-000071000000}"/>
                      </a:ext>
                    </a:extLst>
                  </xdr:cNvPr>
                  <xdr:cNvSpPr/>
                </xdr:nvSpPr>
                <xdr:spPr bwMode="auto">
                  <a:xfrm>
                    <a:off x="523712" y="3742937"/>
                    <a:ext cx="1554480" cy="182880"/>
                  </a:xfrm>
                  <a:prstGeom prst="roundRect">
                    <a:avLst/>
                  </a:prstGeom>
                  <a:solidFill>
                    <a:srgbClr val="C0C0C0"/>
                  </a:solidFill>
                  <a:ln w="25400" cap="flat" cmpd="sng" algn="ctr">
                    <a:solidFill>
                      <a:srgbClr val="C0C0C0">
                        <a:shade val="50000"/>
                      </a:srgbClr>
                    </a:solidFill>
                    <a:prstDash val="solid"/>
                    <a:headEnd/>
                    <a:tailEnd/>
                  </a:ln>
                  <a:effectLst/>
                </xdr:spPr>
                <xdr:txBody>
                  <a:bodyPr wrap="square" lIns="45712" tIns="45712" rIns="45712" bIns="45712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114300" marR="0" lvl="1" indent="-114300" algn="ctr" defTabSz="40005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FFE600"/>
                      </a:buClr>
                      <a:buSzPct val="75000"/>
                      <a:buFontTx/>
                      <a:buNone/>
                      <a:tabLst/>
                      <a:defRPr/>
                    </a:pPr>
                    <a:r>
                      <a:rPr kumimoji="0" lang="en-US" sz="900" b="1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  <a:ea typeface="+mn-ea"/>
                        <a:cs typeface="+mn-cs"/>
                      </a:rPr>
                      <a:t>Maturity Factor </a:t>
                    </a:r>
                    <a14:m>
                      <m:oMath xmlns:m="http://schemas.openxmlformats.org/officeDocument/2006/math">
                        <m:d>
                          <m:dPr>
                            <m:ctrlPr>
                              <a:rPr kumimoji="0" lang="en-US" sz="900" b="0" i="1" u="none" strike="noStrike" kern="0" cap="none" spc="0" normalizeH="0" baseline="0">
                                <a:ln>
                                  <a:noFill/>
                                </a:ln>
                                <a:solidFill>
                                  <a:srgbClr val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n-US" sz="900" b="0" i="1" u="none" strike="noStrike" kern="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sz="900" b="0" i="1" u="none" strike="noStrike" kern="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000000"/>
                                    </a:solidFill>
                                    <a:effectLst/>
                                    <a:uLnTx/>
                                    <a:uFillTx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𝑀𝐹</m:t>
                                </m:r>
                              </m:e>
                              <m:sub>
                                <m:r>
                                  <a:rPr kumimoji="0" lang="en-US" sz="900" b="0" i="1" u="none" strike="noStrike" kern="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000000"/>
                                    </a:solidFill>
                                    <a:effectLst/>
                                    <a:uLnTx/>
                                    <a:uFillTx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oMath>
                    </a14:m>
                    <a:endParaRPr kumimoji="0" lang="en-US" sz="900" b="0" i="0" u="none" strike="noStrike" kern="0" cap="none" spc="0" normalizeH="0" baseline="0">
                      <a:ln>
                        <a:noFill/>
                      </a:ln>
                      <a:solidFill>
                        <a:srgbClr val="000000"/>
                      </a:solidFill>
                      <a:effectLst/>
                      <a:uLnTx/>
                      <a:uFillTx/>
                      <a:latin typeface="EYInterstate Light" panose="02000506000000020004" pitchFamily="2" charset="0"/>
                      <a:ea typeface="+mn-ea"/>
                      <a:cs typeface="+mn-cs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13" name="Rounded Rectangle 112">
                    <a:extLst>
                      <a:ext uri="{FF2B5EF4-FFF2-40B4-BE49-F238E27FC236}">
                        <a16:creationId xmlns:a16="http://schemas.microsoft.com/office/drawing/2014/main" id="{00000000-0008-0000-0000-000071000000}"/>
                      </a:ext>
                    </a:extLst>
                  </xdr:cNvPr>
                  <xdr:cNvSpPr/>
                </xdr:nvSpPr>
                <xdr:spPr bwMode="auto">
                  <a:xfrm>
                    <a:off x="523712" y="3742937"/>
                    <a:ext cx="1554480" cy="182880"/>
                  </a:xfrm>
                  <a:prstGeom prst="roundRect">
                    <a:avLst/>
                  </a:prstGeom>
                  <a:solidFill>
                    <a:srgbClr val="C0C0C0"/>
                  </a:solidFill>
                  <a:ln w="25400" cap="flat" cmpd="sng" algn="ctr">
                    <a:solidFill>
                      <a:srgbClr val="C0C0C0">
                        <a:shade val="50000"/>
                      </a:srgbClr>
                    </a:solidFill>
                    <a:prstDash val="solid"/>
                    <a:headEnd/>
                    <a:tailEnd/>
                  </a:ln>
                  <a:effectLst/>
                </xdr:spPr>
                <xdr:txBody>
                  <a:bodyPr wrap="square" lIns="45712" tIns="45712" rIns="45712" bIns="45712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114300" marR="0" lvl="1" indent="-114300" algn="ctr" defTabSz="40005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FFE600"/>
                      </a:buClr>
                      <a:buSzPct val="75000"/>
                      <a:buFontTx/>
                      <a:buNone/>
                      <a:tabLst/>
                      <a:defRPr/>
                    </a:pPr>
                    <a:r>
                      <a:rPr kumimoji="0" lang="en-US" sz="900" b="1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  <a:ea typeface="+mn-ea"/>
                        <a:cs typeface="+mn-cs"/>
                      </a:rPr>
                      <a:t>Maturity Factor 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(〖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/>
                        <a:ea typeface="+mn-ea"/>
                        <a:cs typeface="+mn-cs"/>
                      </a:rPr>
                      <a:t>𝑀𝐹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〗_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/>
                        <a:ea typeface="+mn-ea"/>
                        <a:cs typeface="+mn-cs"/>
                      </a:rPr>
                      <a:t>𝑖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)</a:t>
                    </a:r>
                    <a:endParaRPr kumimoji="0" lang="en-US" sz="900" b="0" i="0" u="none" strike="noStrike" kern="0" cap="none" spc="0" normalizeH="0" baseline="0">
                      <a:ln>
                        <a:noFill/>
                      </a:ln>
                      <a:solidFill>
                        <a:srgbClr val="000000"/>
                      </a:solidFill>
                      <a:effectLst/>
                      <a:uLnTx/>
                      <a:uFillTx/>
                      <a:latin typeface="EYInterstate Light" panose="02000506000000020004" pitchFamily="2" charset="0"/>
                      <a:ea typeface="+mn-ea"/>
                      <a:cs typeface="+mn-cs"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4" name="TextBox 59">
                    <a:extLst>
                      <a:ext uri="{FF2B5EF4-FFF2-40B4-BE49-F238E27FC236}">
                        <a16:creationId xmlns:a16="http://schemas.microsoft.com/office/drawing/2014/main" id="{00000000-0008-0000-0000-000072000000}"/>
                      </a:ext>
                    </a:extLst>
                  </xdr:cNvPr>
                  <xdr:cNvSpPr txBox="1"/>
                </xdr:nvSpPr>
                <xdr:spPr>
                  <a:xfrm>
                    <a:off x="532814" y="3091361"/>
                    <a:ext cx="1254843" cy="167738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36576" rIns="0" bIns="0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85000"/>
                      </a:lnSpc>
                      <a:spcBef>
                        <a:spcPts val="0"/>
                      </a:spcBef>
                      <a:spcAft>
                        <a:spcPts val="600"/>
                      </a:spcAft>
                      <a:buClr>
                        <a:srgbClr val="000000"/>
                      </a:buClr>
                      <a:buSzPct val="100000"/>
                      <a:buFontTx/>
                      <a:buNone/>
                      <a:tabLst/>
                      <a:defRPr/>
                    </a:pPr>
                    <a:r>
                      <a:rPr kumimoji="0" lang="en-US" sz="10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</a:rPr>
                      <a:t>Trade level </a:t>
                    </a:r>
                    <a14:m>
                      <m:oMath xmlns:m="http://schemas.openxmlformats.org/officeDocument/2006/math">
                        <m:d>
                          <m:dPr>
                            <m:ctrlPr>
                              <a:rPr kumimoji="0" lang="en-US" sz="1000" b="0" i="1" u="none" strike="noStrike" kern="0" cap="none" spc="0" normalizeH="0" baseline="0">
                                <a:ln>
                                  <a:noFill/>
                                </a:ln>
                                <a:solidFill>
                                  <a:srgbClr val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0" lang="en-US" sz="1000" b="0" i="1" u="none" strike="noStrike" kern="0" cap="none" spc="0" normalizeH="0" baseline="0">
                                <a:ln>
                                  <a:noFill/>
                                </a:ln>
                                <a:solidFill>
                                  <a:srgbClr val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</a:rPr>
                              <m:t>𝑖</m:t>
                            </m:r>
                          </m:e>
                        </m:d>
                      </m:oMath>
                    </a14:m>
                    <a:r>
                      <a:rPr kumimoji="0" lang="en-US" sz="10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</a:rPr>
                      <a:t> inputs</a:t>
                    </a:r>
                  </a:p>
                </xdr:txBody>
              </xdr:sp>
            </mc:Choice>
            <mc:Fallback xmlns="">
              <xdr:sp macro="" textlink="">
                <xdr:nvSpPr>
                  <xdr:cNvPr id="114" name="TextBox 59">
                    <a:extLst>
                      <a:ext uri="{FF2B5EF4-FFF2-40B4-BE49-F238E27FC236}">
                        <a16:creationId xmlns:a16="http://schemas.microsoft.com/office/drawing/2014/main" id="{00000000-0008-0000-0000-000072000000}"/>
                      </a:ext>
                    </a:extLst>
                  </xdr:cNvPr>
                  <xdr:cNvSpPr txBox="1"/>
                </xdr:nvSpPr>
                <xdr:spPr>
                  <a:xfrm>
                    <a:off x="532814" y="3091361"/>
                    <a:ext cx="1254843" cy="167738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36576" rIns="0" bIns="0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85000"/>
                      </a:lnSpc>
                      <a:spcBef>
                        <a:spcPts val="0"/>
                      </a:spcBef>
                      <a:spcAft>
                        <a:spcPts val="600"/>
                      </a:spcAft>
                      <a:buClr>
                        <a:srgbClr val="000000"/>
                      </a:buClr>
                      <a:buSzPct val="100000"/>
                      <a:buFontTx/>
                      <a:buNone/>
                      <a:tabLst/>
                      <a:defRPr/>
                    </a:pPr>
                    <a:r>
                      <a:rPr kumimoji="0" lang="en-US" sz="10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</a:rPr>
                      <a:t>Trade level </a:t>
                    </a:r>
                    <a:r>
                      <a:rPr kumimoji="0" lang="en-US" sz="10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a:t>(</a:t>
                    </a:r>
                    <a:r>
                      <a:rPr kumimoji="0" lang="en-US" sz="10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/>
                      </a:rPr>
                      <a:t>𝑖</a:t>
                    </a:r>
                    <a:r>
                      <a:rPr kumimoji="0" lang="en-US" sz="10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a:t>)</a:t>
                    </a:r>
                    <a:r>
                      <a:rPr kumimoji="0" lang="en-US" sz="10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</a:rPr>
                      <a:t> inputs</a:t>
                    </a: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5" name="Rounded Rectangle 114">
                    <a:extLst>
                      <a:ext uri="{FF2B5EF4-FFF2-40B4-BE49-F238E27FC236}">
                        <a16:creationId xmlns:a16="http://schemas.microsoft.com/office/drawing/2014/main" id="{00000000-0008-0000-0000-000073000000}"/>
                      </a:ext>
                    </a:extLst>
                  </xdr:cNvPr>
                  <xdr:cNvSpPr/>
                </xdr:nvSpPr>
                <xdr:spPr bwMode="auto">
                  <a:xfrm>
                    <a:off x="523712" y="3270034"/>
                    <a:ext cx="1554480" cy="182880"/>
                  </a:xfrm>
                  <a:prstGeom prst="roundRect">
                    <a:avLst/>
                  </a:prstGeom>
                  <a:solidFill>
                    <a:srgbClr val="C0C0C0"/>
                  </a:solidFill>
                  <a:ln w="25400" cap="flat" cmpd="sng" algn="ctr">
                    <a:solidFill>
                      <a:srgbClr val="C0C0C0">
                        <a:shade val="50000"/>
                      </a:srgbClr>
                    </a:solidFill>
                    <a:prstDash val="solid"/>
                    <a:headEnd/>
                    <a:tailEnd/>
                  </a:ln>
                  <a:effectLst/>
                </xdr:spPr>
                <xdr:txBody>
                  <a:bodyPr wrap="square" lIns="45712" tIns="45712" rIns="45712" bIns="45712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114300" marR="0" lvl="1" indent="-114300" algn="ctr" defTabSz="40005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FFE600"/>
                      </a:buClr>
                      <a:buSzPct val="75000"/>
                      <a:buFontTx/>
                      <a:buNone/>
                      <a:tabLst/>
                      <a:defRPr/>
                    </a:pPr>
                    <a:r>
                      <a:rPr kumimoji="0" lang="en-US" sz="900" b="1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  <a:ea typeface="+mn-ea"/>
                        <a:cs typeface="+mn-cs"/>
                      </a:rPr>
                      <a:t>Adjusted notional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  <a:ea typeface="+mn-ea"/>
                        <a:cs typeface="+mn-cs"/>
                      </a:rPr>
                      <a:t>  </a:t>
                    </a:r>
                    <a14:m>
                      <m:oMath xmlns:m="http://schemas.openxmlformats.org/officeDocument/2006/math">
                        <m:d>
                          <m:dPr>
                            <m:ctrlPr>
                              <a:rPr kumimoji="0" lang="en-US" sz="900" b="0" i="1" u="none" strike="noStrike" kern="0" cap="none" spc="0" normalizeH="0" baseline="0">
                                <a:ln>
                                  <a:noFill/>
                                </a:ln>
                                <a:solidFill>
                                  <a:srgbClr val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n-US" sz="900" b="0" i="1" u="none" strike="noStrike" kern="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sz="900" b="0" i="1" u="none" strike="noStrike" kern="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000000"/>
                                    </a:solidFill>
                                    <a:effectLst/>
                                    <a:uLnTx/>
                                    <a:uFillTx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0" lang="en-US" sz="900" b="0" i="1" u="none" strike="noStrike" kern="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000000"/>
                                    </a:solidFill>
                                    <a:effectLst/>
                                    <a:uLnTx/>
                                    <a:uFillTx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oMath>
                    </a14:m>
                    <a:endParaRPr kumimoji="0" lang="en-US" sz="900" b="0" i="0" u="none" strike="noStrike" kern="0" cap="none" spc="0" normalizeH="0" baseline="0">
                      <a:ln>
                        <a:noFill/>
                      </a:ln>
                      <a:solidFill>
                        <a:srgbClr val="000000"/>
                      </a:solidFill>
                      <a:effectLst/>
                      <a:uLnTx/>
                      <a:uFillTx/>
                      <a:latin typeface="EYInterstate Light" panose="02000506000000020004" pitchFamily="2" charset="0"/>
                      <a:ea typeface="+mn-ea"/>
                      <a:cs typeface="+mn-cs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15" name="Rounded Rectangle 114">
                    <a:extLst>
                      <a:ext uri="{FF2B5EF4-FFF2-40B4-BE49-F238E27FC236}">
                        <a16:creationId xmlns:a16="http://schemas.microsoft.com/office/drawing/2014/main" id="{00000000-0008-0000-0000-000073000000}"/>
                      </a:ext>
                    </a:extLst>
                  </xdr:cNvPr>
                  <xdr:cNvSpPr/>
                </xdr:nvSpPr>
                <xdr:spPr bwMode="auto">
                  <a:xfrm>
                    <a:off x="523712" y="3270034"/>
                    <a:ext cx="1554480" cy="182880"/>
                  </a:xfrm>
                  <a:prstGeom prst="roundRect">
                    <a:avLst/>
                  </a:prstGeom>
                  <a:solidFill>
                    <a:srgbClr val="C0C0C0"/>
                  </a:solidFill>
                  <a:ln w="25400" cap="flat" cmpd="sng" algn="ctr">
                    <a:solidFill>
                      <a:srgbClr val="C0C0C0">
                        <a:shade val="50000"/>
                      </a:srgbClr>
                    </a:solidFill>
                    <a:prstDash val="solid"/>
                    <a:headEnd/>
                    <a:tailEnd/>
                  </a:ln>
                  <a:effectLst/>
                </xdr:spPr>
                <xdr:txBody>
                  <a:bodyPr wrap="square" lIns="45712" tIns="45712" rIns="45712" bIns="45712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114300" marR="0" lvl="1" indent="-114300" algn="ctr" defTabSz="40005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FFE600"/>
                      </a:buClr>
                      <a:buSzPct val="75000"/>
                      <a:buFontTx/>
                      <a:buNone/>
                      <a:tabLst/>
                      <a:defRPr/>
                    </a:pPr>
                    <a:r>
                      <a:rPr kumimoji="0" lang="en-US" sz="900" b="1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  <a:ea typeface="+mn-ea"/>
                        <a:cs typeface="+mn-cs"/>
                      </a:rPr>
                      <a:t>Adjusted notional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EYInterstate Light" panose="02000506000000020004" pitchFamily="2" charset="0"/>
                        <a:ea typeface="+mn-ea"/>
                        <a:cs typeface="+mn-cs"/>
                      </a:rPr>
                      <a:t>  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/>
                        <a:ea typeface="+mn-ea"/>
                        <a:cs typeface="+mn-cs"/>
                      </a:rPr>
                      <a:t>𝑑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/>
                        <a:ea typeface="+mn-ea"/>
                        <a:cs typeface="+mn-cs"/>
                      </a:rPr>
                      <a:t>𝑖</a:t>
                    </a:r>
                    <a:r>
                      <a:rPr kumimoji="0" lang="en-US" sz="900" b="0" i="0" u="none" strike="noStrike" kern="0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)</a:t>
                    </a:r>
                    <a:endParaRPr kumimoji="0" lang="en-US" sz="900" b="0" i="0" u="none" strike="noStrike" kern="0" cap="none" spc="0" normalizeH="0" baseline="0">
                      <a:ln>
                        <a:noFill/>
                      </a:ln>
                      <a:solidFill>
                        <a:srgbClr val="000000"/>
                      </a:solidFill>
                      <a:effectLst/>
                      <a:uLnTx/>
                      <a:uFillTx/>
                      <a:latin typeface="EYInterstate Light" panose="02000506000000020004" pitchFamily="2" charset="0"/>
                      <a:ea typeface="+mn-ea"/>
                      <a:cs typeface="+mn-cs"/>
                    </a:endParaRPr>
                  </a:p>
                </xdr:txBody>
              </xdr:sp>
            </mc:Fallback>
          </mc:AlternateContent>
        </xdr:grpSp>
        <xdr:cxnSp macro="">
          <xdr:nvCxnSpPr>
            <xdr:cNvPr id="109" name="Straight Connector 108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:cNvPr>
            <xdr:cNvCxnSpPr/>
          </xdr:nvCxnSpPr>
          <xdr:spPr>
            <a:xfrm>
              <a:off x="4718501" y="3605573"/>
              <a:ext cx="0" cy="576072"/>
            </a:xfrm>
            <a:prstGeom prst="line">
              <a:avLst/>
            </a:prstGeom>
            <a:noFill/>
            <a:ln w="38100" cap="flat" cmpd="sng" algn="ctr">
              <a:solidFill>
                <a:srgbClr val="FFE600"/>
              </a:solidFill>
              <a:prstDash val="solid"/>
              <a:tailEnd type="none"/>
            </a:ln>
            <a:effectLst/>
          </xdr:spPr>
        </xdr:cxnSp>
        <xdr:cxnSp macro="">
          <xdr:nvCxnSpPr>
            <xdr:cNvPr id="110" name="Straight Connector 109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CxnSpPr/>
          </xdr:nvCxnSpPr>
          <xdr:spPr>
            <a:xfrm>
              <a:off x="4272198" y="4170243"/>
              <a:ext cx="446303" cy="1216"/>
            </a:xfrm>
            <a:prstGeom prst="line">
              <a:avLst/>
            </a:prstGeom>
            <a:noFill/>
            <a:ln w="38100" cap="flat" cmpd="sng" algn="ctr">
              <a:solidFill>
                <a:srgbClr val="FFE600"/>
              </a:solidFill>
              <a:prstDash val="solid"/>
              <a:tailEnd type="none"/>
            </a:ln>
            <a:effectLst/>
          </xdr:spPr>
        </xdr:cxnSp>
        <xdr:sp macro="" textlink="">
          <xdr:nvSpPr>
            <xdr:cNvPr id="111" name="Rounded Rectangle 110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SpPr/>
          </xdr:nvSpPr>
          <xdr:spPr bwMode="auto">
            <a:xfrm>
              <a:off x="2790678" y="4080019"/>
              <a:ext cx="1554480" cy="182880"/>
            </a:xfrm>
            <a:prstGeom prst="roundRect">
              <a:avLst/>
            </a:prstGeom>
            <a:solidFill>
              <a:srgbClr val="C0C0C0"/>
            </a:solidFill>
            <a:ln w="25400" cap="flat" cmpd="sng" algn="ctr">
              <a:solidFill>
                <a:srgbClr val="C0C0C0">
                  <a:shade val="50000"/>
                </a:srgbClr>
              </a:solidFill>
              <a:prstDash val="solid"/>
              <a:headEnd/>
              <a:tailEnd/>
            </a:ln>
            <a:effectLst/>
          </xdr:spPr>
          <xdr:txBody>
            <a:bodyPr wrap="square" lIns="45712" tIns="45712" rIns="45712" bIns="45712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marR="0" lvl="1" indent="-114300" algn="ctr" defTabSz="40005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FFE600"/>
                </a:buClr>
                <a:buSzPct val="75000"/>
                <a:buFontTx/>
                <a:buNone/>
                <a:tabLst/>
                <a:defRPr/>
              </a:pPr>
              <a:r>
                <a:rPr kumimoji="0" lang="en-US" sz="900" b="1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EYInterstate Light" panose="02000506000000020004" pitchFamily="2" charset="0"/>
                  <a:ea typeface="+mn-ea"/>
                  <a:cs typeface="+mn-cs"/>
                </a:rPr>
                <a:t>Hedging Set</a:t>
              </a:r>
              <a:r>
                <a:rPr kumimoji="0" lang="en-US" sz="900" b="1" i="0" u="none" strike="noStrike" kern="0" cap="none" spc="0" normalizeH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EYInterstate Light" panose="02000506000000020004" pitchFamily="2" charset="0"/>
                  <a:ea typeface="+mn-ea"/>
                  <a:cs typeface="+mn-cs"/>
                </a:rPr>
                <a:t> AddOn</a:t>
              </a:r>
              <a:endParaRPr kumimoji="0" lang="en-US" sz="900" b="1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EYInterstate Light" panose="02000506000000020004" pitchFamily="2" charset="0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63" name="Rounded Rectangle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 bwMode="auto">
          <a:xfrm>
            <a:off x="6941741" y="5071310"/>
            <a:ext cx="1554480" cy="182880"/>
          </a:xfrm>
          <a:prstGeom prst="roundRect">
            <a:avLst/>
          </a:prstGeom>
          <a:solidFill>
            <a:schemeClr val="accent2"/>
          </a:solidFill>
          <a:ln w="25400" cap="flat" cmpd="sng" algn="ctr">
            <a:solidFill>
              <a:srgbClr val="C0C0C0">
                <a:shade val="50000"/>
              </a:srgbClr>
            </a:solidFill>
            <a:prstDash val="solid"/>
            <a:headEnd/>
            <a:tailEnd/>
          </a:ln>
          <a:effectLst/>
        </xdr:spPr>
        <xdr:txBody>
          <a:bodyPr wrap="square" lIns="45712" tIns="45712" rIns="45712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kumimoji="0" lang="en-US" sz="900" b="1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EYInterstate Light" panose="02000506000000020004" pitchFamily="2" charset="0"/>
                <a:ea typeface="+mn-ea"/>
                <a:cs typeface="+mn-cs"/>
              </a:rPr>
              <a:t>EAD</a:t>
            </a:r>
          </a:p>
        </xdr:txBody>
      </xdr:sp>
      <xdr:sp macro="" textlink="">
        <xdr:nvSpPr>
          <xdr:cNvPr id="64" name="Rounded Rectangle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 bwMode="auto">
          <a:xfrm>
            <a:off x="502493" y="3103920"/>
            <a:ext cx="6107186" cy="2437071"/>
          </a:xfrm>
          <a:prstGeom prst="roundRect">
            <a:avLst/>
          </a:prstGeom>
          <a:solidFill>
            <a:srgbClr val="FFE600">
              <a:lumMod val="20000"/>
              <a:lumOff val="80000"/>
            </a:srgbClr>
          </a:solidFill>
          <a:ln w="6350" cap="flat" cmpd="sng" algn="ctr">
            <a:solidFill>
              <a:srgbClr val="80808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300"/>
              </a:spcAft>
              <a:buClr>
                <a:srgbClr val="FFE600"/>
              </a:buClr>
              <a:buSzPct val="75000"/>
              <a:buFont typeface="Arial" charset="0"/>
              <a:buChar char="►"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EYInterstate Light" panose="02000506000000020004" pitchFamily="2" charset="0"/>
              <a:cs typeface="Arial" pitchFamily="34" charset="0"/>
            </a:endParaRPr>
          </a:p>
          <a:p>
            <a:pPr marL="114300" marR="0" lvl="1" indent="-11430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300"/>
              </a:spcAft>
              <a:buClr>
                <a:srgbClr val="FFE600"/>
              </a:buClr>
              <a:buSzPct val="75000"/>
              <a:buFont typeface="Arial" charset="0"/>
              <a:buChar char="►"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EYInterstate Light" panose="02000506000000020004" pitchFamily="2" charset="0"/>
              <a:cs typeface="Arial" pitchFamily="34" charset="0"/>
            </a:endParaRPr>
          </a:p>
          <a:p>
            <a:pPr marL="114300" marR="0" lvl="1" indent="-11430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300"/>
              </a:spcAft>
              <a:buClr>
                <a:srgbClr val="FFE600"/>
              </a:buClr>
              <a:buSzPct val="75000"/>
              <a:buFont typeface="Arial" charset="0"/>
              <a:buChar char="►"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EYInterstate Light" panose="02000506000000020004" pitchFamily="2" charset="0"/>
              <a:cs typeface="Arial" pitchFamily="34" charset="0"/>
            </a:endParaRPr>
          </a:p>
          <a:p>
            <a:pPr marL="114300" marR="0" lvl="1" indent="-11430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30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rgbClr val="808080"/>
              </a:solidFill>
              <a:effectLst/>
              <a:uLnTx/>
              <a:uFillTx/>
              <a:latin typeface="EYInterstate Light" panose="02000506000000020004" pitchFamily="2" charset="0"/>
              <a:cs typeface="Arial" pitchFamily="34" charset="0"/>
            </a:endParaRPr>
          </a:p>
        </xdr:txBody>
      </xdr:sp>
      <xdr:sp macro="" textlink="">
        <xdr:nvSpPr>
          <xdr:cNvPr id="65" name="Rounded Rectangle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 bwMode="auto">
          <a:xfrm>
            <a:off x="503285" y="3073906"/>
            <a:ext cx="6106393" cy="320040"/>
          </a:xfrm>
          <a:prstGeom prst="roundRect">
            <a:avLst/>
          </a:prstGeom>
          <a:solidFill>
            <a:srgbClr val="808080">
              <a:lumMod val="75000"/>
            </a:srgbClr>
          </a:solidFill>
          <a:ln w="38100">
            <a:solidFill>
              <a:srgbClr val="808080">
                <a:lumMod val="75000"/>
              </a:srgbClr>
            </a:solidFill>
            <a:round/>
            <a:headEnd/>
            <a:tailEnd/>
          </a:ln>
          <a:effectLst/>
        </xdr:spPr>
        <xdr:txBody>
          <a:bodyPr wrap="square" lIns="45712" tIns="45712" rIns="45712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kumimoji="0" lang="en-US" sz="1400" b="1" i="0" u="none" strike="noStrike" kern="0" cap="none" spc="0" normalizeH="0" baseline="0">
                <a:ln>
                  <a:noFill/>
                </a:ln>
                <a:solidFill>
                  <a:srgbClr val="FFE600">
                    <a:lumMod val="60000"/>
                    <a:lumOff val="40000"/>
                  </a:srgbClr>
                </a:solidFill>
                <a:effectLst/>
                <a:uLnTx/>
                <a:uFillTx/>
                <a:latin typeface="EYInterstate Light" panose="02000506000000020004" pitchFamily="2" charset="0"/>
              </a:rPr>
              <a:t>Netting Set Level</a:t>
            </a:r>
          </a:p>
        </xdr:txBody>
      </xdr:sp>
      <xdr:sp macro="" textlink="">
        <xdr:nvSpPr>
          <xdr:cNvPr id="66" name="Rounded Rectangle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 bwMode="auto">
          <a:xfrm>
            <a:off x="693148" y="3479165"/>
            <a:ext cx="2500429" cy="182880"/>
          </a:xfrm>
          <a:prstGeom prst="roundRect">
            <a:avLst/>
          </a:prstGeom>
          <a:solidFill>
            <a:srgbClr val="808080"/>
          </a:solidFill>
          <a:ln w="38100">
            <a:solidFill>
              <a:srgbClr val="808080"/>
            </a:solidFill>
            <a:round/>
            <a:headEnd/>
            <a:tailEnd/>
          </a:ln>
          <a:effectLst/>
        </xdr:spPr>
        <xdr:txBody>
          <a:bodyPr wrap="square" lIns="0" tIns="45712" rIns="0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kumimoji="0" lang="en-US" sz="1400" b="1" i="0" u="none" strike="noStrike" kern="0" cap="none" spc="0" normalizeH="0" baseline="0">
                <a:ln>
                  <a:noFill/>
                </a:ln>
                <a:solidFill>
                  <a:srgbClr val="FFE600">
                    <a:lumMod val="60000"/>
                    <a:lumOff val="40000"/>
                  </a:srgbClr>
                </a:solidFill>
                <a:effectLst/>
                <a:uLnTx/>
                <a:uFillTx/>
                <a:latin typeface="EYInterstate Light" panose="02000506000000020004" pitchFamily="2" charset="0"/>
              </a:rPr>
              <a:t>Unmargined Netting</a:t>
            </a:r>
            <a:r>
              <a:rPr kumimoji="0" lang="en-US" sz="1400" b="1" i="0" u="none" strike="noStrike" kern="0" cap="none" spc="0" normalizeH="0">
                <a:ln>
                  <a:noFill/>
                </a:ln>
                <a:solidFill>
                  <a:srgbClr val="FFE600">
                    <a:lumMod val="60000"/>
                    <a:lumOff val="40000"/>
                  </a:srgbClr>
                </a:solidFill>
                <a:effectLst/>
                <a:uLnTx/>
                <a:uFillTx/>
                <a:latin typeface="EYInterstate Light" panose="02000506000000020004" pitchFamily="2" charset="0"/>
              </a:rPr>
              <a:t> Sets</a:t>
            </a:r>
            <a:endParaRPr kumimoji="0" lang="en-US" sz="1400" b="1" i="0" u="none" strike="noStrike" kern="0" cap="none" spc="0" normalizeH="0" baseline="0">
              <a:ln>
                <a:noFill/>
              </a:ln>
              <a:solidFill>
                <a:srgbClr val="FFE600">
                  <a:lumMod val="60000"/>
                  <a:lumOff val="40000"/>
                </a:srgbClr>
              </a:solidFill>
              <a:effectLst/>
              <a:uLnTx/>
              <a:uFillTx/>
              <a:latin typeface="EYInterstate Light" panose="02000506000000020004" pitchFamily="2" charset="0"/>
            </a:endParaRPr>
          </a:p>
        </xdr:txBody>
      </xdr:sp>
      <xdr:sp macro="" textlink="">
        <xdr:nvSpPr>
          <xdr:cNvPr id="67" name="Rounded Rectangle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 bwMode="auto">
          <a:xfrm>
            <a:off x="3996106" y="3479165"/>
            <a:ext cx="2500429" cy="182880"/>
          </a:xfrm>
          <a:prstGeom prst="roundRect">
            <a:avLst/>
          </a:prstGeom>
          <a:solidFill>
            <a:srgbClr val="808080"/>
          </a:solidFill>
          <a:ln w="38100">
            <a:solidFill>
              <a:srgbClr val="808080"/>
            </a:solidFill>
            <a:round/>
            <a:headEnd/>
            <a:tailEnd/>
          </a:ln>
          <a:effectLst/>
        </xdr:spPr>
        <xdr:txBody>
          <a:bodyPr wrap="square" lIns="0" tIns="45712" rIns="0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lang="en-US" sz="1400" b="1" kern="0">
                <a:solidFill>
                  <a:srgbClr val="FFE600">
                    <a:lumMod val="60000"/>
                    <a:lumOff val="40000"/>
                  </a:srgbClr>
                </a:solidFill>
                <a:latin typeface="EYInterstate Light" panose="02000506000000020004" pitchFamily="2" charset="0"/>
              </a:rPr>
              <a:t>M</a:t>
            </a:r>
            <a:r>
              <a:rPr kumimoji="0" lang="en-US" sz="1400" b="1" i="0" u="none" strike="noStrike" kern="0" cap="none" spc="0" normalizeH="0" baseline="0">
                <a:ln>
                  <a:noFill/>
                </a:ln>
                <a:solidFill>
                  <a:srgbClr val="FFE600">
                    <a:lumMod val="60000"/>
                    <a:lumOff val="40000"/>
                  </a:srgbClr>
                </a:solidFill>
                <a:effectLst/>
                <a:uLnTx/>
                <a:uFillTx/>
                <a:latin typeface="EYInterstate Light" panose="02000506000000020004" pitchFamily="2" charset="0"/>
              </a:rPr>
              <a:t>argined Netting</a:t>
            </a:r>
            <a:r>
              <a:rPr kumimoji="0" lang="en-US" sz="1400" b="1" i="0" u="none" strike="noStrike" kern="0" cap="none" spc="0" normalizeH="0">
                <a:ln>
                  <a:noFill/>
                </a:ln>
                <a:solidFill>
                  <a:srgbClr val="FFE600">
                    <a:lumMod val="60000"/>
                    <a:lumOff val="40000"/>
                  </a:srgbClr>
                </a:solidFill>
                <a:effectLst/>
                <a:uLnTx/>
                <a:uFillTx/>
                <a:latin typeface="EYInterstate Light" panose="02000506000000020004" pitchFamily="2" charset="0"/>
              </a:rPr>
              <a:t> Sets</a:t>
            </a:r>
            <a:endParaRPr kumimoji="0" lang="en-US" sz="1400" b="1" i="0" u="none" strike="noStrike" kern="0" cap="none" spc="0" normalizeH="0" baseline="0">
              <a:ln>
                <a:noFill/>
              </a:ln>
              <a:solidFill>
                <a:srgbClr val="FFE600">
                  <a:lumMod val="60000"/>
                  <a:lumOff val="40000"/>
                </a:srgbClr>
              </a:solidFill>
              <a:effectLst/>
              <a:uLnTx/>
              <a:uFillTx/>
              <a:latin typeface="EYInterstate Light" panose="02000506000000020004" pitchFamily="2" charset="0"/>
            </a:endParaRPr>
          </a:p>
        </xdr:txBody>
      </xdr: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/>
        </xdr:nvCxnSpPr>
        <xdr:spPr>
          <a:xfrm>
            <a:off x="1973363" y="3878874"/>
            <a:ext cx="0" cy="1551548"/>
          </a:xfrm>
          <a:prstGeom prst="line">
            <a:avLst/>
          </a:prstGeom>
          <a:noFill/>
          <a:ln w="38100" cap="flat" cmpd="sng" algn="ctr">
            <a:solidFill>
              <a:srgbClr val="FFE600"/>
            </a:solidFill>
            <a:prstDash val="solid"/>
            <a:tailEnd type="none"/>
          </a:ln>
          <a:effectLst/>
        </xdr:spPr>
      </xdr:cxnSp>
      <xdr:sp macro="" textlink="">
        <xdr:nvSpPr>
          <xdr:cNvPr id="69" name="Rounded Rectangl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 bwMode="auto">
          <a:xfrm>
            <a:off x="1196123" y="3762749"/>
            <a:ext cx="1554480" cy="182880"/>
          </a:xfrm>
          <a:prstGeom prst="roundRect">
            <a:avLst/>
          </a:prstGeom>
          <a:solidFill>
            <a:srgbClr val="C0C0C0"/>
          </a:solidFill>
          <a:ln w="25400" cap="flat" cmpd="sng" algn="ctr">
            <a:solidFill>
              <a:srgbClr val="C0C0C0">
                <a:shade val="50000"/>
              </a:srgbClr>
            </a:solidFill>
            <a:prstDash val="solid"/>
            <a:headEnd/>
            <a:tailEnd/>
          </a:ln>
          <a:effectLst/>
        </xdr:spPr>
        <xdr:txBody>
          <a:bodyPr wrap="square" lIns="45712" tIns="45712" rIns="45712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lang="en-US" sz="900" b="1" kern="0">
                <a:solidFill>
                  <a:srgbClr val="000000"/>
                </a:solidFill>
                <a:latin typeface="EYInterstate Light" panose="02000506000000020004" pitchFamily="2" charset="0"/>
              </a:rPr>
              <a:t>Market Value (V)</a:t>
            </a:r>
            <a:endParaRPr kumimoji="0" lang="en-US" sz="9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EYInterstate Light" panose="02000506000000020004" pitchFamily="2" charset="0"/>
            </a:endParaRPr>
          </a:p>
        </xdr:txBody>
      </xdr:sp>
      <xdr:sp macro="" textlink="">
        <xdr:nvSpPr>
          <xdr:cNvPr id="70" name="Rounded Rectangle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 bwMode="auto">
          <a:xfrm>
            <a:off x="1196123" y="3985323"/>
            <a:ext cx="1554480" cy="182880"/>
          </a:xfrm>
          <a:prstGeom prst="roundRect">
            <a:avLst/>
          </a:prstGeom>
          <a:solidFill>
            <a:srgbClr val="C0C0C0"/>
          </a:solidFill>
          <a:ln w="25400" cap="flat" cmpd="sng" algn="ctr">
            <a:solidFill>
              <a:srgbClr val="C0C0C0">
                <a:shade val="50000"/>
              </a:srgbClr>
            </a:solidFill>
            <a:prstDash val="solid"/>
            <a:headEnd/>
            <a:tailEnd/>
          </a:ln>
          <a:effectLst/>
        </xdr:spPr>
        <xdr:txBody>
          <a:bodyPr wrap="square" lIns="45712" tIns="45712" rIns="45712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lang="en-US" sz="900" b="1" kern="0">
                <a:solidFill>
                  <a:srgbClr val="000000"/>
                </a:solidFill>
                <a:latin typeface="EYInterstate Light" panose="02000506000000020004" pitchFamily="2" charset="0"/>
              </a:rPr>
              <a:t>Net Collateral (C)</a:t>
            </a:r>
            <a:endParaRPr kumimoji="0" lang="en-US" sz="9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EYInterstate Light" panose="02000506000000020004" pitchFamily="2" charset="0"/>
            </a:endParaRPr>
          </a:p>
        </xdr:txBody>
      </xdr: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CxnSpPr/>
        </xdr:nvCxnSpPr>
        <xdr:spPr>
          <a:xfrm>
            <a:off x="6269664" y="3841365"/>
            <a:ext cx="5716" cy="1566508"/>
          </a:xfrm>
          <a:prstGeom prst="line">
            <a:avLst/>
          </a:prstGeom>
          <a:noFill/>
          <a:ln w="38100" cap="flat" cmpd="sng" algn="ctr">
            <a:solidFill>
              <a:srgbClr val="FFE600"/>
            </a:solidFill>
            <a:prstDash val="solid"/>
            <a:tailEnd type="none"/>
          </a:ln>
          <a:effectLst/>
        </xdr:spPr>
      </xdr:cxnSp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CxnSpPr/>
        </xdr:nvCxnSpPr>
        <xdr:spPr>
          <a:xfrm>
            <a:off x="5973438" y="4084755"/>
            <a:ext cx="299084" cy="0"/>
          </a:xfrm>
          <a:prstGeom prst="line">
            <a:avLst/>
          </a:prstGeom>
          <a:noFill/>
          <a:ln w="38100" cap="flat" cmpd="sng" algn="ctr">
            <a:solidFill>
              <a:srgbClr val="FFE600"/>
            </a:solidFill>
            <a:prstDash val="solid"/>
            <a:tailEnd type="none"/>
          </a:ln>
          <a:effectLst/>
        </xdr:spPr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CxnSpPr/>
        </xdr:nvCxnSpPr>
        <xdr:spPr>
          <a:xfrm>
            <a:off x="5976296" y="3854189"/>
            <a:ext cx="299084" cy="0"/>
          </a:xfrm>
          <a:prstGeom prst="line">
            <a:avLst/>
          </a:prstGeom>
          <a:noFill/>
          <a:ln w="38100" cap="flat" cmpd="sng" algn="ctr">
            <a:solidFill>
              <a:srgbClr val="FFE600"/>
            </a:solidFill>
            <a:prstDash val="solid"/>
            <a:tailEnd type="none"/>
          </a:ln>
          <a:effectLst/>
        </xdr:spPr>
      </xdr:cxn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CxnSpPr/>
        </xdr:nvCxnSpPr>
        <xdr:spPr>
          <a:xfrm>
            <a:off x="5960686" y="5071310"/>
            <a:ext cx="299084" cy="0"/>
          </a:xfrm>
          <a:prstGeom prst="line">
            <a:avLst/>
          </a:prstGeom>
          <a:noFill/>
          <a:ln w="38100" cap="flat" cmpd="sng" algn="ctr">
            <a:solidFill>
              <a:srgbClr val="FFE600"/>
            </a:solidFill>
            <a:prstDash val="solid"/>
            <a:tailEnd type="none"/>
          </a:ln>
          <a:effectLst/>
        </xdr:spPr>
      </xdr:cxnSp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CxnSpPr/>
        </xdr:nvCxnSpPr>
        <xdr:spPr>
          <a:xfrm>
            <a:off x="5973438" y="4765597"/>
            <a:ext cx="299084" cy="0"/>
          </a:xfrm>
          <a:prstGeom prst="line">
            <a:avLst/>
          </a:prstGeom>
          <a:noFill/>
          <a:ln w="38100" cap="flat" cmpd="sng" algn="ctr">
            <a:solidFill>
              <a:srgbClr val="FFE600"/>
            </a:solidFill>
            <a:prstDash val="solid"/>
            <a:tailEnd type="none"/>
          </a:ln>
          <a:effectLst/>
        </xdr:spPr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CxnSpPr/>
        </xdr:nvCxnSpPr>
        <xdr:spPr>
          <a:xfrm>
            <a:off x="5976296" y="4458831"/>
            <a:ext cx="299084" cy="0"/>
          </a:xfrm>
          <a:prstGeom prst="line">
            <a:avLst/>
          </a:prstGeom>
          <a:noFill/>
          <a:ln w="38100" cap="flat" cmpd="sng" algn="ctr">
            <a:solidFill>
              <a:srgbClr val="FFE600"/>
            </a:solidFill>
            <a:prstDash val="solid"/>
            <a:tailEnd type="none"/>
          </a:ln>
          <a:effectLst/>
        </xdr:spPr>
      </xdr:cxnSp>
      <xdr:sp macro="" textlink="">
        <xdr:nvSpPr>
          <xdr:cNvPr id="77" name="Rounded Rectangle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 bwMode="auto">
          <a:xfrm>
            <a:off x="4491435" y="4384729"/>
            <a:ext cx="1554480" cy="182880"/>
          </a:xfrm>
          <a:prstGeom prst="roundRect">
            <a:avLst/>
          </a:prstGeom>
          <a:solidFill>
            <a:srgbClr val="C0C0C0"/>
          </a:solidFill>
          <a:ln w="25400" cap="flat" cmpd="sng" algn="ctr">
            <a:solidFill>
              <a:srgbClr val="C0C0C0">
                <a:shade val="50000"/>
              </a:srgbClr>
            </a:solidFill>
            <a:prstDash val="solid"/>
            <a:headEnd/>
            <a:tailEnd/>
          </a:ln>
          <a:effectLst/>
        </xdr:spPr>
        <xdr:txBody>
          <a:bodyPr wrap="square" lIns="45712" tIns="45712" rIns="45712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lang="en-US" sz="900" b="1" kern="0">
                <a:solidFill>
                  <a:srgbClr val="000000"/>
                </a:solidFill>
                <a:latin typeface="EYInterstate Light" panose="02000506000000020004" pitchFamily="2" charset="0"/>
              </a:rPr>
              <a:t>Threshold Amount (TH)</a:t>
            </a:r>
            <a:endParaRPr kumimoji="0" lang="en-US" sz="9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EYInterstate Light" panose="02000506000000020004" pitchFamily="2" charset="0"/>
            </a:endParaRPr>
          </a:p>
        </xdr:txBody>
      </xdr:sp>
      <xdr:sp macro="" textlink="">
        <xdr:nvSpPr>
          <xdr:cNvPr id="78" name="Rounded Rectangl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4491435" y="4621960"/>
            <a:ext cx="1554480" cy="256476"/>
          </a:xfrm>
          <a:prstGeom prst="roundRect">
            <a:avLst/>
          </a:prstGeom>
          <a:solidFill>
            <a:srgbClr val="C0C0C0"/>
          </a:solidFill>
          <a:ln w="25400" cap="flat" cmpd="sng" algn="ctr">
            <a:solidFill>
              <a:srgbClr val="C0C0C0">
                <a:shade val="50000"/>
              </a:srgbClr>
            </a:solidFill>
            <a:prstDash val="solid"/>
            <a:headEnd/>
            <a:tailEnd/>
          </a:ln>
          <a:effectLst/>
        </xdr:spPr>
        <xdr:txBody>
          <a:bodyPr wrap="square" lIns="0" tIns="0" rIns="0" bIns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lang="en-US" sz="900" b="1" kern="0">
                <a:solidFill>
                  <a:srgbClr val="000000"/>
                </a:solidFill>
                <a:latin typeface="EYInterstate Light" panose="02000506000000020004" pitchFamily="2" charset="0"/>
              </a:rPr>
              <a:t>Minimum Transfer Amount(MTA)</a:t>
            </a:r>
            <a:endParaRPr kumimoji="0" lang="en-US" sz="9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EYInterstate Light" panose="02000506000000020004" pitchFamily="2" charset="0"/>
            </a:endParaRPr>
          </a:p>
        </xdr:txBody>
      </xdr:sp>
      <xdr:sp macro="" textlink="">
        <xdr:nvSpPr>
          <xdr:cNvPr id="79" name="Rounded Rectangle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 bwMode="auto">
          <a:xfrm>
            <a:off x="4491435" y="4932787"/>
            <a:ext cx="1554480" cy="256032"/>
          </a:xfrm>
          <a:prstGeom prst="roundRect">
            <a:avLst/>
          </a:prstGeom>
          <a:solidFill>
            <a:srgbClr val="C0C0C0"/>
          </a:solidFill>
          <a:ln w="25400" cap="flat" cmpd="sng" algn="ctr">
            <a:solidFill>
              <a:srgbClr val="C0C0C0">
                <a:shade val="50000"/>
              </a:srgbClr>
            </a:solidFill>
            <a:prstDash val="solid"/>
            <a:headEnd/>
            <a:tailEnd/>
          </a:ln>
          <a:effectLst/>
        </xdr:spPr>
        <xdr:txBody>
          <a:bodyPr wrap="square" lIns="0" tIns="45712" rIns="0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lang="en-US" sz="900" b="1" kern="0">
                <a:solidFill>
                  <a:srgbClr val="000000"/>
                </a:solidFill>
                <a:latin typeface="EYInterstate Light" panose="02000506000000020004" pitchFamily="2" charset="0"/>
              </a:rPr>
              <a:t>Net Independent Collateral Amount (NICA)</a:t>
            </a:r>
            <a:endParaRPr kumimoji="0" lang="en-US" sz="9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EYInterstate Light" panose="02000506000000020004" pitchFamily="2" charset="0"/>
            </a:endParaRPr>
          </a:p>
        </xdr:txBody>
      </xdr:sp>
      <xdr:sp macro="" textlink="">
        <xdr:nvSpPr>
          <xdr:cNvPr id="80" name="Rounded 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 bwMode="auto">
          <a:xfrm>
            <a:off x="4491435" y="3762749"/>
            <a:ext cx="1554480" cy="182880"/>
          </a:xfrm>
          <a:prstGeom prst="roundRect">
            <a:avLst/>
          </a:prstGeom>
          <a:solidFill>
            <a:srgbClr val="C0C0C0"/>
          </a:solidFill>
          <a:ln w="25400" cap="flat" cmpd="sng" algn="ctr">
            <a:solidFill>
              <a:srgbClr val="C0C0C0">
                <a:shade val="50000"/>
              </a:srgbClr>
            </a:solidFill>
            <a:prstDash val="solid"/>
            <a:headEnd/>
            <a:tailEnd/>
          </a:ln>
          <a:effectLst/>
        </xdr:spPr>
        <xdr:txBody>
          <a:bodyPr wrap="square" lIns="45712" tIns="45712" rIns="45712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lang="en-US" sz="900" b="1" kern="0">
                <a:solidFill>
                  <a:srgbClr val="000000"/>
                </a:solidFill>
                <a:latin typeface="EYInterstate Light" panose="02000506000000020004" pitchFamily="2" charset="0"/>
              </a:rPr>
              <a:t>Market Value (V)</a:t>
            </a:r>
            <a:endParaRPr kumimoji="0" lang="en-US" sz="9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EYInterstate Light" panose="02000506000000020004" pitchFamily="2" charset="0"/>
            </a:endParaRPr>
          </a:p>
        </xdr:txBody>
      </xdr:sp>
      <xdr:sp macro="" textlink="">
        <xdr:nvSpPr>
          <xdr:cNvPr id="81" name="Rounded Rectangl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 bwMode="auto">
          <a:xfrm>
            <a:off x="4491435" y="3985323"/>
            <a:ext cx="1554480" cy="182880"/>
          </a:xfrm>
          <a:prstGeom prst="roundRect">
            <a:avLst/>
          </a:prstGeom>
          <a:solidFill>
            <a:srgbClr val="C0C0C0"/>
          </a:solidFill>
          <a:ln w="25400" cap="flat" cmpd="sng" algn="ctr">
            <a:solidFill>
              <a:srgbClr val="C0C0C0">
                <a:shade val="50000"/>
              </a:srgbClr>
            </a:solidFill>
            <a:prstDash val="solid"/>
            <a:headEnd/>
            <a:tailEnd/>
          </a:ln>
          <a:effectLst/>
        </xdr:spPr>
        <xdr:txBody>
          <a:bodyPr wrap="square" lIns="45712" tIns="45712" rIns="45712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lang="en-US" sz="900" b="1" kern="0">
                <a:solidFill>
                  <a:srgbClr val="000000"/>
                </a:solidFill>
                <a:latin typeface="EYInterstate Light" panose="02000506000000020004" pitchFamily="2" charset="0"/>
              </a:rPr>
              <a:t>Net Collateral (C)</a:t>
            </a:r>
            <a:endParaRPr kumimoji="0" lang="en-US" sz="9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EYInterstate Light" panose="02000506000000020004" pitchFamily="2" charset="0"/>
            </a:endParaRPr>
          </a:p>
        </xdr:txBody>
      </xdr: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/>
        </xdr:nvCxnSpPr>
        <xdr:spPr>
          <a:xfrm flipH="1" flipV="1">
            <a:off x="1969242" y="5419966"/>
            <a:ext cx="4332017" cy="10456"/>
          </a:xfrm>
          <a:prstGeom prst="line">
            <a:avLst/>
          </a:prstGeom>
          <a:noFill/>
          <a:ln w="38100" cap="flat" cmpd="sng" algn="ctr">
            <a:solidFill>
              <a:srgbClr val="FFE600"/>
            </a:solidFill>
            <a:prstDash val="solid"/>
            <a:tailEnd type="none"/>
          </a:ln>
          <a:effectLst/>
        </xdr:spPr>
      </xdr:cxnSp>
      <xdr:cxnSp macro="">
        <xdr:nvCxnSpPr>
          <xdr:cNvPr id="83" name="Straight Arrow Connector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/>
        </xdr:nvCxnSpPr>
        <xdr:spPr>
          <a:xfrm>
            <a:off x="6259770" y="4467938"/>
            <a:ext cx="667688" cy="0"/>
          </a:xfrm>
          <a:prstGeom prst="straightConnector1">
            <a:avLst/>
          </a:prstGeom>
          <a:noFill/>
          <a:ln w="38100" cap="flat" cmpd="sng" algn="ctr">
            <a:solidFill>
              <a:srgbClr val="FFE600"/>
            </a:solidFill>
            <a:prstDash val="solid"/>
            <a:tailEnd type="arrow"/>
          </a:ln>
          <a:effectLst/>
        </xdr:spPr>
      </xdr:cxnSp>
      <xdr:cxnSp macro="">
        <xdr:nvCxnSpPr>
          <xdr:cNvPr id="84" name="Straight Arrow Connector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>
            <a:off x="7710813" y="2866645"/>
            <a:ext cx="8168" cy="2194560"/>
          </a:xfrm>
          <a:prstGeom prst="straightConnector1">
            <a:avLst/>
          </a:prstGeom>
          <a:noFill/>
          <a:ln w="38100" cap="flat" cmpd="sng" algn="ctr">
            <a:solidFill>
              <a:schemeClr val="bg1">
                <a:lumMod val="20000"/>
                <a:lumOff val="80000"/>
              </a:schemeClr>
            </a:solidFill>
            <a:prstDash val="solid"/>
            <a:tailEnd type="arrow"/>
          </a:ln>
          <a:effectLst/>
        </xdr:spPr>
      </xdr:cxnSp>
      <xdr:sp macro="" textlink="">
        <xdr:nvSpPr>
          <xdr:cNvPr id="85" name="Rounded Rectangle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 bwMode="auto">
          <a:xfrm>
            <a:off x="6927458" y="4380621"/>
            <a:ext cx="1554480" cy="182880"/>
          </a:xfrm>
          <a:prstGeom prst="roundRect">
            <a:avLst/>
          </a:prstGeom>
          <a:solidFill>
            <a:schemeClr val="bg1">
              <a:lumMod val="20000"/>
              <a:lumOff val="80000"/>
            </a:schemeClr>
          </a:solidFill>
          <a:ln w="25400" cap="flat" cmpd="sng" algn="ctr">
            <a:solidFill>
              <a:srgbClr val="C0C0C0">
                <a:shade val="50000"/>
              </a:srgbClr>
            </a:solidFill>
            <a:prstDash val="solid"/>
            <a:headEnd/>
            <a:tailEnd/>
          </a:ln>
          <a:effectLst/>
        </xdr:spPr>
        <xdr:txBody>
          <a:bodyPr wrap="square" lIns="45712" tIns="45712" rIns="45712" bIns="45712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r>
              <a:rPr kumimoji="0" lang="en-US" sz="900" b="1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EYInterstate Light" panose="02000506000000020004" pitchFamily="2" charset="0"/>
                <a:ea typeface="+mn-ea"/>
                <a:cs typeface="+mn-cs"/>
              </a:rPr>
              <a:t>RC</a:t>
            </a:r>
          </a:p>
        </xdr:txBody>
      </xdr:sp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GrpSpPr/>
        </xdr:nvGrpSpPr>
        <xdr:grpSpPr>
          <a:xfrm>
            <a:off x="6927458" y="2081787"/>
            <a:ext cx="1554480" cy="830875"/>
            <a:chOff x="6938044" y="2591447"/>
            <a:chExt cx="1554480" cy="830875"/>
          </a:xfrm>
        </xdr:grpSpPr>
        <xdr:cxnSp macro="">
          <xdr:nvCxnSpPr>
            <xdr:cNvPr id="87" name="Straight Arrow Connector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CxnSpPr/>
          </xdr:nvCxnSpPr>
          <xdr:spPr>
            <a:xfrm flipH="1">
              <a:off x="7715285" y="2767418"/>
              <a:ext cx="14283" cy="456068"/>
            </a:xfrm>
            <a:prstGeom prst="straightConnector1">
              <a:avLst/>
            </a:prstGeom>
            <a:noFill/>
            <a:ln w="38100" cap="flat" cmpd="sng" algn="ctr">
              <a:solidFill>
                <a:srgbClr val="FFE600"/>
              </a:solidFill>
              <a:prstDash val="solid"/>
              <a:tailEnd type="arrow"/>
            </a:ln>
            <a:effectLst/>
          </xdr:spPr>
        </xdr:cxnSp>
        <xdr:sp macro="" textlink="">
          <xdr:nvSpPr>
            <xdr:cNvPr id="88" name="Rounded Rectangle 87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/>
          </xdr:nvSpPr>
          <xdr:spPr bwMode="auto">
            <a:xfrm>
              <a:off x="6938044" y="2591447"/>
              <a:ext cx="1554480" cy="182880"/>
            </a:xfrm>
            <a:prstGeom prst="roundRect">
              <a:avLst/>
            </a:prstGeom>
            <a:solidFill>
              <a:srgbClr val="C0C0C0"/>
            </a:solidFill>
            <a:ln w="25400" cap="flat" cmpd="sng" algn="ctr">
              <a:solidFill>
                <a:srgbClr val="C0C0C0">
                  <a:shade val="50000"/>
                </a:srgbClr>
              </a:solidFill>
              <a:prstDash val="solid"/>
              <a:headEnd/>
              <a:tailEnd/>
            </a:ln>
            <a:effectLst/>
          </xdr:spPr>
          <xdr:txBody>
            <a:bodyPr wrap="square" lIns="45712" tIns="45712" rIns="45712" bIns="45712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marR="0" lvl="1" indent="-114300" algn="ctr" defTabSz="40005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FFE600"/>
                </a:buClr>
                <a:buSzPct val="75000"/>
                <a:buFontTx/>
                <a:buNone/>
                <a:tabLst/>
                <a:defRPr/>
              </a:pPr>
              <a:r>
                <a:rPr kumimoji="0" lang="en-US" sz="900" b="1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EYInterstate Light" panose="02000506000000020004" pitchFamily="2" charset="0"/>
                  <a:ea typeface="+mn-ea"/>
                  <a:cs typeface="+mn-cs"/>
                </a:rPr>
                <a:t>Aggregate Addon</a:t>
              </a:r>
            </a:p>
          </xdr:txBody>
        </xdr:sp>
        <xdr:sp macro="" textlink="">
          <xdr:nvSpPr>
            <xdr:cNvPr id="89" name="Rounded Rectangle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/>
          </xdr:nvSpPr>
          <xdr:spPr bwMode="auto">
            <a:xfrm>
              <a:off x="6938044" y="2832226"/>
              <a:ext cx="1554480" cy="182880"/>
            </a:xfrm>
            <a:prstGeom prst="roundRect">
              <a:avLst/>
            </a:prstGeom>
            <a:solidFill>
              <a:srgbClr val="C0C0C0"/>
            </a:solidFill>
            <a:ln w="25400" cap="flat" cmpd="sng" algn="ctr">
              <a:solidFill>
                <a:srgbClr val="C0C0C0">
                  <a:shade val="50000"/>
                </a:srgbClr>
              </a:solidFill>
              <a:prstDash val="solid"/>
              <a:headEnd/>
              <a:tailEnd/>
            </a:ln>
            <a:effectLst/>
          </xdr:spPr>
          <xdr:txBody>
            <a:bodyPr wrap="square" lIns="45712" tIns="45712" rIns="45712" bIns="45712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lvl="1" indent="-114300" algn="ctr" defTabSz="400050">
                <a:buClr>
                  <a:srgbClr val="FFE600"/>
                </a:buClr>
                <a:buSzPct val="75000"/>
              </a:pPr>
              <a:r>
                <a:rPr lang="en-US" sz="900" b="1" kern="0">
                  <a:solidFill>
                    <a:srgbClr val="000000"/>
                  </a:solidFill>
                  <a:latin typeface="EYInterstate Light" panose="02000506000000020004" pitchFamily="2" charset="0"/>
                </a:rPr>
                <a:t>Multiplier</a:t>
              </a:r>
            </a:p>
          </xdr:txBody>
        </xdr:sp>
        <xdr:sp macro="" textlink="">
          <xdr:nvSpPr>
            <xdr:cNvPr id="90" name="Rounded Rectangle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 bwMode="auto">
            <a:xfrm>
              <a:off x="6938044" y="3239442"/>
              <a:ext cx="1554480" cy="182880"/>
            </a:xfrm>
            <a:prstGeom prst="roundRect">
              <a:avLst/>
            </a:prstGeom>
            <a:solidFill>
              <a:schemeClr val="bg1">
                <a:lumMod val="20000"/>
                <a:lumOff val="80000"/>
              </a:schemeClr>
            </a:solidFill>
            <a:ln w="25400" cap="flat" cmpd="sng" algn="ctr">
              <a:solidFill>
                <a:srgbClr val="C0C0C0">
                  <a:shade val="50000"/>
                </a:srgbClr>
              </a:solidFill>
              <a:prstDash val="solid"/>
              <a:headEnd/>
              <a:tailEnd/>
            </a:ln>
            <a:effectLst/>
          </xdr:spPr>
          <xdr:txBody>
            <a:bodyPr wrap="square" lIns="45712" tIns="45712" rIns="45712" bIns="45712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14300" marR="0" lvl="1" indent="-114300" algn="ctr" defTabSz="40005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FFE600"/>
                </a:buClr>
                <a:buSzPct val="75000"/>
                <a:buFontTx/>
                <a:buNone/>
                <a:tabLst/>
                <a:defRPr/>
              </a:pPr>
              <a:r>
                <a:rPr kumimoji="0" lang="en-US" sz="900" b="1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EYInterstate Light" panose="02000506000000020004" pitchFamily="2" charset="0"/>
                  <a:ea typeface="+mn-ea"/>
                  <a:cs typeface="+mn-cs"/>
                </a:rPr>
                <a:t>PFE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130969</xdr:colOff>
      <xdr:row>58</xdr:row>
      <xdr:rowOff>27214</xdr:rowOff>
    </xdr:from>
    <xdr:to>
      <xdr:col>36</xdr:col>
      <xdr:colOff>1306290</xdr:colOff>
      <xdr:row>65</xdr:row>
      <xdr:rowOff>71437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7667625" y="10076089"/>
          <a:ext cx="46121415" cy="127056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285751</xdr:colOff>
      <xdr:row>79</xdr:row>
      <xdr:rowOff>71438</xdr:rowOff>
    </xdr:from>
    <xdr:to>
      <xdr:col>5</xdr:col>
      <xdr:colOff>452437</xdr:colOff>
      <xdr:row>91</xdr:row>
      <xdr:rowOff>11906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5191126" y="13739813"/>
          <a:ext cx="1428749" cy="210740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2530929</xdr:colOff>
      <xdr:row>100</xdr:row>
      <xdr:rowOff>68035</xdr:rowOff>
    </xdr:from>
    <xdr:to>
      <xdr:col>7</xdr:col>
      <xdr:colOff>625930</xdr:colOff>
      <xdr:row>107</xdr:row>
      <xdr:rowOff>108858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4759779" y="17746435"/>
          <a:ext cx="3657601" cy="133622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0</xdr:rowOff>
    </xdr:from>
    <xdr:to>
      <xdr:col>9</xdr:col>
      <xdr:colOff>535594</xdr:colOff>
      <xdr:row>65</xdr:row>
      <xdr:rowOff>257194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9035143" y="9851571"/>
          <a:ext cx="1787451" cy="801480"/>
          <a:chOff x="3423189" y="3093891"/>
          <a:chExt cx="1615094" cy="807527"/>
        </a:xfrm>
      </xdr:grpSpPr>
      <xdr:sp macro="" textlink="">
        <xdr:nvSpPr>
          <xdr:cNvPr id="6" name="Rounded 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 bwMode="auto">
          <a:xfrm>
            <a:off x="3423189" y="3093891"/>
            <a:ext cx="1555719" cy="807527"/>
          </a:xfrm>
          <a:prstGeom prst="roundRect">
            <a:avLst/>
          </a:prstGeom>
          <a:solidFill>
            <a:srgbClr val="FFFFFF"/>
          </a:solidFill>
          <a:ln w="9525" cap="flat" cmpd="sng" algn="ctr">
            <a:solidFill>
              <a:srgbClr val="000000">
                <a:shade val="95000"/>
                <a:satMod val="105000"/>
              </a:srgbClr>
            </a:solidFill>
            <a:prstDash val="solid"/>
            <a:headEnd/>
            <a:tailE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  <xdr:txBody>
          <a:bodyPr wrap="square" lIns="45712" tIns="45712" rIns="45712" bIns="45712" anchor="t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EYInterstate Light" panose="02000506000000020004" pitchFamily="2" charset="0"/>
              <a:ea typeface="+mn-ea"/>
              <a:cs typeface="+mn-cs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TextBox 73">
                <a:extLst>
                  <a:ext uri="{FF2B5EF4-FFF2-40B4-BE49-F238E27FC236}">
                    <a16:creationId xmlns:a16="http://schemas.microsoft.com/office/drawing/2014/main" id="{00000000-0008-0000-0100-000007000000}"/>
                  </a:ext>
                </a:extLst>
              </xdr:cNvPr>
              <xdr:cNvSpPr txBox="1"/>
            </xdr:nvSpPr>
            <xdr:spPr>
              <a:xfrm>
                <a:off x="3448925" y="3124322"/>
                <a:ext cx="1518108" cy="496996"/>
              </a:xfrm>
              <a:prstGeom prst="rect">
                <a:avLst/>
              </a:prstGeom>
              <a:noFill/>
            </xdr:spPr>
            <xdr:txBody>
              <a:bodyPr wrap="square" lIns="0" tIns="36576" rIns="0" bIns="0" rtlCol="0">
                <a:spAutoFit/>
              </a:bodyPr>
              <a:lstStyle>
                <a:defPPr>
                  <a:defRPr lang="en-US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85000"/>
                  </a:lnSpc>
                  <a:spcBef>
                    <a:spcPts val="0"/>
                  </a:spcBef>
                  <a:spcAft>
                    <a:spcPts val="600"/>
                  </a:spcAft>
                  <a:buClr>
                    <a:srgbClr val="FFE600"/>
                  </a:buClr>
                  <a:buSzPct val="70000"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m:rPr>
                              <m:nor/>
                            </m:rPr>
                            <a:rPr kumimoji="0" lang="en-US" sz="900" b="0" i="0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EYInterstate Light" panose="02000506000000020004" pitchFamily="2" charset="0"/>
                            </a:rPr>
                            <m:t>D</m:t>
                          </m:r>
                        </m:e>
                        <m:sub>
                          <m:r>
                            <m:rPr>
                              <m:nor/>
                            </m:rPr>
                            <a:rPr kumimoji="0" lang="en-US" sz="900" b="0" i="0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EYInterstate Light" panose="02000506000000020004" pitchFamily="2" charset="0"/>
                            </a:rPr>
                            <m:t>jk</m:t>
                          </m:r>
                        </m:sub>
                        <m:sup/>
                      </m:sSubSup>
                      <m:r>
                        <m:rPr>
                          <m:nor/>
                        </m:rPr>
                        <a:rPr kumimoji="0" lang="en-US" sz="900" b="0" i="0" u="none" strike="noStrike" kern="0" cap="none" spc="0" normalizeH="0" baseline="0">
                          <a:ln>
                            <a:noFill/>
                          </a:ln>
                          <a:solidFill>
                            <a:srgbClr val="000000"/>
                          </a:solidFill>
                          <a:effectLst/>
                          <a:uLnTx/>
                          <a:uFillTx/>
                          <a:latin typeface="EYInterstate Light" panose="02000506000000020004" pitchFamily="2" charset="0"/>
                        </a:rPr>
                        <m:t>= </m:t>
                      </m:r>
                      <m:nary>
                        <m:naryPr>
                          <m:chr m:val="∑"/>
                          <m:supHide m:val="on"/>
                          <m:ctrlP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nor/>
                              <m:brk m:alnAt="7"/>
                            </m:rPr>
                            <a:rPr kumimoji="0" lang="en-US" sz="900" b="0" i="0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EYInterstate Light" panose="02000506000000020004" pitchFamily="2" charset="0"/>
                            </a:rPr>
                            <m:t>i</m:t>
                          </m:r>
                          <m:r>
                            <m:rPr>
                              <m:nor/>
                            </m:rPr>
                            <a:rPr kumimoji="0" lang="en-US" sz="900" b="0" i="0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EYInterstate Light" panose="02000506000000020004" pitchFamily="2" charset="0"/>
                              <a:ea typeface="Cambria Math"/>
                            </a:rPr>
                            <m:t>∈</m:t>
                          </m:r>
                          <m:d>
                            <m:dPr>
                              <m:begChr m:val="{"/>
                              <m:endChr m:val="}"/>
                              <m:ctrlPr>
                                <a:rPr kumimoji="0" lang="en-US" sz="900" b="0" i="1" u="none" strike="noStrike" kern="0" cap="none" spc="0" normalizeH="0" baseline="0">
                                  <a:ln>
                                    <a:noFill/>
                                  </a:ln>
                                  <a:solidFill>
                                    <a:srgbClr val="00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Cambria Math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kumimoji="0" lang="en-US" sz="900" b="0" i="1" u="none" strike="noStrike" kern="0" cap="none" spc="0" normalizeH="0" baseline="0">
                                      <a:ln>
                                        <a:noFill/>
                                      </a:ln>
                                      <a:solidFill>
                                        <a:srgbClr val="000000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Cambria Math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nor/>
                                    </m:rPr>
                                    <a:rPr kumimoji="0" lang="en-US" sz="900" b="0" i="0" u="none" strike="noStrike" kern="0" cap="none" spc="0" normalizeH="0" baseline="0">
                                      <a:ln>
                                        <a:noFill/>
                                      </a:ln>
                                      <a:solidFill>
                                        <a:srgbClr val="000000"/>
                                      </a:solidFill>
                                      <a:effectLst/>
                                      <a:uLnTx/>
                                      <a:uFillTx/>
                                      <a:latin typeface="EYInterstate Light" panose="02000506000000020004" pitchFamily="2" charset="0"/>
                                      <a:ea typeface="Cambria Math"/>
                                    </a:rPr>
                                    <m:t>Ccy</m:t>
                                  </m:r>
                                </m:e>
                                <m:sub>
                                  <m:r>
                                    <m:rPr>
                                      <m:nor/>
                                    </m:rPr>
                                    <a:rPr kumimoji="0" lang="en-US" sz="900" b="0" i="0" u="none" strike="noStrike" kern="0" cap="none" spc="0" normalizeH="0" baseline="0">
                                      <a:ln>
                                        <a:noFill/>
                                      </a:ln>
                                      <a:solidFill>
                                        <a:srgbClr val="000000"/>
                                      </a:solidFill>
                                      <a:effectLst/>
                                      <a:uLnTx/>
                                      <a:uFillTx/>
                                      <a:latin typeface="EYInterstate Light" panose="02000506000000020004" pitchFamily="2" charset="0"/>
                                      <a:ea typeface="Cambria Math"/>
                                    </a:rPr>
                                    <m:t>j</m:t>
                                  </m:r>
                                  <m:r>
                                    <m:rPr>
                                      <m:nor/>
                                    </m:rPr>
                                    <a:rPr kumimoji="0" lang="en-US" sz="900" b="0" i="0" u="none" strike="noStrike" kern="0" cap="none" spc="0" normalizeH="0" baseline="0">
                                      <a:ln>
                                        <a:noFill/>
                                      </a:ln>
                                      <a:solidFill>
                                        <a:srgbClr val="000000"/>
                                      </a:solidFill>
                                      <a:effectLst/>
                                      <a:uLnTx/>
                                      <a:uFillTx/>
                                      <a:latin typeface="EYInterstate Light" panose="02000506000000020004" pitchFamily="2" charset="0"/>
                                      <a:ea typeface="Cambria Math"/>
                                    </a:rPr>
                                    <m:t>, 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kumimoji="0" lang="en-US" sz="900" b="0" i="1" u="none" strike="noStrike" kern="0" cap="none" spc="0" normalizeH="0" baseline="0">
                                      <a:ln>
                                        <a:noFill/>
                                      </a:ln>
                                      <a:solidFill>
                                        <a:srgbClr val="000000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Cambria Math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nor/>
                                    </m:rPr>
                                    <a:rPr kumimoji="0" lang="en-US" sz="900" b="0" i="0" u="none" strike="noStrike" kern="0" cap="none" spc="0" normalizeH="0" baseline="0">
                                      <a:ln>
                                        <a:noFill/>
                                      </a:ln>
                                      <a:solidFill>
                                        <a:srgbClr val="000000"/>
                                      </a:solidFill>
                                      <a:effectLst/>
                                      <a:uLnTx/>
                                      <a:uFillTx/>
                                      <a:latin typeface="EYInterstate Light" panose="02000506000000020004" pitchFamily="2" charset="0"/>
                                      <a:ea typeface="Cambria Math"/>
                                    </a:rPr>
                                    <m:t>MB</m:t>
                                  </m:r>
                                </m:e>
                                <m:sub>
                                  <m:r>
                                    <m:rPr>
                                      <m:nor/>
                                    </m:rPr>
                                    <a:rPr kumimoji="0" lang="en-US" sz="900" b="0" i="0" u="none" strike="noStrike" kern="0" cap="none" spc="0" normalizeH="0" baseline="0">
                                      <a:ln>
                                        <a:noFill/>
                                      </a:ln>
                                      <a:solidFill>
                                        <a:srgbClr val="000000"/>
                                      </a:solidFill>
                                      <a:effectLst/>
                                      <a:uLnTx/>
                                      <a:uFillTx/>
                                      <a:latin typeface="EYInterstate Light" panose="02000506000000020004" pitchFamily="2" charset="0"/>
                                      <a:ea typeface="Cambria Math"/>
                                    </a:rPr>
                                    <m:t>k</m:t>
                                  </m:r>
                                </m:sub>
                              </m:sSub>
                            </m:e>
                          </m:d>
                        </m:sub>
                        <m:sup/>
                        <m:e>
                          <m:sSubSup>
                            <m:sSubSupPr>
                              <m:ctrlPr>
                                <a:rPr kumimoji="0" lang="en-US" sz="900" b="0" i="1" u="none" strike="noStrike" kern="0" cap="none" spc="0" normalizeH="0" baseline="0">
                                  <a:ln>
                                    <a:noFill/>
                                  </a:ln>
                                  <a:solidFill>
                                    <a:srgbClr val="00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Cambria Math"/>
                                </a:rPr>
                              </m:ctrlPr>
                            </m:sSubSupPr>
                            <m:e>
                              <m:sSub>
                                <m:sSubPr>
                                  <m:ctrlPr>
                                    <a:rPr kumimoji="0" lang="en-US" sz="900" b="0" i="1" u="none" strike="noStrike" kern="0" cap="none" spc="0" normalizeH="0" baseline="0">
                                      <a:ln>
                                        <a:noFill/>
                                      </a:ln>
                                      <a:solidFill>
                                        <a:srgbClr val="000000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Cambria Math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nor/>
                                    </m:rPr>
                                    <a:rPr kumimoji="0" lang="en-US" sz="900" b="0" i="0" u="none" strike="noStrike" kern="0" cap="none" spc="0" normalizeH="0" baseline="0">
                                      <a:ln>
                                        <a:noFill/>
                                      </a:ln>
                                      <a:solidFill>
                                        <a:srgbClr val="000000"/>
                                      </a:solidFill>
                                      <a:effectLst/>
                                      <a:uLnTx/>
                                      <a:uFillTx/>
                                      <a:latin typeface="EYInterstate Light" panose="02000506000000020004" pitchFamily="2" charset="0"/>
                                    </a:rPr>
                                    <m:t>d</m:t>
                                  </m:r>
                                </m:e>
                                <m:sub>
                                  <m:r>
                                    <m:rPr>
                                      <m:nor/>
                                    </m:rPr>
                                    <a:rPr kumimoji="0" lang="en-US" sz="900" b="0" i="0" u="none" strike="noStrike" kern="0" cap="none" spc="0" normalizeH="0" baseline="0">
                                      <a:ln>
                                        <a:noFill/>
                                      </a:ln>
                                      <a:solidFill>
                                        <a:srgbClr val="000000"/>
                                      </a:solidFill>
                                      <a:effectLst/>
                                      <a:uLnTx/>
                                      <a:uFillTx/>
                                      <a:latin typeface="EYInterstate Light" panose="02000506000000020004" pitchFamily="2" charset="0"/>
                                    </a:rPr>
                                    <m:t>i</m:t>
                                  </m:r>
                                </m:sub>
                              </m:sSub>
                              <m:r>
                                <m:rPr>
                                  <m:nor/>
                                </m:rPr>
                                <a:rPr kumimoji="0" lang="en-US" sz="900" b="0" i="0" u="none" strike="noStrike" kern="0" cap="none" spc="0" normalizeH="0" baseline="0">
                                  <a:ln>
                                    <a:noFill/>
                                  </a:ln>
                                  <a:solidFill>
                                    <a:srgbClr val="000000"/>
                                  </a:solidFill>
                                  <a:effectLst/>
                                  <a:uLnTx/>
                                  <a:uFillTx/>
                                  <a:latin typeface="EYInterstate Light" panose="02000506000000020004" pitchFamily="2" charset="0"/>
                                </a:rPr>
                                <m:t>∗</m:t>
                              </m:r>
                              <m:r>
                                <m:rPr>
                                  <m:nor/>
                                </m:rPr>
                                <a:rPr kumimoji="0" lang="en-US" sz="900" b="0" i="0" u="none" strike="noStrike" kern="0" cap="none" spc="0" normalizeH="0" baseline="0">
                                  <a:ln>
                                    <a:noFill/>
                                  </a:ln>
                                  <a:solidFill>
                                    <a:srgbClr val="000000"/>
                                  </a:solidFill>
                                  <a:effectLst/>
                                  <a:uLnTx/>
                                  <a:uFillTx/>
                                  <a:latin typeface="EYInterstate Light" panose="02000506000000020004" pitchFamily="2" charset="0"/>
                                  <a:ea typeface="Cambria Math"/>
                                </a:rPr>
                                <m:t>δ</m:t>
                              </m:r>
                            </m:e>
                            <m:sub>
                              <m:r>
                                <m:rPr>
                                  <m:nor/>
                                </m:rPr>
                                <a:rPr kumimoji="0" lang="en-US" sz="900" b="0" i="0" u="none" strike="noStrike" kern="0" cap="none" spc="0" normalizeH="0" baseline="0">
                                  <a:ln>
                                    <a:noFill/>
                                  </a:ln>
                                  <a:solidFill>
                                    <a:srgbClr val="000000"/>
                                  </a:solidFill>
                                  <a:effectLst/>
                                  <a:uLnTx/>
                                  <a:uFillTx/>
                                  <a:latin typeface="EYInterstate Light" panose="02000506000000020004" pitchFamily="2" charset="0"/>
                                </a:rPr>
                                <m:t>i</m:t>
                              </m:r>
                            </m:sub>
                            <m:sup/>
                          </m:sSubSup>
                          <m:r>
                            <m:rPr>
                              <m:nor/>
                            </m:rPr>
                            <a:rPr kumimoji="0" lang="en-US" sz="900" b="0" i="0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EYInterstate Light" panose="02000506000000020004" pitchFamily="2" charset="0"/>
                            </a:rPr>
                            <m:t>∗</m:t>
                          </m:r>
                          <m:sSubSup>
                            <m:sSubSupPr>
                              <m:ctrlPr>
                                <a:rPr kumimoji="0" lang="en-US" sz="900" b="0" i="1" u="none" strike="noStrike" kern="0" cap="none" spc="0" normalizeH="0" baseline="0">
                                  <a:ln>
                                    <a:noFill/>
                                  </a:ln>
                                  <a:solidFill>
                                    <a:srgbClr val="00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m:rPr>
                                  <m:nor/>
                                </m:rPr>
                                <a:rPr kumimoji="0" lang="en-US" sz="900" b="0" i="0" u="none" strike="noStrike" kern="0" cap="none" spc="0" normalizeH="0" baseline="0">
                                  <a:ln>
                                    <a:noFill/>
                                  </a:ln>
                                  <a:solidFill>
                                    <a:srgbClr val="000000"/>
                                  </a:solidFill>
                                  <a:effectLst/>
                                  <a:uLnTx/>
                                  <a:uFillTx/>
                                  <a:latin typeface="EYInterstate Light" panose="02000506000000020004" pitchFamily="2" charset="0"/>
                                </a:rPr>
                                <m:t>MF</m:t>
                              </m:r>
                            </m:e>
                            <m:sub>
                              <m:r>
                                <m:rPr>
                                  <m:nor/>
                                </m:rPr>
                                <a:rPr kumimoji="0" lang="en-US" sz="900" b="0" i="0" u="none" strike="noStrike" kern="0" cap="none" spc="0" normalizeH="0" baseline="0">
                                  <a:ln>
                                    <a:noFill/>
                                  </a:ln>
                                  <a:solidFill>
                                    <a:srgbClr val="000000"/>
                                  </a:solidFill>
                                  <a:effectLst/>
                                  <a:uLnTx/>
                                  <a:uFillTx/>
                                  <a:latin typeface="EYInterstate Light" panose="02000506000000020004" pitchFamily="2" charset="0"/>
                                </a:rPr>
                                <m:t>i</m:t>
                              </m:r>
                            </m:sub>
                            <m:sup/>
                          </m:sSubSup>
                        </m:e>
                      </m:nary>
                    </m:oMath>
                  </m:oMathPara>
                </a14:m>
                <a:endParaRPr kumimoji="0" lang="en-US" sz="9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EYInterstate Light" panose="02000506000000020004" pitchFamily="2" charset="0"/>
                </a:endParaRPr>
              </a:p>
            </xdr:txBody>
          </xdr:sp>
        </mc:Choice>
        <mc:Fallback xmlns="">
          <xdr:sp macro="" textlink="">
            <xdr:nvSpPr>
              <xdr:cNvPr id="7" name="TextBox 73"/>
              <xdr:cNvSpPr txBox="1"/>
            </xdr:nvSpPr>
            <xdr:spPr>
              <a:xfrm>
                <a:off x="3448925" y="3124322"/>
                <a:ext cx="1518108" cy="496996"/>
              </a:xfrm>
              <a:prstGeom prst="rect">
                <a:avLst/>
              </a:prstGeom>
              <a:noFill/>
            </xdr:spPr>
            <xdr:txBody>
              <a:bodyPr wrap="square" lIns="0" tIns="36576" rIns="0" bIns="0" rtlCol="0">
                <a:spAutoFit/>
              </a:bodyPr>
              <a:lstStyle>
                <a:defPPr>
                  <a:defRPr lang="en-US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85000"/>
                  </a:lnSpc>
                  <a:spcBef>
                    <a:spcPts val="0"/>
                  </a:spcBef>
                  <a:spcAft>
                    <a:spcPts val="600"/>
                  </a:spcAft>
                  <a:buClr>
                    <a:srgbClr val="FFE600"/>
                  </a:buClr>
                  <a:buSzPct val="70000"/>
                  <a:buFontTx/>
                  <a:buNone/>
                  <a:tabLst/>
                  <a:defRPr/>
                </a:pP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</a:rPr>
                  <a:t>"D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</a:rPr>
                  <a:t>" _"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</a:rPr>
                  <a:t>jk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</a:rPr>
                  <a:t>" ^  "= " ∑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  <a:ea typeface="Cambria Math"/>
                  </a:rPr>
                  <a:t>_"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</a:rPr>
                  <a:t>i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  <a:ea typeface="Cambria Math"/>
                  </a:rPr>
                  <a:t>∈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  <a:ea typeface="Cambria Math"/>
                  </a:rPr>
                  <a:t>" {〖"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  <a:ea typeface="Cambria Math"/>
                  </a:rPr>
                  <a:t>Ccy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  <a:ea typeface="Cambria Math"/>
                  </a:rPr>
                  <a:t>" 〗_"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  <a:ea typeface="Cambria Math"/>
                  </a:rPr>
                  <a:t>j, 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  <a:ea typeface="Cambria Math"/>
                  </a:rPr>
                  <a:t>"  〖"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  <a:ea typeface="Cambria Math"/>
                  </a:rPr>
                  <a:t>MB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  <a:ea typeface="Cambria Math"/>
                  </a:rPr>
                  <a:t>" 〗_"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  <a:ea typeface="Cambria Math"/>
                  </a:rPr>
                  <a:t>k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  <a:ea typeface="Cambria Math"/>
                  </a:rPr>
                  <a:t>"  }▒〖〖"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</a:rPr>
                  <a:t>d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</a:rPr>
                  <a:t>" 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  <a:ea typeface="Cambria Math"/>
                  </a:rPr>
                  <a:t>_"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</a:rPr>
                  <a:t>i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</a:rPr>
                  <a:t>"  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</a:rPr>
                  <a:t>∗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  <a:ea typeface="Cambria Math"/>
                  </a:rPr>
                  <a:t>δ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  <a:ea typeface="Cambria Math"/>
                  </a:rPr>
                  <a:t>" 〗_"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</a:rPr>
                  <a:t>i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</a:rPr>
                  <a:t>" ^  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</a:rPr>
                  <a:t>∗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</a:rPr>
                  <a:t>" 〖"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</a:rPr>
                  <a:t>MF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</a:rPr>
                  <a:t>" 〗_"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EYInterstate Light" panose="02000506000000020004" pitchFamily="2" charset="0"/>
                  </a:rPr>
                  <a:t>i</a:t>
                </a: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</a:rPr>
                  <a:t>" ^  〗</a:t>
                </a:r>
                <a:endParaRPr kumimoji="0" lang="en-US" sz="9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EYInterstate Light" panose="02000506000000020004" pitchFamily="2" charset="0"/>
                </a:endParaRPr>
              </a:p>
            </xdr:txBody>
          </xdr:sp>
        </mc:Fallback>
      </mc:AlternateContent>
      <xdr:sp macro="" textlink="">
        <xdr:nvSpPr>
          <xdr:cNvPr id="8" name="TextBox 74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3474728" y="3648685"/>
            <a:ext cx="1563555" cy="246221"/>
          </a:xfrm>
          <a:prstGeom prst="rect">
            <a:avLst/>
          </a:prstGeom>
          <a:noFill/>
        </xdr:spPr>
        <xdr:txBody>
          <a:bodyPr wrap="square" lIns="0" tIns="36576" rIns="0" bIns="0" rtlCol="0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85000"/>
              </a:lnSpc>
              <a:spcBef>
                <a:spcPts val="0"/>
              </a:spcBef>
              <a:spcAft>
                <a:spcPts val="600"/>
              </a:spcAft>
              <a:buClr>
                <a:srgbClr val="FFE600"/>
              </a:buClr>
              <a:buSzPct val="70000"/>
              <a:buFontTx/>
              <a:buNone/>
              <a:tabLst/>
              <a:defRPr/>
            </a:pPr>
            <a:r>
              <a:rPr kumimoji="0" lang="en-US" sz="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EYInterstate Light" panose="02000506000000020004" pitchFamily="2" charset="0"/>
              </a:rPr>
              <a:t>For Subset with currency </a:t>
            </a:r>
            <a:r>
              <a:rPr kumimoji="0" lang="en-US" sz="800" b="0" i="1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EYInterstate Light" panose="02000506000000020004" pitchFamily="2" charset="0"/>
              </a:rPr>
              <a:t>j</a:t>
            </a:r>
            <a:r>
              <a:rPr kumimoji="0" lang="en-US" sz="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EYInterstate Light" panose="02000506000000020004" pitchFamily="2" charset="0"/>
              </a:rPr>
              <a:t> and maturity bucket </a:t>
            </a:r>
            <a:r>
              <a:rPr kumimoji="0" lang="en-US" sz="800" b="0" i="1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EYInterstate Light" panose="02000506000000020004" pitchFamily="2" charset="0"/>
              </a:rPr>
              <a:t>k</a:t>
            </a:r>
          </a:p>
        </xdr:txBody>
      </xdr:sp>
    </xdr:grpSp>
    <xdr:clientData/>
  </xdr:twoCellAnchor>
  <xdr:twoCellAnchor>
    <xdr:from>
      <xdr:col>3</xdr:col>
      <xdr:colOff>961257</xdr:colOff>
      <xdr:row>80</xdr:row>
      <xdr:rowOff>138904</xdr:rowOff>
    </xdr:from>
    <xdr:to>
      <xdr:col>6</xdr:col>
      <xdr:colOff>166687</xdr:colOff>
      <xdr:row>83</xdr:row>
      <xdr:rowOff>173832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083971" y="13510190"/>
          <a:ext cx="4285430" cy="579213"/>
          <a:chOff x="6235726" y="14057310"/>
          <a:chExt cx="4515617" cy="570709"/>
        </a:xfrm>
      </xdr:grpSpPr>
      <xdr:sp macro="" textlink="">
        <xdr:nvSpPr>
          <xdr:cNvPr id="9" name="TextBox 9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6412554" y="14057310"/>
            <a:ext cx="2069985" cy="137025"/>
          </a:xfrm>
          <a:prstGeom prst="rect">
            <a:avLst/>
          </a:prstGeom>
          <a:noFill/>
        </xdr:spPr>
        <xdr:txBody>
          <a:bodyPr wrap="square" lIns="0" tIns="36576" rIns="0" bIns="0" rtlCol="0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fontAlgn="auto">
              <a:lnSpc>
                <a:spcPct val="85000"/>
              </a:lnSpc>
              <a:spcBef>
                <a:spcPts val="0"/>
              </a:spcBef>
              <a:spcAft>
                <a:spcPts val="600"/>
              </a:spcAft>
              <a:buClr>
                <a:srgbClr val="000000"/>
              </a:buClr>
              <a:buSzPct val="100000"/>
            </a:pPr>
            <a:r>
              <a:rPr lang="en-US" sz="800">
                <a:solidFill>
                  <a:srgbClr val="000000"/>
                </a:solidFill>
                <a:latin typeface="EYInterstate Light" panose="02000506000000020004" pitchFamily="2" charset="0"/>
              </a:rPr>
              <a:t>Calculate Hedging Set level effective notional</a:t>
            </a:r>
          </a:p>
        </xdr:txBody>
      </xdr:sp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 bwMode="auto">
          <a:xfrm>
            <a:off x="6402912" y="14201007"/>
            <a:ext cx="4276994" cy="427012"/>
          </a:xfrm>
          <a:prstGeom prst="roundRect">
            <a:avLst/>
          </a:prstGeom>
          <a:solidFill>
            <a:srgbClr val="FFFFFF"/>
          </a:solidFill>
          <a:ln w="9525" cap="flat" cmpd="sng" algn="ctr">
            <a:solidFill>
              <a:srgbClr val="000000">
                <a:shade val="95000"/>
                <a:satMod val="105000"/>
              </a:srgbClr>
            </a:solidFill>
            <a:prstDash val="solid"/>
            <a:headEnd/>
            <a:tailE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  <xdr:txBody>
          <a:bodyPr wrap="square" lIns="45712" tIns="45712" rIns="45712" bIns="45712" anchor="t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endParaRPr kumimoji="0" lang="en-US" sz="9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EYInterstate Light" panose="02000506000000020004" pitchFamily="2" charset="0"/>
              <a:ea typeface="+mn-ea"/>
              <a:cs typeface="+mn-cs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TextBox 102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SpPr txBox="1"/>
            </xdr:nvSpPr>
            <xdr:spPr>
              <a:xfrm>
                <a:off x="6235726" y="14269990"/>
                <a:ext cx="4515617" cy="252120"/>
              </a:xfrm>
              <a:prstGeom prst="rect">
                <a:avLst/>
              </a:prstGeom>
              <a:noFill/>
            </xdr:spPr>
            <xdr:txBody>
              <a:bodyPr wrap="square" lIns="0" tIns="36576" rIns="0" bIns="0" rtlCol="0">
                <a:spAutoFit/>
              </a:bodyPr>
              <a:lstStyle>
                <a:defPPr>
                  <a:defRPr lang="en-US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fontAlgn="auto">
                  <a:lnSpc>
                    <a:spcPct val="85000"/>
                  </a:lnSpc>
                  <a:spcBef>
                    <a:spcPts val="0"/>
                  </a:spcBef>
                  <a:spcAft>
                    <a:spcPts val="600"/>
                  </a:spcAft>
                  <a:buClr>
                    <a:srgbClr val="FFE600"/>
                  </a:buClr>
                  <a:buSzPct val="70000"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900" i="1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𝐸𝑓𝑓𝑒𝑐𝑡𝑖𝑣𝑒𝑁𝑜𝑡𝑖𝑜𝑛𝑎𝑙</m:t>
                          </m:r>
                        </m:e>
                        <m:sub>
                          <m:r>
                            <a:rPr lang="en-US" sz="900" i="1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𝑗</m:t>
                          </m:r>
                        </m:sub>
                      </m:sSub>
                      <m:r>
                        <a:rPr lang="en-US" sz="900" i="1">
                          <a:solidFill>
                            <a:srgbClr val="000000"/>
                          </a:solidFill>
                          <a:latin typeface="Cambria Math"/>
                        </a:rPr>
                        <m:t>=</m:t>
                      </m:r>
                      <m:sSup>
                        <m:sSupPr>
                          <m:ctrlPr>
                            <a:rPr lang="en-US" sz="900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900" i="1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[</m:t>
                          </m:r>
                          <m:sSubSup>
                            <m:sSubSupPr>
                              <m:ctrlP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𝑗</m:t>
                              </m:r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p>
                          </m:sSubSup>
                          <m:r>
                            <a:rPr lang="en-US" sz="900" i="1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+</m:t>
                          </m:r>
                          <m:sSubSup>
                            <m:sSubSupPr>
                              <m:ctrlP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𝑗</m:t>
                              </m:r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p>
                          </m:sSubSup>
                          <m:r>
                            <a:rPr lang="en-US" sz="900" i="1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+</m:t>
                          </m:r>
                          <m:sSubSup>
                            <m:sSubSupPr>
                              <m:ctrlP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𝑗</m:t>
                              </m:r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3</m:t>
                              </m:r>
                            </m:sub>
                            <m:sup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p>
                          </m:sSubSup>
                          <m:r>
                            <a:rPr lang="en-US" sz="900" i="1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+</m:t>
                          </m:r>
                          <m:r>
                            <a:rPr lang="en-US" sz="900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1.4</m:t>
                          </m:r>
                          <m:sSubSup>
                            <m:sSubSupPr>
                              <m:ctrlP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𝑗</m:t>
                              </m:r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p>
                          </m:sSubSup>
                          <m:sSubSup>
                            <m:sSubSupPr>
                              <m:ctrlP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𝑗</m:t>
                              </m:r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p>
                          </m:sSubSup>
                          <m:r>
                            <a:rPr lang="en-US" sz="900" i="1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+</m:t>
                          </m:r>
                          <m:r>
                            <a:rPr lang="en-US" sz="900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1.4</m:t>
                          </m:r>
                          <m:sSubSup>
                            <m:sSubSupPr>
                              <m:ctrlP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𝑗</m:t>
                              </m:r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p>
                          </m:sSubSup>
                          <m:sSubSup>
                            <m:sSubSupPr>
                              <m:ctrlP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𝑗</m:t>
                              </m:r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3</m:t>
                              </m:r>
                            </m:sub>
                            <m:sup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p>
                          </m:sSubSup>
                          <m:r>
                            <a:rPr lang="en-US" sz="900" i="1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+</m:t>
                          </m:r>
                          <m:r>
                            <a:rPr lang="en-US" sz="900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0.6</m:t>
                          </m:r>
                          <m:sSubSup>
                            <m:sSubSupPr>
                              <m:ctrlP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𝑗</m:t>
                              </m:r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p>
                          </m:sSubSup>
                          <m:sSubSup>
                            <m:sSubSupPr>
                              <m:ctrlP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𝑗</m:t>
                              </m:r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3</m:t>
                              </m:r>
                            </m:sub>
                            <m:sup>
                              <m:r>
                                <a:rPr lang="en-US" sz="900" i="1">
                                  <a:solidFill>
                                    <a:srgbClr val="000000"/>
                                  </a:solidFill>
                                  <a:latin typeface="Cambria Math"/>
                                </a:rPr>
                                <m:t>2</m:t>
                              </m:r>
                            </m:sup>
                          </m:sSubSup>
                          <m:r>
                            <a:rPr lang="en-US" sz="900" i="1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]</m:t>
                          </m:r>
                        </m:e>
                        <m:sup>
                          <m:r>
                            <a:rPr lang="en-US" sz="900" i="1">
                              <a:solidFill>
                                <a:srgbClr val="000000"/>
                              </a:solidFill>
                              <a:latin typeface="Cambria Math"/>
                            </a:rPr>
                            <m:t>1/2</m:t>
                          </m:r>
                        </m:sup>
                      </m:sSup>
                    </m:oMath>
                  </m:oMathPara>
                </a14:m>
                <a:endParaRPr lang="en-US" sz="900">
                  <a:solidFill>
                    <a:srgbClr val="000000"/>
                  </a:solidFill>
                  <a:latin typeface="Arial"/>
                </a:endParaRPr>
              </a:p>
            </xdr:txBody>
          </xdr:sp>
        </mc:Choice>
        <mc:Fallback xmlns="">
          <xdr:sp macro="" textlink="">
            <xdr:nvSpPr>
              <xdr:cNvPr id="11" name="TextBox 102"/>
              <xdr:cNvSpPr txBox="1"/>
            </xdr:nvSpPr>
            <xdr:spPr>
              <a:xfrm>
                <a:off x="6235726" y="14269990"/>
                <a:ext cx="4515617" cy="252120"/>
              </a:xfrm>
              <a:prstGeom prst="rect">
                <a:avLst/>
              </a:prstGeom>
              <a:noFill/>
            </xdr:spPr>
            <xdr:txBody>
              <a:bodyPr wrap="square" lIns="0" tIns="36576" rIns="0" bIns="0" rtlCol="0">
                <a:spAutoFit/>
              </a:bodyPr>
              <a:lstStyle>
                <a:defPPr>
                  <a:defRPr lang="en-US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fontAlgn="auto">
                  <a:lnSpc>
                    <a:spcPct val="85000"/>
                  </a:lnSpc>
                  <a:spcBef>
                    <a:spcPts val="0"/>
                  </a:spcBef>
                  <a:spcAft>
                    <a:spcPts val="600"/>
                  </a:spcAft>
                  <a:buClr>
                    <a:srgbClr val="FFE600"/>
                  </a:buClr>
                  <a:buSzPct val="70000"/>
                </a:pPr>
                <a:r>
                  <a:rPr lang="en-US" sz="900" i="0">
                    <a:solidFill>
                      <a:srgbClr val="000000"/>
                    </a:solidFill>
                    <a:latin typeface="Cambria Math"/>
                  </a:rPr>
                  <a:t>〖𝐸𝑓𝑓𝑒𝑐𝑡𝑖𝑣𝑒𝑁𝑜𝑡𝑖𝑜𝑛𝑎𝑙〗_𝑗=〖[𝐷_𝑗1^2+𝐷_𝑗2^2+𝐷_𝑗3^2+1.4𝐷_𝑗1^2 𝐷_𝑗2^2+1.4𝐷_𝑗2^2 𝐷_𝑗3^2+0.6𝐷_𝑗1^2 𝐷_𝑗3^2]〗^(1/2)</a:t>
                </a:r>
                <a:endParaRPr lang="en-US" sz="900">
                  <a:solidFill>
                    <a:srgbClr val="000000"/>
                  </a:solidFill>
                  <a:latin typeface="Arial"/>
                </a:endParaRPr>
              </a:p>
            </xdr:txBody>
          </xdr:sp>
        </mc:Fallback>
      </mc:AlternateContent>
    </xdr:grpSp>
    <xdr:clientData/>
  </xdr:twoCellAnchor>
  <xdr:twoCellAnchor>
    <xdr:from>
      <xdr:col>4</xdr:col>
      <xdr:colOff>1244599</xdr:colOff>
      <xdr:row>101</xdr:row>
      <xdr:rowOff>165101</xdr:rowOff>
    </xdr:from>
    <xdr:to>
      <xdr:col>7</xdr:col>
      <xdr:colOff>9524</xdr:colOff>
      <xdr:row>105</xdr:row>
      <xdr:rowOff>66677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5887356" y="17727387"/>
          <a:ext cx="1560739" cy="627290"/>
          <a:chOff x="6690768" y="2785075"/>
          <a:chExt cx="1841008" cy="622195"/>
        </a:xfrm>
      </xdr:grpSpPr>
      <xdr:sp macro="" textlink="">
        <xdr:nvSpPr>
          <xdr:cNvPr id="13" name="Rounded Rectangl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 bwMode="auto">
          <a:xfrm>
            <a:off x="6690768" y="2935411"/>
            <a:ext cx="1841008" cy="471859"/>
          </a:xfrm>
          <a:prstGeom prst="roundRect">
            <a:avLst/>
          </a:prstGeom>
          <a:solidFill>
            <a:srgbClr val="FFFFFF"/>
          </a:solidFill>
          <a:ln w="9525" cap="flat" cmpd="sng" algn="ctr">
            <a:solidFill>
              <a:srgbClr val="000000">
                <a:shade val="95000"/>
                <a:satMod val="105000"/>
              </a:srgbClr>
            </a:solidFill>
            <a:prstDash val="solid"/>
            <a:headEnd/>
            <a:tailE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  <xdr:txBody>
          <a:bodyPr wrap="square" lIns="45712" tIns="45712" rIns="45712" bIns="45712" anchor="t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EYInterstate Light" panose="02000506000000020004" pitchFamily="2" charset="0"/>
              <a:ea typeface="+mn-ea"/>
              <a:cs typeface="+mn-cs"/>
            </a:endParaRPr>
          </a:p>
        </xdr:txBody>
      </xdr:sp>
      <xdr:sp macro="" textlink="">
        <xdr:nvSpPr>
          <xdr:cNvPr id="14" name="TextBox 96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6741203" y="2785075"/>
            <a:ext cx="1467200" cy="141577"/>
          </a:xfrm>
          <a:prstGeom prst="rect">
            <a:avLst/>
          </a:prstGeom>
          <a:noFill/>
        </xdr:spPr>
        <xdr:txBody>
          <a:bodyPr wrap="square" lIns="0" tIns="36576" rIns="0" bIns="0" rtlCol="0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85000"/>
              </a:lnSpc>
              <a:spcBef>
                <a:spcPts val="0"/>
              </a:spcBef>
              <a:spcAft>
                <a:spcPts val="600"/>
              </a:spcAft>
              <a:buClr>
                <a:srgbClr val="000000"/>
              </a:buClr>
              <a:buSzPct val="100000"/>
              <a:buFontTx/>
              <a:buNone/>
              <a:tabLst/>
              <a:defRPr/>
            </a:pPr>
            <a:r>
              <a:rPr kumimoji="0" lang="en-US" sz="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EYInterstate Light" panose="02000506000000020004" pitchFamily="2" charset="0"/>
              </a:rPr>
              <a:t>Calculate Asset Class Addon</a:t>
            </a: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TextBox 97">
                <a:extLst>
                  <a:ext uri="{FF2B5EF4-FFF2-40B4-BE49-F238E27FC236}">
                    <a16:creationId xmlns:a16="http://schemas.microsoft.com/office/drawing/2014/main" id="{00000000-0008-0000-0100-00000F000000}"/>
                  </a:ext>
                </a:extLst>
              </xdr:cNvPr>
              <xdr:cNvSpPr txBox="1"/>
            </xdr:nvSpPr>
            <xdr:spPr>
              <a:xfrm>
                <a:off x="6741567" y="2974277"/>
                <a:ext cx="1641512" cy="412934"/>
              </a:xfrm>
              <a:prstGeom prst="rect">
                <a:avLst/>
              </a:prstGeom>
              <a:noFill/>
            </xdr:spPr>
            <xdr:txBody>
              <a:bodyPr wrap="square" lIns="0" tIns="36576" rIns="0" bIns="0" rtlCol="0">
                <a:spAutoFit/>
              </a:bodyPr>
              <a:lstStyle>
                <a:defPPr>
                  <a:defRPr lang="en-US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85000"/>
                  </a:lnSpc>
                  <a:spcBef>
                    <a:spcPts val="0"/>
                  </a:spcBef>
                  <a:spcAft>
                    <a:spcPts val="600"/>
                  </a:spcAft>
                  <a:buClr>
                    <a:srgbClr val="FFE600"/>
                  </a:buClr>
                  <a:buSzPct val="70000"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/>
                            </a:rPr>
                            <m:t>𝐴𝑑𝑑𝑂𝑛</m:t>
                          </m:r>
                        </m:e>
                        <m:sup>
                          <m: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/>
                            </a:rPr>
                            <m:t>(</m:t>
                          </m:r>
                          <m: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/>
                            </a:rPr>
                            <m:t>𝐼𝑅</m:t>
                          </m:r>
                          <m: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/>
                            </a:rPr>
                            <m:t>)</m:t>
                          </m:r>
                        </m:sup>
                      </m:sSup>
                      <m:r>
                        <a:rPr kumimoji="0" lang="en-US" sz="900" b="0" i="1" u="none" strike="noStrike" kern="0" cap="none" spc="0" normalizeH="0" baseline="0">
                          <a:ln>
                            <a:noFill/>
                          </a:ln>
                          <a:solidFill>
                            <a:srgbClr val="000000"/>
                          </a:solidFill>
                          <a:effectLst/>
                          <a:uLnTx/>
                          <a:uFillTx/>
                          <a:latin typeface="Cambria Math"/>
                        </a:rPr>
                        <m:t>=</m:t>
                      </m:r>
                      <m:nary>
                        <m:naryPr>
                          <m:chr m:val="∑"/>
                          <m:supHide m:val="on"/>
                          <m:ctrlP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7"/>
                            </m:rP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/>
                            </a:rPr>
                            <m:t>𝑗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kumimoji="0" lang="en-US" sz="900" b="0" i="1" u="none" strike="noStrike" kern="0" cap="none" spc="0" normalizeH="0" baseline="0">
                                  <a:ln>
                                    <a:noFill/>
                                  </a:ln>
                                  <a:solidFill>
                                    <a:srgbClr val="00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0" lang="en-US" sz="900" b="0" i="1" u="none" strike="noStrike" kern="0" cap="none" spc="0" normalizeH="0" baseline="0">
                                  <a:ln>
                                    <a:noFill/>
                                  </a:ln>
                                  <a:solidFill>
                                    <a:srgbClr val="000000"/>
                                  </a:solidFill>
                                  <a:effectLst/>
                                  <a:uLnTx/>
                                  <a:uFillTx/>
                                  <a:latin typeface="Cambria Math"/>
                                </a:rPr>
                                <m:t>𝐴𝑑𝑑𝑂𝑛</m:t>
                              </m:r>
                            </m:e>
                            <m:sub>
                              <m:r>
                                <a:rPr kumimoji="0" lang="en-US" sz="900" b="0" i="1" u="none" strike="noStrike" kern="0" cap="none" spc="0" normalizeH="0" baseline="0">
                                  <a:ln>
                                    <a:noFill/>
                                  </a:ln>
                                  <a:solidFill>
                                    <a:srgbClr val="000000"/>
                                  </a:solidFill>
                                  <a:effectLst/>
                                  <a:uLnTx/>
                                  <a:uFillTx/>
                                  <a:latin typeface="Cambria Math"/>
                                </a:rPr>
                                <m:t>𝑗</m:t>
                              </m:r>
                            </m:sub>
                          </m:sSub>
                        </m:e>
                      </m:nary>
                    </m:oMath>
                  </m:oMathPara>
                </a14:m>
                <a:endParaRPr kumimoji="0" lang="en-US" sz="9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</a:endParaRPr>
              </a:p>
            </xdr:txBody>
          </xdr:sp>
        </mc:Choice>
        <mc:Fallback xmlns="">
          <xdr:sp macro="" textlink="">
            <xdr:nvSpPr>
              <xdr:cNvPr id="15" name="TextBox 97"/>
              <xdr:cNvSpPr txBox="1"/>
            </xdr:nvSpPr>
            <xdr:spPr>
              <a:xfrm>
                <a:off x="6741567" y="2974277"/>
                <a:ext cx="1641512" cy="412934"/>
              </a:xfrm>
              <a:prstGeom prst="rect">
                <a:avLst/>
              </a:prstGeom>
              <a:noFill/>
            </xdr:spPr>
            <xdr:txBody>
              <a:bodyPr wrap="square" lIns="0" tIns="36576" rIns="0" bIns="0" rtlCol="0">
                <a:spAutoFit/>
              </a:bodyPr>
              <a:lstStyle>
                <a:defPPr>
                  <a:defRPr lang="en-US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85000"/>
                  </a:lnSpc>
                  <a:spcBef>
                    <a:spcPts val="0"/>
                  </a:spcBef>
                  <a:spcAft>
                    <a:spcPts val="600"/>
                  </a:spcAft>
                  <a:buClr>
                    <a:srgbClr val="FFE600"/>
                  </a:buClr>
                  <a:buSzPct val="70000"/>
                  <a:buFontTx/>
                  <a:buNone/>
                  <a:tabLst/>
                  <a:defRPr/>
                </a:pP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</a:rPr>
                  <a:t>〖𝐴𝑑𝑑𝑂𝑛〗^((𝐼𝑅))=∑_𝑗▒〖𝐴𝑑𝑑𝑂𝑛〗_𝑗 </a:t>
                </a:r>
                <a:endParaRPr kumimoji="0" lang="en-US" sz="9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</a:endParaRPr>
              </a:p>
            </xdr:txBody>
          </xdr:sp>
        </mc:Fallback>
      </mc:AlternateContent>
    </xdr:grpSp>
    <xdr:clientData/>
  </xdr:twoCellAnchor>
  <xdr:twoCellAnchor>
    <xdr:from>
      <xdr:col>8</xdr:col>
      <xdr:colOff>42333</xdr:colOff>
      <xdr:row>61</xdr:row>
      <xdr:rowOff>10580</xdr:rowOff>
    </xdr:from>
    <xdr:to>
      <xdr:col>9</xdr:col>
      <xdr:colOff>804333</xdr:colOff>
      <xdr:row>61</xdr:row>
      <xdr:rowOff>147605</xdr:rowOff>
    </xdr:to>
    <xdr:sp macro="" textlink="">
      <xdr:nvSpPr>
        <xdr:cNvPr id="16" name="TextBox 6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519708" y="10402355"/>
          <a:ext cx="1838325" cy="137025"/>
        </a:xfrm>
        <a:prstGeom prst="rect">
          <a:avLst/>
        </a:prstGeom>
        <a:noFill/>
      </xdr:spPr>
      <xdr:txBody>
        <a:bodyPr wrap="square" lIns="0" tIns="36576" rIns="0" bIns="0" rtlCol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fontAlgn="auto">
            <a:lnSpc>
              <a:spcPct val="85000"/>
            </a:lnSpc>
            <a:spcBef>
              <a:spcPts val="0"/>
            </a:spcBef>
            <a:spcAft>
              <a:spcPts val="600"/>
            </a:spcAft>
            <a:buClr>
              <a:srgbClr val="000000"/>
            </a:buClr>
            <a:buSzPct val="100000"/>
          </a:pPr>
          <a:r>
            <a:rPr lang="en-US" sz="800">
              <a:solidFill>
                <a:srgbClr val="000000"/>
              </a:solidFill>
              <a:latin typeface="EYInterstate Light" panose="02000506000000020004" pitchFamily="2" charset="0"/>
            </a:rPr>
            <a:t>Calculate Subset level effective notional</a:t>
          </a:r>
        </a:p>
      </xdr:txBody>
    </xdr:sp>
    <xdr:clientData/>
  </xdr:twoCellAnchor>
  <xdr:twoCellAnchor>
    <xdr:from>
      <xdr:col>4</xdr:col>
      <xdr:colOff>1023937</xdr:colOff>
      <xdr:row>88</xdr:row>
      <xdr:rowOff>23812</xdr:rowOff>
    </xdr:from>
    <xdr:to>
      <xdr:col>7</xdr:col>
      <xdr:colOff>928687</xdr:colOff>
      <xdr:row>91</xdr:row>
      <xdr:rowOff>35717</xdr:rowOff>
    </xdr:to>
    <xdr:sp macro="" textlink="">
      <xdr:nvSpPr>
        <xdr:cNvPr id="22" name="U-Turn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929312" y="15299531"/>
          <a:ext cx="2786063" cy="571499"/>
        </a:xfrm>
        <a:prstGeom prst="uturnArrow">
          <a:avLst>
            <a:gd name="adj1" fmla="val 0"/>
            <a:gd name="adj2" fmla="val 9706"/>
            <a:gd name="adj3" fmla="val 25000"/>
            <a:gd name="adj4" fmla="val 43750"/>
            <a:gd name="adj5" fmla="val 100000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150019</xdr:colOff>
      <xdr:row>86</xdr:row>
      <xdr:rowOff>47626</xdr:rowOff>
    </xdr:from>
    <xdr:to>
      <xdr:col>7</xdr:col>
      <xdr:colOff>476002</xdr:colOff>
      <xdr:row>89</xdr:row>
      <xdr:rowOff>81100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6046448" y="14507483"/>
          <a:ext cx="1868125" cy="577760"/>
          <a:chOff x="6690767" y="2785075"/>
          <a:chExt cx="1945233" cy="576400"/>
        </a:xfrm>
      </xdr:grpSpPr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 bwMode="auto">
          <a:xfrm>
            <a:off x="6690767" y="2935411"/>
            <a:ext cx="1945233" cy="426064"/>
          </a:xfrm>
          <a:prstGeom prst="roundRect">
            <a:avLst/>
          </a:prstGeom>
          <a:solidFill>
            <a:srgbClr val="FFFFFF"/>
          </a:solidFill>
          <a:ln w="9525" cap="flat" cmpd="sng" algn="ctr">
            <a:solidFill>
              <a:srgbClr val="000000">
                <a:shade val="95000"/>
                <a:satMod val="105000"/>
              </a:srgbClr>
            </a:solidFill>
            <a:prstDash val="solid"/>
            <a:headEnd/>
            <a:tailE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  <xdr:txBody>
          <a:bodyPr wrap="square" lIns="45712" tIns="45712" rIns="45712" bIns="45712" anchor="t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114300" marR="0" lvl="1" indent="-114300" algn="ctr" defTabSz="40005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FFE600"/>
              </a:buClr>
              <a:buSzPct val="75000"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EYInterstate Light" panose="02000506000000020004" pitchFamily="2" charset="0"/>
              <a:ea typeface="+mn-ea"/>
              <a:cs typeface="+mn-cs"/>
            </a:endParaRPr>
          </a:p>
        </xdr:txBody>
      </xdr:sp>
      <xdr:sp macro="" textlink="">
        <xdr:nvSpPr>
          <xdr:cNvPr id="19" name="TextBox 82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6793749" y="3195446"/>
            <a:ext cx="1563555" cy="141577"/>
          </a:xfrm>
          <a:prstGeom prst="rect">
            <a:avLst/>
          </a:prstGeom>
          <a:noFill/>
        </xdr:spPr>
        <xdr:txBody>
          <a:bodyPr wrap="square" lIns="0" tIns="36576" rIns="0" bIns="0" rtlCol="0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85000"/>
              </a:lnSpc>
              <a:spcBef>
                <a:spcPts val="0"/>
              </a:spcBef>
              <a:spcAft>
                <a:spcPts val="600"/>
              </a:spcAft>
              <a:buClr>
                <a:srgbClr val="FFE600"/>
              </a:buClr>
              <a:buSzPct val="70000"/>
              <a:buFontTx/>
              <a:buNone/>
              <a:tabLst/>
              <a:defRPr/>
            </a:pPr>
            <a:r>
              <a:rPr kumimoji="0" lang="en-US" sz="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EYInterstate Light" panose="02000506000000020004" pitchFamily="2" charset="0"/>
              </a:rPr>
              <a:t>For Hedging Set with currency </a:t>
            </a:r>
            <a:r>
              <a:rPr kumimoji="0" lang="en-US" sz="800" b="0" i="1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EYInterstate Light" panose="02000506000000020004" pitchFamily="2" charset="0"/>
              </a:rPr>
              <a:t>j</a:t>
            </a:r>
          </a:p>
        </xdr:txBody>
      </xdr:sp>
      <xdr:sp macro="" textlink="">
        <xdr:nvSpPr>
          <xdr:cNvPr id="20" name="TextBox 83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6793455" y="2785075"/>
            <a:ext cx="1467200" cy="141577"/>
          </a:xfrm>
          <a:prstGeom prst="rect">
            <a:avLst/>
          </a:prstGeom>
          <a:noFill/>
        </xdr:spPr>
        <xdr:txBody>
          <a:bodyPr wrap="square" lIns="0" tIns="36576" rIns="0" bIns="0" rtlCol="0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85000"/>
              </a:lnSpc>
              <a:spcBef>
                <a:spcPts val="0"/>
              </a:spcBef>
              <a:spcAft>
                <a:spcPts val="600"/>
              </a:spcAft>
              <a:buClr>
                <a:srgbClr val="000000"/>
              </a:buClr>
              <a:buSzPct val="100000"/>
              <a:buFontTx/>
              <a:buNone/>
              <a:tabLst/>
              <a:defRPr/>
            </a:pPr>
            <a:r>
              <a:rPr kumimoji="0" lang="en-US" sz="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EYInterstate Light" panose="02000506000000020004" pitchFamily="2" charset="0"/>
              </a:rPr>
              <a:t>Calculate Hedging Set Addon</a:t>
            </a: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1" name="TextBox 84">
                <a:extLst>
                  <a:ext uri="{FF2B5EF4-FFF2-40B4-BE49-F238E27FC236}">
                    <a16:creationId xmlns:a16="http://schemas.microsoft.com/office/drawing/2014/main" id="{00000000-0008-0000-0100-000015000000}"/>
                  </a:ext>
                </a:extLst>
              </xdr:cNvPr>
              <xdr:cNvSpPr txBox="1"/>
            </xdr:nvSpPr>
            <xdr:spPr>
              <a:xfrm>
                <a:off x="6741567" y="2974277"/>
                <a:ext cx="1834990" cy="241028"/>
              </a:xfrm>
              <a:prstGeom prst="rect">
                <a:avLst/>
              </a:prstGeom>
              <a:noFill/>
            </xdr:spPr>
            <xdr:txBody>
              <a:bodyPr wrap="square" lIns="0" tIns="36576" rIns="0" bIns="0" rtlCol="0">
                <a:spAutoFit/>
              </a:bodyPr>
              <a:lstStyle>
                <a:defPPr>
                  <a:defRPr lang="en-US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85000"/>
                  </a:lnSpc>
                  <a:spcBef>
                    <a:spcPts val="0"/>
                  </a:spcBef>
                  <a:spcAft>
                    <a:spcPts val="600"/>
                  </a:spcAft>
                  <a:buClr>
                    <a:srgbClr val="FFE600"/>
                  </a:buClr>
                  <a:buSzPct val="70000"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/>
                            </a:rPr>
                            <m:t>𝐴𝑑𝑑𝑂𝑛</m:t>
                          </m:r>
                        </m:e>
                        <m:sub>
                          <m: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/>
                            </a:rPr>
                            <m:t>𝑗</m:t>
                          </m:r>
                        </m:sub>
                      </m:sSub>
                      <m:r>
                        <a:rPr kumimoji="0" lang="en-US" sz="900" b="0" i="1" u="none" strike="noStrike" kern="0" cap="none" spc="0" normalizeH="0" baseline="0">
                          <a:ln>
                            <a:noFill/>
                          </a:ln>
                          <a:solidFill>
                            <a:srgbClr val="000000"/>
                          </a:solidFill>
                          <a:effectLst/>
                          <a:uLnTx/>
                          <a:uFillTx/>
                          <a:latin typeface="Cambria Math"/>
                        </a:rPr>
                        <m:t>=</m:t>
                      </m:r>
                      <m:sSub>
                        <m:sSubPr>
                          <m:ctrlP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/>
                            </a:rPr>
                            <m:t>𝑆𝐹</m:t>
                          </m:r>
                        </m:e>
                        <m:sub>
                          <m: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/>
                            </a:rPr>
                            <m:t>𝑗</m:t>
                          </m:r>
                        </m:sub>
                      </m:sSub>
                      <m:r>
                        <a:rPr kumimoji="0" lang="en-US" sz="900" b="0" i="1" u="none" strike="noStrike" kern="0" cap="none" spc="0" normalizeH="0" baseline="0">
                          <a:ln>
                            <a:noFill/>
                          </a:ln>
                          <a:solidFill>
                            <a:srgbClr val="000000"/>
                          </a:solidFill>
                          <a:effectLst/>
                          <a:uLnTx/>
                          <a:uFillTx/>
                          <a:latin typeface="Cambria Math"/>
                        </a:rPr>
                        <m:t>∗</m:t>
                      </m:r>
                      <m:sSub>
                        <m:sSubPr>
                          <m:ctrlP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/>
                            </a:rPr>
                            <m:t>𝐸𝑓𝑓𝑒𝑐𝑡𝑖𝑣𝑒𝑁𝑜𝑡𝑖𝑜𝑛𝑎𝑙</m:t>
                          </m:r>
                        </m:e>
                        <m:sub>
                          <m:r>
                            <a:rPr kumimoji="0" lang="en-US" sz="900" b="0" i="1" u="none" strike="noStrike" kern="0" cap="none" spc="0" normalizeH="0" baseline="0">
                              <a:ln>
                                <a:noFill/>
                              </a:ln>
                              <a:solidFill>
                                <a:srgbClr val="000000"/>
                              </a:solidFill>
                              <a:effectLst/>
                              <a:uLnTx/>
                              <a:uFillTx/>
                              <a:latin typeface="Cambria Math"/>
                            </a:rPr>
                            <m:t>𝑗</m:t>
                          </m:r>
                        </m:sub>
                      </m:sSub>
                    </m:oMath>
                  </m:oMathPara>
                </a14:m>
                <a:endParaRPr kumimoji="0" lang="en-US" sz="9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</a:endParaRPr>
              </a:p>
            </xdr:txBody>
          </xdr:sp>
        </mc:Choice>
        <mc:Fallback xmlns="">
          <xdr:sp macro="" textlink="">
            <xdr:nvSpPr>
              <xdr:cNvPr id="21" name="TextBox 84"/>
              <xdr:cNvSpPr txBox="1"/>
            </xdr:nvSpPr>
            <xdr:spPr>
              <a:xfrm>
                <a:off x="6741567" y="2974277"/>
                <a:ext cx="1834990" cy="241028"/>
              </a:xfrm>
              <a:prstGeom prst="rect">
                <a:avLst/>
              </a:prstGeom>
              <a:noFill/>
            </xdr:spPr>
            <xdr:txBody>
              <a:bodyPr wrap="square" lIns="0" tIns="36576" rIns="0" bIns="0" rtlCol="0">
                <a:spAutoFit/>
              </a:bodyPr>
              <a:lstStyle>
                <a:defPPr>
                  <a:defRPr lang="en-US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85000"/>
                  </a:lnSpc>
                  <a:spcBef>
                    <a:spcPts val="0"/>
                  </a:spcBef>
                  <a:spcAft>
                    <a:spcPts val="600"/>
                  </a:spcAft>
                  <a:buClr>
                    <a:srgbClr val="FFE600"/>
                  </a:buClr>
                  <a:buSzPct val="70000"/>
                  <a:buFontTx/>
                  <a:buNone/>
                  <a:tabLst/>
                  <a:defRPr/>
                </a:pPr>
                <a:r>
                  <a:rPr kumimoji="0" lang="en-US" sz="900" b="0" i="0" u="none" strike="noStrike" kern="0" cap="none" spc="0" normalizeH="0" baseline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Cambria Math"/>
                  </a:rPr>
                  <a:t>〖𝐴𝑑𝑑𝑂𝑛〗_𝑗=〖𝑆𝐹〗_𝑗∗〖𝐸𝑓𝑓𝑒𝑐𝑡𝑖𝑣𝑒𝑁𝑜𝑡𝑖𝑜𝑛𝑎𝑙〗_𝑗</a:t>
                </a:r>
                <a:endParaRPr kumimoji="0" lang="en-US" sz="9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</a:endParaRPr>
              </a:p>
            </xdr:txBody>
          </xdr:sp>
        </mc:Fallback>
      </mc:AlternateContent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Tuosto" refreshedDate="45504.859915972222" createdVersion="8" refreshedVersion="8" minRefreshableVersion="3" recordCount="80" xr:uid="{CB098A85-4B41-5F43-A5DF-E7A0D57FE6D0}">
  <cacheSource type="worksheet">
    <worksheetSource ref="C9:AF89" sheet="Data_Input"/>
  </cacheSource>
  <cacheFields count="30">
    <cacheField name="COB Date" numFmtId="14">
      <sharedItems containsSemiMixedTypes="0" containsNonDate="0" containsDate="1" containsString="0" minDate="2013-10-07T00:00:00" maxDate="2024-01-01T00:00:00"/>
    </cacheField>
    <cacheField name="Counterparty ID" numFmtId="0">
      <sharedItems count="5">
        <s v="ABC345"/>
        <s v="XYZ200"/>
        <s v="DEF123"/>
        <s v="ABC123"/>
        <s v="XYZ789"/>
      </sharedItems>
    </cacheField>
    <cacheField name="Netting Set ID" numFmtId="0">
      <sharedItems containsSemiMixedTypes="0" containsString="0" containsNumber="1" containsInteger="1" minValue="1101" maxValue="1103" count="3">
        <n v="1101"/>
        <n v="1102"/>
        <n v="1103"/>
      </sharedItems>
    </cacheField>
    <cacheField name="Ticket Number" numFmtId="0">
      <sharedItems containsSemiMixedTypes="0" containsString="0" containsNumber="1" containsInteger="1" minValue="101" maxValue="180" count="80"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</sharedItems>
    </cacheField>
    <cacheField name="Trade Type" numFmtId="0">
      <sharedItems/>
    </cacheField>
    <cacheField name="Asset Class" numFmtId="0">
      <sharedItems count="5">
        <s v="Credit"/>
        <s v="Interest Rate"/>
        <s v="FX"/>
        <s v="Equity"/>
        <s v="Commodity"/>
      </sharedItems>
    </cacheField>
    <cacheField name="Sub Class" numFmtId="0">
      <sharedItems containsBlank="1"/>
    </cacheField>
    <cacheField name="Trade Leg 1 Currency" numFmtId="0">
      <sharedItems containsBlank="1" count="7">
        <m/>
        <s v="AUD"/>
        <s v="USD"/>
        <s v="EUR"/>
        <s v="MXN"/>
        <s v="JPY"/>
        <s v="CHF"/>
      </sharedItems>
    </cacheField>
    <cacheField name="Trade Leg 2 Currency" numFmtId="0">
      <sharedItems containsBlank="1" count="8">
        <m/>
        <s v="CAD"/>
        <s v="AUD"/>
        <s v="EUR"/>
        <s v="USD"/>
        <s v="MXN"/>
        <s v="JPY"/>
        <s v="NOK"/>
      </sharedItems>
    </cacheField>
    <cacheField name="Base Currency" numFmtId="0">
      <sharedItems containsBlank="1"/>
    </cacheField>
    <cacheField name="Basis/Volatility Indicator" numFmtId="0">
      <sharedItems containsBlank="1"/>
    </cacheField>
    <cacheField name="Underlying Basis" numFmtId="0">
      <sharedItems containsBlank="1"/>
    </cacheField>
    <cacheField name="Underlying Entity Name" numFmtId="0">
      <sharedItems containsBlank="1"/>
    </cacheField>
    <cacheField name="Underling Entity Type" numFmtId="0">
      <sharedItems containsBlank="1"/>
    </cacheField>
    <cacheField name="Underlying Entity Rating" numFmtId="0">
      <sharedItems containsBlank="1"/>
    </cacheField>
    <cacheField name="Maturity Date" numFmtId="14">
      <sharedItems containsSemiMixedTypes="0" containsNonDate="0" containsDate="1" containsString="0" minDate="2014-05-20T00:00:00" maxDate="2029-05-26T00:00:00"/>
    </cacheField>
    <cacheField name="Start Date" numFmtId="14">
      <sharedItems containsNonDate="0" containsDate="1" containsString="0" containsBlank="1" minDate="2013-08-05T00:00:00" maxDate="2014-01-02T00:00:00"/>
    </cacheField>
    <cacheField name="End Date" numFmtId="14">
      <sharedItems containsNonDate="0" containsDate="1" containsString="0" containsBlank="1" minDate="2014-05-20T00:00:00" maxDate="2025-01-23T00:00:00"/>
    </cacheField>
    <cacheField name="Leg 1 Notional" numFmtId="0">
      <sharedItems containsString="0" containsBlank="1" containsNumber="1" minValue="12000000" maxValue="700000000"/>
    </cacheField>
    <cacheField name="Leg 2 Notional" numFmtId="0">
      <sharedItems containsString="0" containsBlank="1" containsNumber="1" minValue="11621913.01" maxValue="995000000"/>
    </cacheField>
    <cacheField name="Base Notional" numFmtId="44">
      <sharedItems containsString="0" containsBlank="1" containsNumber="1" minValue="10621913.01" maxValue="987000000"/>
    </cacheField>
    <cacheField name="Margined/ Unmargined" numFmtId="0">
      <sharedItems/>
    </cacheField>
    <cacheField name="CCP" numFmtId="0">
      <sharedItems/>
    </cacheField>
    <cacheField name="Margin Frequency (Business Days)" numFmtId="0">
      <sharedItems containsMixedTypes="1" containsNumber="1" containsInteger="1" minValue="5" maxValue="10"/>
    </cacheField>
    <cacheField name="Buy/Sell Indicator" numFmtId="0">
      <sharedItems/>
    </cacheField>
    <cacheField name="Contractucal Exercise Date" numFmtId="0">
      <sharedItems containsNonDate="0" containsDate="1" containsString="0" containsBlank="1" minDate="2014-09-29T00:00:00" maxDate="2027-11-24T00:00:00"/>
    </cacheField>
    <cacheField name="Put/Call Indicator" numFmtId="0">
      <sharedItems containsBlank="1"/>
    </cacheField>
    <cacheField name="Strike Price (Ki)" numFmtId="0">
      <sharedItems containsString="0" containsBlank="1" containsNumber="1" containsInteger="1" minValue="105" maxValue="155"/>
    </cacheField>
    <cacheField name="Underlying Price (Pi)" numFmtId="0">
      <sharedItems containsString="0" containsBlank="1" containsNumber="1" containsInteger="1" minValue="115" maxValue="155"/>
    </cacheField>
    <cacheField name="MtM" numFmtId="44">
      <sharedItems containsSemiMixedTypes="0" containsString="0" containsNumber="1" minValue="-7420680.8300000001" maxValue="7406680.83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Tuosto" refreshedDate="45504.938360300926" createdVersion="8" refreshedVersion="8" minRefreshableVersion="3" recordCount="12" xr:uid="{251CC0DD-6318-224E-A040-7F9FB4AA781E}">
  <cacheSource type="worksheet">
    <worksheetSource ref="A29:E41" sheet="IR"/>
  </cacheSource>
  <cacheFields count="5">
    <cacheField name="Counterparty ID" numFmtId="0">
      <sharedItems count="3">
        <s v="ABC123"/>
        <s v="DEF123"/>
        <s v="XYZ789"/>
      </sharedItems>
    </cacheField>
    <cacheField name="Netting Set ID" numFmtId="0">
      <sharedItems containsSemiMixedTypes="0" containsString="0" containsNumber="1" containsInteger="1" minValue="1101" maxValue="1103" count="3">
        <n v="1101"/>
        <n v="1103"/>
        <n v="1102"/>
      </sharedItems>
    </cacheField>
    <cacheField name="Hedging Set" numFmtId="0">
      <sharedItems count="5">
        <s v="AUD [1 month LIBOR vs OIS Rate]"/>
        <s v="AUD [3 month LIBOR vs 6 month LIBOR]"/>
        <s v="JPY"/>
        <s v="USD"/>
        <s v="AUD"/>
      </sharedItems>
    </cacheField>
    <cacheField name="Hedging Subset" numFmtId="1">
      <sharedItems containsSemiMixedTypes="0" containsString="0" containsNumber="1" containsInteger="1" minValue="1" maxValue="3" count="3">
        <n v="1"/>
        <n v="2"/>
        <n v="3"/>
      </sharedItems>
    </cacheField>
    <cacheField name="Sum of Trade Level Effective Notional" numFmtId="169">
      <sharedItems containsSemiMixedTypes="0" containsString="0" containsNumber="1" minValue="-430832352.13115525" maxValue="455782918.510036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Tuosto" refreshedDate="45504.959754745367" createdVersion="8" refreshedVersion="8" minRefreshableVersion="3" recordCount="7" xr:uid="{9B106196-096D-0140-9880-A6AA5DF66240}">
  <cacheSource type="worksheet">
    <worksheetSource ref="A47:F54" sheet="IR"/>
  </cacheSource>
  <cacheFields count="6">
    <cacheField name="Counterparty ID" numFmtId="0">
      <sharedItems count="3">
        <s v="ABC123"/>
        <s v="DEF123"/>
        <s v="XYZ789"/>
      </sharedItems>
    </cacheField>
    <cacheField name="Netting Set ID" numFmtId="0">
      <sharedItems containsSemiMixedTypes="0" containsString="0" containsNumber="1" containsInteger="1" minValue="1101" maxValue="1103" count="3">
        <n v="1101"/>
        <n v="1103"/>
        <n v="1102"/>
      </sharedItems>
    </cacheField>
    <cacheField name="Hedging Set" numFmtId="0">
      <sharedItems/>
    </cacheField>
    <cacheField name="1" numFmtId="169">
      <sharedItems containsString="0" containsBlank="1" containsNumber="1" minValue="-18819543.062566984" maxValue="16375797.303985156"/>
    </cacheField>
    <cacheField name="2" numFmtId="169">
      <sharedItems containsString="0" containsBlank="1" containsNumber="1" minValue="-430832352.13115525" maxValue="213331353.13470548"/>
    </cacheField>
    <cacheField name="3" numFmtId="169">
      <sharedItems containsString="0" containsBlank="1" containsNumber="1" minValue="-42629634.358102404" maxValue="455782918.510036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Tuosto" refreshedDate="45505.348078819443" createdVersion="8" refreshedVersion="8" minRefreshableVersion="3" recordCount="16" xr:uid="{1B12944D-619A-434A-8B62-0707D2E3A9BE}">
  <cacheSource type="worksheet">
    <worksheetSource ref="A4:AH20" sheet="IR"/>
  </cacheSource>
  <cacheFields count="34">
    <cacheField name="Counterparty ID" numFmtId="0">
      <sharedItems count="3">
        <s v="ABC123"/>
        <s v="DEF123"/>
        <s v="XYZ789"/>
      </sharedItems>
    </cacheField>
    <cacheField name="Netting Set ID" numFmtId="0">
      <sharedItems containsSemiMixedTypes="0" containsString="0" containsNumber="1" containsInteger="1" minValue="1101" maxValue="1103" count="3">
        <n v="1101"/>
        <n v="1103"/>
        <n v="1102"/>
      </sharedItems>
    </cacheField>
    <cacheField name="Ticket Number" numFmtId="0">
      <sharedItems containsSemiMixedTypes="0" containsString="0" containsNumber="1" containsInteger="1" minValue="101" maxValue="116"/>
    </cacheField>
    <cacheField name="Sum of MtM" numFmtId="169">
      <sharedItems containsSemiMixedTypes="0" containsString="0" containsNumber="1" minValue="-149917.47" maxValue="7406680.8300000001"/>
    </cacheField>
    <cacheField name="Sum of Base Notional" numFmtId="169">
      <sharedItems containsSemiMixedTypes="0" containsString="0" containsNumber="1" minValue="10621913.01" maxValue="233269400"/>
    </cacheField>
    <cacheField name="Trade Type" numFmtId="0">
      <sharedItems/>
    </cacheField>
    <cacheField name="Base Currency" numFmtId="0">
      <sharedItems/>
    </cacheField>
    <cacheField name="Basis/Volatility Indicator" numFmtId="0">
      <sharedItems/>
    </cacheField>
    <cacheField name="Specific Basis" numFmtId="0">
      <sharedItems/>
    </cacheField>
    <cacheField name="Hedging Set" numFmtId="0">
      <sharedItems count="5">
        <s v="USD"/>
        <s v="JPY"/>
        <s v="AUD [3 month LIBOR vs 6 month LIBOR]"/>
        <s v="AUD [1 month LIBOR vs OIS Rate]"/>
        <s v="AUD"/>
      </sharedItems>
    </cacheField>
    <cacheField name="Maturity Date" numFmtId="14">
      <sharedItems containsSemiMixedTypes="0" containsNonDate="0" containsDate="1" containsString="0" minDate="2024-05-20T00:00:00" maxDate="2029-05-26T00:00:00"/>
    </cacheField>
    <cacheField name="Mi" numFmtId="0">
      <sharedItems containsSemiMixedTypes="0" containsString="0" containsNumber="1" minValue="0.38524590163934425" maxValue="5.3985138834571762"/>
    </cacheField>
    <cacheField name="Hedging Subset" numFmtId="2">
      <sharedItems containsSemiMixedTypes="0" containsString="0" containsNumber="1" containsInteger="1" minValue="1" maxValue="3" count="3">
        <n v="2"/>
        <n v="1"/>
        <n v="3"/>
      </sharedItems>
    </cacheField>
    <cacheField name="Start Date" numFmtId="14">
      <sharedItems containsSemiMixedTypes="0" containsNonDate="0" containsDate="1" containsString="0" minDate="2013-08-05T00:00:00" maxDate="2014-01-02T00:00:00"/>
    </cacheField>
    <cacheField name="Si" numFmtId="0">
      <sharedItems containsSemiMixedTypes="0" containsString="0" containsNumber="1" containsInteger="1" minValue="0" maxValue="0"/>
    </cacheField>
    <cacheField name="End Date" numFmtId="14">
      <sharedItems containsSemiMixedTypes="0" containsNonDate="0" containsDate="1" containsString="0" minDate="2024-05-20T00:00:00" maxDate="2029-05-26T00:00:00"/>
    </cacheField>
    <cacheField name="Ei" numFmtId="0">
      <sharedItems containsSemiMixedTypes="0" containsString="0" containsNumber="1" minValue="0.38524590163934425" maxValue="5.3985138834571762"/>
    </cacheField>
    <cacheField name="Supervisory Duration" numFmtId="0">
      <sharedItems containsSemiMixedTypes="0" containsString="0" containsNumber="1" minValue="0.38155925058903195" maxValue="4.7312756002180079"/>
    </cacheField>
    <cacheField name="Adjusted Notional" numFmtId="43">
      <sharedItems containsSemiMixedTypes="0" containsString="0" containsNumber="1" minValue="7776979.3746955851" maxValue="1102198941.9495268"/>
    </cacheField>
    <cacheField name="Margined/ Unmargined" numFmtId="0">
      <sharedItems/>
    </cacheField>
    <cacheField name="CCP" numFmtId="0">
      <sharedItems/>
    </cacheField>
    <cacheField name="Margin Frequency (Business Days)" numFmtId="43">
      <sharedItems containsMixedTypes="1" containsNumber="1" containsInteger="1" minValue="5" maxValue="10"/>
    </cacheField>
    <cacheField name="MPOR" numFmtId="0">
      <sharedItems containsMixedTypes="1" containsNumber="1" containsInteger="1" minValue="14" maxValue="19"/>
    </cacheField>
    <cacheField name="Maturity Factor" numFmtId="0">
      <sharedItems containsSemiMixedTypes="0" containsString="0" containsNumber="1" minValue="0.354964786985977" maxValue="1"/>
    </cacheField>
    <cacheField name="Buy/Sell Indicator" numFmtId="43">
      <sharedItems/>
    </cacheField>
    <cacheField name="Contractual Exercise Date" numFmtId="14">
      <sharedItems containsDate="1" containsMixedTypes="1" minDate="2024-09-10T00:00:00" maxDate="2027-11-24T00:00:00"/>
    </cacheField>
    <cacheField name="Ti" numFmtId="0">
      <sharedItems containsMixedTypes="1" containsNumber="1" minValue="0.69398907103825136" maxValue="3.8964950711938666"/>
    </cacheField>
    <cacheField name="Put/Call Indicator" numFmtId="43">
      <sharedItems/>
    </cacheField>
    <cacheField name="Strike Price (Ki)" numFmtId="43">
      <sharedItems containsMixedTypes="1" containsNumber="1" containsInteger="1" minValue="105" maxValue="135"/>
    </cacheField>
    <cacheField name="Underlying Price (Pi)" numFmtId="43">
      <sharedItems containsMixedTypes="1" containsNumber="1" containsInteger="1" minValue="115" maxValue="154"/>
    </cacheField>
    <cacheField name="Supervisory Option Volatility" numFmtId="0">
      <sharedItems containsString="0" containsBlank="1" containsNumber="1" minValue="0.5" maxValue="0.5"/>
    </cacheField>
    <cacheField name="Option Delta" numFmtId="0">
      <sharedItems containsString="0" containsBlank="1" containsNumber="1" minValue="-0.69565435547969345" maxValue="0.73525405754567008"/>
    </cacheField>
    <cacheField name="Supervisory Delta" numFmtId="0">
      <sharedItems containsSemiMixedTypes="0" containsString="0" containsNumber="1" minValue="-1" maxValue="1"/>
    </cacheField>
    <cacheField name="Trade Level Effective Notional" numFmtId="43">
      <sharedItems containsSemiMixedTypes="0" containsString="0" containsNumber="1" minValue="-430832352.13115525" maxValue="455782918.510036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d v="2013-10-07T00:00:00"/>
    <x v="0"/>
    <x v="0"/>
    <x v="0"/>
    <s v="OTC Credit Default Options"/>
    <x v="0"/>
    <m/>
    <x v="0"/>
    <x v="0"/>
    <m/>
    <m/>
    <m/>
    <s v="CR_Entity1"/>
    <s v="Singleton"/>
    <s v="AAA"/>
    <d v="2017-11-23T00:00:00"/>
    <d v="2013-10-07T00:00:00"/>
    <d v="2017-11-23T00:00:00"/>
    <m/>
    <m/>
    <n v="100000000"/>
    <s v="M"/>
    <s v="N"/>
    <n v="5"/>
    <s v="B"/>
    <d v="2017-11-23T00:00:00"/>
    <s v="C"/>
    <n v="110"/>
    <n v="120"/>
    <n v="504251.21"/>
  </r>
  <r>
    <d v="2013-10-07T00:00:00"/>
    <x v="0"/>
    <x v="0"/>
    <x v="1"/>
    <s v="OTC Credit Default Options"/>
    <x v="0"/>
    <m/>
    <x v="0"/>
    <x v="0"/>
    <m/>
    <m/>
    <m/>
    <s v="CR_Entity1"/>
    <s v="Singleton"/>
    <s v="AAA"/>
    <d v="2016-11-08T00:00:00"/>
    <d v="2013-10-07T00:00:00"/>
    <d v="2016-11-08T00:00:00"/>
    <m/>
    <m/>
    <n v="20000000"/>
    <s v="M"/>
    <s v="N"/>
    <n v="5"/>
    <s v="B"/>
    <d v="2016-11-08T00:00:00"/>
    <s v="P"/>
    <n v="135"/>
    <n v="115"/>
    <n v="99840.51"/>
  </r>
  <r>
    <d v="2013-10-07T00:00:00"/>
    <x v="0"/>
    <x v="0"/>
    <x v="2"/>
    <s v="OTC Credit Default Options"/>
    <x v="0"/>
    <m/>
    <x v="0"/>
    <x v="0"/>
    <m/>
    <s v="Volatility"/>
    <m/>
    <s v="CR_Entity1"/>
    <s v="Singleton"/>
    <s v="AAA"/>
    <d v="2016-11-08T00:00:00"/>
    <d v="2013-10-07T00:00:00"/>
    <d v="2016-11-08T00:00:00"/>
    <m/>
    <m/>
    <n v="31865739.02"/>
    <s v="M"/>
    <s v="N"/>
    <n v="5"/>
    <s v="S"/>
    <d v="2016-11-08T00:00:00"/>
    <s v="P"/>
    <n v="115"/>
    <n v="145"/>
    <n v="-7420680.8300000001"/>
  </r>
  <r>
    <d v="2013-10-07T00:00:00"/>
    <x v="0"/>
    <x v="0"/>
    <x v="3"/>
    <s v="OTC Credit Default Options"/>
    <x v="0"/>
    <m/>
    <x v="0"/>
    <x v="0"/>
    <m/>
    <m/>
    <m/>
    <s v="CR_Entity2"/>
    <s v="Singleton"/>
    <s v="BB"/>
    <d v="2014-09-29T00:00:00"/>
    <d v="2013-11-10T00:00:00"/>
    <d v="2014-09-29T00:00:00"/>
    <m/>
    <m/>
    <n v="31865739.02"/>
    <s v="M"/>
    <s v="N"/>
    <n v="5"/>
    <s v="S"/>
    <d v="2014-09-29T00:00:00"/>
    <s v="C"/>
    <n v="148"/>
    <n v="150"/>
    <n v="-45774.64"/>
  </r>
  <r>
    <d v="2013-10-07T00:00:00"/>
    <x v="0"/>
    <x v="0"/>
    <x v="4"/>
    <s v="OTC Credit Default Options"/>
    <x v="0"/>
    <m/>
    <x v="0"/>
    <x v="0"/>
    <m/>
    <s v="Volatility"/>
    <m/>
    <s v="CR_Entity3"/>
    <s v="Singleton"/>
    <s v="B"/>
    <d v="2014-09-29T00:00:00"/>
    <d v="2013-11-15T00:00:00"/>
    <d v="2014-09-29T00:00:00"/>
    <m/>
    <m/>
    <n v="10621913.01"/>
    <s v="M"/>
    <s v="N"/>
    <n v="5"/>
    <s v="B"/>
    <d v="2014-09-29T00:00:00"/>
    <s v="P"/>
    <n v="145"/>
    <n v="120"/>
    <n v="1679583.41"/>
  </r>
  <r>
    <d v="2013-10-07T00:00:00"/>
    <x v="0"/>
    <x v="0"/>
    <x v="5"/>
    <s v="OTC Credit Default Options"/>
    <x v="0"/>
    <m/>
    <x v="0"/>
    <x v="0"/>
    <m/>
    <s v="Volatility"/>
    <m/>
    <s v="CR_Entity3"/>
    <s v="Singleton"/>
    <s v="B"/>
    <d v="2024-09-10T00:00:00"/>
    <d v="2013-11-15T00:00:00"/>
    <d v="2024-09-10T00:00:00"/>
    <m/>
    <m/>
    <n v="52801098.259999998"/>
    <s v="M"/>
    <s v="N"/>
    <n v="5"/>
    <s v="B"/>
    <d v="2024-09-10T00:00:00"/>
    <s v="C"/>
    <n v="142"/>
    <n v="154"/>
    <n v="-150917.47"/>
  </r>
  <r>
    <d v="2013-10-07T00:00:00"/>
    <x v="0"/>
    <x v="0"/>
    <x v="6"/>
    <s v="OTC BD Swaps"/>
    <x v="0"/>
    <m/>
    <x v="0"/>
    <x v="0"/>
    <m/>
    <m/>
    <m/>
    <s v="CR_Index1"/>
    <s v="Index"/>
    <s v="IG"/>
    <d v="2017-12-13T00:00:00"/>
    <d v="2013-08-05T00:00:00"/>
    <d v="2017-12-13T00:00:00"/>
    <m/>
    <m/>
    <n v="58081208.090000004"/>
    <s v="M"/>
    <s v="N"/>
    <n v="5"/>
    <s v="S"/>
    <m/>
    <m/>
    <m/>
    <m/>
    <n v="159515.81"/>
  </r>
  <r>
    <d v="2013-10-07T00:00:00"/>
    <x v="0"/>
    <x v="0"/>
    <x v="7"/>
    <s v="OTC BD Swaps"/>
    <x v="0"/>
    <m/>
    <x v="0"/>
    <x v="0"/>
    <m/>
    <m/>
    <m/>
    <s v="CR_Index2"/>
    <s v="Index"/>
    <s v="SG"/>
    <d v="2024-12-30T00:00:00"/>
    <d v="2013-08-05T00:00:00"/>
    <d v="2024-12-30T00:00:00"/>
    <m/>
    <m/>
    <n v="19225500"/>
    <s v="M"/>
    <s v="N"/>
    <n v="5"/>
    <s v="B"/>
    <m/>
    <m/>
    <m/>
    <m/>
    <n v="33975.65"/>
  </r>
  <r>
    <d v="2013-10-07T00:00:00"/>
    <x v="1"/>
    <x v="1"/>
    <x v="8"/>
    <s v="OTC Credit Default Swaps"/>
    <x v="0"/>
    <m/>
    <x v="0"/>
    <x v="0"/>
    <m/>
    <m/>
    <m/>
    <s v="CR_Entity4"/>
    <s v="Singleton"/>
    <s v="CCC"/>
    <d v="2024-12-30T00:00:00"/>
    <d v="2013-10-07T00:00:00"/>
    <d v="2024-12-30T00:00:00"/>
    <m/>
    <m/>
    <n v="25634000"/>
    <s v="M"/>
    <s v="N"/>
    <n v="5"/>
    <s v="B"/>
    <m/>
    <m/>
    <m/>
    <m/>
    <n v="2949.32"/>
  </r>
  <r>
    <d v="2013-10-07T00:00:00"/>
    <x v="1"/>
    <x v="1"/>
    <x v="9"/>
    <s v="OTC Credit Default Swaps"/>
    <x v="0"/>
    <m/>
    <x v="0"/>
    <x v="0"/>
    <m/>
    <m/>
    <m/>
    <s v="CR_Entity4"/>
    <s v="Singleton"/>
    <s v="CCC"/>
    <d v="2025-01-22T00:00:00"/>
    <d v="2014-01-01T00:00:00"/>
    <d v="2025-01-22T00:00:00"/>
    <m/>
    <m/>
    <n v="41014400"/>
    <s v="M"/>
    <s v="N"/>
    <n v="5"/>
    <s v="S"/>
    <m/>
    <m/>
    <m/>
    <m/>
    <n v="-18568.28"/>
  </r>
  <r>
    <d v="2013-10-07T00:00:00"/>
    <x v="1"/>
    <x v="1"/>
    <x v="10"/>
    <s v="OTC Credit Default Swaps"/>
    <x v="0"/>
    <m/>
    <x v="0"/>
    <x v="0"/>
    <m/>
    <m/>
    <m/>
    <s v="CR_Entity5"/>
    <s v="Singleton"/>
    <s v="AA"/>
    <d v="2018-11-07T00:00:00"/>
    <d v="2014-01-01T00:00:00"/>
    <d v="2018-11-07T00:00:00"/>
    <m/>
    <m/>
    <n v="128170000"/>
    <s v="M"/>
    <s v="N"/>
    <n v="10"/>
    <s v="B"/>
    <m/>
    <m/>
    <m/>
    <m/>
    <n v="-59017.1"/>
  </r>
  <r>
    <d v="2013-10-07T00:00:00"/>
    <x v="1"/>
    <x v="1"/>
    <x v="11"/>
    <s v="OTC Credit Default Swaps"/>
    <x v="0"/>
    <m/>
    <x v="0"/>
    <x v="0"/>
    <m/>
    <m/>
    <m/>
    <s v="CR_Entity5"/>
    <s v="Singleton"/>
    <s v="AA"/>
    <d v="2019-05-25T00:00:00"/>
    <d v="2014-01-01T00:00:00"/>
    <d v="2019-05-25T00:00:00"/>
    <m/>
    <m/>
    <n v="21788900"/>
    <s v="M"/>
    <s v="N"/>
    <n v="10"/>
    <s v="S"/>
    <m/>
    <m/>
    <m/>
    <m/>
    <n v="12115.1"/>
  </r>
  <r>
    <d v="2013-10-07T00:00:00"/>
    <x v="1"/>
    <x v="1"/>
    <x v="12"/>
    <s v="OTC Credit Default Swaps"/>
    <x v="0"/>
    <m/>
    <x v="0"/>
    <x v="0"/>
    <m/>
    <m/>
    <m/>
    <s v="CR_Entity5"/>
    <s v="Singleton"/>
    <s v="AA"/>
    <d v="2019-05-22T00:00:00"/>
    <d v="2013-08-10T00:00:00"/>
    <d v="2019-05-22T00:00:00"/>
    <m/>
    <m/>
    <n v="233269400"/>
    <s v="M"/>
    <s v="N"/>
    <n v="10"/>
    <s v="B"/>
    <m/>
    <m/>
    <m/>
    <m/>
    <n v="42857.84"/>
  </r>
  <r>
    <d v="2013-10-07T00:00:00"/>
    <x v="1"/>
    <x v="1"/>
    <x v="13"/>
    <s v="OTC Credit Default Swaps"/>
    <x v="0"/>
    <m/>
    <x v="0"/>
    <x v="0"/>
    <m/>
    <m/>
    <m/>
    <s v="CR_Entity6"/>
    <s v="Singleton"/>
    <s v="BB"/>
    <d v="2016-06-18T00:00:00"/>
    <d v="2013-08-10T00:00:00"/>
    <d v="2016-06-18T00:00:00"/>
    <m/>
    <m/>
    <n v="32042500"/>
    <s v="M"/>
    <s v="N"/>
    <n v="10"/>
    <s v="S"/>
    <m/>
    <m/>
    <m/>
    <m/>
    <n v="-16890.05"/>
  </r>
  <r>
    <d v="2013-10-07T00:00:00"/>
    <x v="2"/>
    <x v="2"/>
    <x v="14"/>
    <s v="OTC BD Swaps"/>
    <x v="0"/>
    <m/>
    <x v="0"/>
    <x v="0"/>
    <m/>
    <m/>
    <m/>
    <s v="CR_Entity7"/>
    <s v="Singleton"/>
    <s v="AAA"/>
    <d v="2015-05-20T00:00:00"/>
    <d v="2013-08-10T00:00:00"/>
    <d v="2015-05-20T00:00:00"/>
    <m/>
    <m/>
    <n v="79465400"/>
    <s v="U"/>
    <s v="N"/>
    <s v="NA"/>
    <s v="S"/>
    <m/>
    <m/>
    <m/>
    <m/>
    <n v="-41581.589999999997"/>
  </r>
  <r>
    <d v="2013-10-07T00:00:00"/>
    <x v="2"/>
    <x v="2"/>
    <x v="15"/>
    <s v="OTC BD Swaps"/>
    <x v="0"/>
    <m/>
    <x v="0"/>
    <x v="0"/>
    <m/>
    <m/>
    <m/>
    <s v="CR_Entity8"/>
    <s v="Singleton"/>
    <s v="A"/>
    <d v="2016-04-08T00:00:00"/>
    <d v="2013-08-10T00:00:00"/>
    <d v="2016-04-08T00:00:00"/>
    <m/>
    <m/>
    <n v="215325600"/>
    <s v="U"/>
    <s v="N"/>
    <s v="NA"/>
    <s v="S"/>
    <m/>
    <m/>
    <m/>
    <m/>
    <n v="-112173.33"/>
  </r>
  <r>
    <d v="2013-10-07T00:00:00"/>
    <x v="3"/>
    <x v="0"/>
    <x v="16"/>
    <s v="SWPTN"/>
    <x v="1"/>
    <m/>
    <x v="0"/>
    <x v="0"/>
    <s v="USD"/>
    <m/>
    <m/>
    <m/>
    <m/>
    <m/>
    <d v="2017-11-23T00:00:00"/>
    <d v="2013-10-07T00:00:00"/>
    <d v="2017-11-23T00:00:00"/>
    <m/>
    <m/>
    <n v="100000000"/>
    <s v="M"/>
    <s v="N"/>
    <n v="5"/>
    <s v="B"/>
    <d v="2017-11-23T00:00:00"/>
    <s v="C"/>
    <n v="105"/>
    <n v="120"/>
    <n v="413836.21"/>
  </r>
  <r>
    <d v="2013-10-07T00:00:00"/>
    <x v="3"/>
    <x v="0"/>
    <x v="17"/>
    <s v="SWPTN"/>
    <x v="1"/>
    <m/>
    <x v="0"/>
    <x v="0"/>
    <s v="USD"/>
    <m/>
    <m/>
    <m/>
    <m/>
    <m/>
    <d v="2016-11-08T00:00:00"/>
    <d v="2013-10-07T00:00:00"/>
    <d v="2016-11-08T00:00:00"/>
    <m/>
    <m/>
    <n v="20000000"/>
    <s v="M"/>
    <s v="N"/>
    <n v="5"/>
    <s v="B"/>
    <d v="2016-11-08T00:00:00"/>
    <s v="P"/>
    <n v="125"/>
    <n v="115"/>
    <n v="89840.51"/>
  </r>
  <r>
    <d v="2013-10-07T00:00:00"/>
    <x v="3"/>
    <x v="0"/>
    <x v="18"/>
    <s v="SWPTN"/>
    <x v="1"/>
    <m/>
    <x v="0"/>
    <x v="0"/>
    <s v="JPY"/>
    <m/>
    <m/>
    <m/>
    <m/>
    <m/>
    <d v="2016-11-08T00:00:00"/>
    <d v="2013-10-07T00:00:00"/>
    <d v="2016-11-08T00:00:00"/>
    <m/>
    <m/>
    <n v="31865739.02"/>
    <s v="M"/>
    <s v="N"/>
    <n v="5"/>
    <s v="S"/>
    <d v="2016-11-08T00:00:00"/>
    <s v="P"/>
    <n v="123"/>
    <n v="145"/>
    <n v="7406680.8300000001"/>
  </r>
  <r>
    <d v="2013-10-07T00:00:00"/>
    <x v="3"/>
    <x v="0"/>
    <x v="19"/>
    <s v="SWPTN"/>
    <x v="1"/>
    <m/>
    <x v="0"/>
    <x v="0"/>
    <s v="JPY"/>
    <m/>
    <m/>
    <m/>
    <m/>
    <m/>
    <d v="2014-09-29T00:00:00"/>
    <d v="2013-11-10T00:00:00"/>
    <d v="2014-09-29T00:00:00"/>
    <m/>
    <m/>
    <n v="31865739.02"/>
    <s v="M"/>
    <s v="N"/>
    <n v="5"/>
    <s v="S"/>
    <d v="2014-09-29T00:00:00"/>
    <s v="C"/>
    <n v="132"/>
    <n v="150"/>
    <n v="-40774.639999999999"/>
  </r>
  <r>
    <d v="2013-10-07T00:00:00"/>
    <x v="3"/>
    <x v="0"/>
    <x v="20"/>
    <s v="SWPTN"/>
    <x v="1"/>
    <m/>
    <x v="0"/>
    <x v="0"/>
    <s v="JPY"/>
    <m/>
    <m/>
    <m/>
    <m/>
    <m/>
    <d v="2014-09-29T00:00:00"/>
    <d v="2013-11-15T00:00:00"/>
    <d v="2014-09-29T00:00:00"/>
    <m/>
    <m/>
    <n v="10621913.01"/>
    <s v="M"/>
    <s v="N"/>
    <n v="5"/>
    <s v="B"/>
    <d v="2014-09-29T00:00:00"/>
    <s v="P"/>
    <n v="127"/>
    <n v="120"/>
    <n v="1671083.41"/>
  </r>
  <r>
    <d v="2013-10-07T00:00:00"/>
    <x v="3"/>
    <x v="0"/>
    <x v="21"/>
    <s v="CPFLR"/>
    <x v="1"/>
    <m/>
    <x v="0"/>
    <x v="0"/>
    <s v="JPY"/>
    <m/>
    <m/>
    <m/>
    <m/>
    <m/>
    <d v="2024-09-10T00:00:00"/>
    <d v="2013-11-15T00:00:00"/>
    <d v="2024-09-10T00:00:00"/>
    <m/>
    <m/>
    <n v="52801098.259999998"/>
    <s v="M"/>
    <s v="N"/>
    <n v="5"/>
    <s v="B"/>
    <d v="2024-09-10T00:00:00"/>
    <s v="C"/>
    <n v="135"/>
    <n v="154"/>
    <n v="-149917.47"/>
  </r>
  <r>
    <d v="2013-10-07T00:00:00"/>
    <x v="3"/>
    <x v="0"/>
    <x v="22"/>
    <s v="IRSWP"/>
    <x v="1"/>
    <m/>
    <x v="0"/>
    <x v="0"/>
    <s v="AUD"/>
    <s v="Basis"/>
    <s v="3 month LIBOR vs 6 month LIBOR"/>
    <m/>
    <m/>
    <m/>
    <d v="2017-12-13T00:00:00"/>
    <d v="2013-08-05T00:00:00"/>
    <d v="2017-12-13T00:00:00"/>
    <m/>
    <m/>
    <n v="58081208.090000004"/>
    <s v="M"/>
    <s v="N"/>
    <n v="5"/>
    <s v="S"/>
    <m/>
    <m/>
    <m/>
    <m/>
    <n v="149515.81"/>
  </r>
  <r>
    <d v="2013-10-07T00:00:00"/>
    <x v="3"/>
    <x v="0"/>
    <x v="23"/>
    <s v="IRSWP"/>
    <x v="1"/>
    <m/>
    <x v="0"/>
    <x v="0"/>
    <s v="AUD"/>
    <s v="Basis"/>
    <s v="1 month LIBOR vs OIS Rate"/>
    <m/>
    <m/>
    <m/>
    <d v="2024-12-30T00:00:00"/>
    <d v="2013-08-05T00:00:00"/>
    <d v="2024-12-30T00:00:00"/>
    <m/>
    <m/>
    <n v="19225500"/>
    <s v="M"/>
    <s v="N"/>
    <n v="5"/>
    <s v="B"/>
    <m/>
    <m/>
    <m/>
    <m/>
    <n v="23975.65"/>
  </r>
  <r>
    <d v="2013-10-07T00:00:00"/>
    <x v="4"/>
    <x v="1"/>
    <x v="24"/>
    <s v="IRSWP"/>
    <x v="1"/>
    <m/>
    <x v="0"/>
    <x v="0"/>
    <s v="USD"/>
    <m/>
    <m/>
    <m/>
    <m/>
    <m/>
    <d v="2024-12-30T00:00:00"/>
    <d v="2013-10-07T00:00:00"/>
    <d v="2024-12-30T00:00:00"/>
    <m/>
    <m/>
    <n v="47422900"/>
    <s v="M"/>
    <s v="N"/>
    <n v="5"/>
    <s v="B"/>
    <m/>
    <m/>
    <m/>
    <m/>
    <n v="1949.32"/>
  </r>
  <r>
    <d v="2013-10-07T00:00:00"/>
    <x v="4"/>
    <x v="1"/>
    <x v="25"/>
    <s v="IRSWP"/>
    <x v="1"/>
    <m/>
    <x v="0"/>
    <x v="0"/>
    <s v="USD"/>
    <m/>
    <m/>
    <m/>
    <m/>
    <m/>
    <d v="2025-01-22T00:00:00"/>
    <d v="2014-01-01T00:00:00"/>
    <d v="2025-01-22T00:00:00"/>
    <m/>
    <m/>
    <n v="41014400"/>
    <s v="M"/>
    <s v="N"/>
    <n v="5"/>
    <s v="S"/>
    <m/>
    <m/>
    <m/>
    <m/>
    <n v="-16568.28"/>
  </r>
  <r>
    <d v="2013-10-07T00:00:00"/>
    <x v="4"/>
    <x v="1"/>
    <x v="26"/>
    <s v="IRSWP"/>
    <x v="1"/>
    <m/>
    <x v="0"/>
    <x v="0"/>
    <s v="USD"/>
    <m/>
    <m/>
    <m/>
    <m/>
    <m/>
    <d v="2018-11-07T00:00:00"/>
    <d v="2014-01-01T00:00:00"/>
    <d v="2018-11-07T00:00:00"/>
    <m/>
    <m/>
    <n v="128170000"/>
    <s v="M"/>
    <s v="N"/>
    <n v="10"/>
    <s v="B"/>
    <m/>
    <m/>
    <m/>
    <m/>
    <n v="58017.1"/>
  </r>
  <r>
    <d v="2013-10-07T00:00:00"/>
    <x v="4"/>
    <x v="1"/>
    <x v="27"/>
    <s v="IRSWP"/>
    <x v="1"/>
    <m/>
    <x v="0"/>
    <x v="0"/>
    <s v="USD"/>
    <m/>
    <m/>
    <m/>
    <m/>
    <m/>
    <d v="2019-05-25T00:00:00"/>
    <d v="2014-01-01T00:00:00"/>
    <d v="2019-05-25T00:00:00"/>
    <m/>
    <m/>
    <n v="21788900"/>
    <s v="M"/>
    <s v="N"/>
    <n v="10"/>
    <s v="S"/>
    <m/>
    <m/>
    <m/>
    <m/>
    <n v="11605.1"/>
  </r>
  <r>
    <d v="2013-10-07T00:00:00"/>
    <x v="4"/>
    <x v="1"/>
    <x v="28"/>
    <s v="FRA"/>
    <x v="1"/>
    <m/>
    <x v="0"/>
    <x v="0"/>
    <s v="AUD"/>
    <m/>
    <m/>
    <m/>
    <m/>
    <m/>
    <d v="2019-05-22T00:00:00"/>
    <d v="2013-08-10T00:00:00"/>
    <d v="2019-05-22T00:00:00"/>
    <m/>
    <m/>
    <n v="233269400"/>
    <s v="M"/>
    <s v="N"/>
    <n v="10"/>
    <s v="B"/>
    <m/>
    <m/>
    <m/>
    <m/>
    <n v="41757.839999999997"/>
  </r>
  <r>
    <d v="2013-10-07T00:00:00"/>
    <x v="4"/>
    <x v="1"/>
    <x v="29"/>
    <s v="FRA"/>
    <x v="1"/>
    <m/>
    <x v="0"/>
    <x v="0"/>
    <s v="AUD"/>
    <m/>
    <m/>
    <m/>
    <m/>
    <m/>
    <d v="2016-06-18T00:00:00"/>
    <d v="2013-08-10T00:00:00"/>
    <d v="2016-06-18T00:00:00"/>
    <m/>
    <m/>
    <n v="32042500"/>
    <s v="M"/>
    <s v="N"/>
    <n v="10"/>
    <s v="S"/>
    <m/>
    <m/>
    <m/>
    <m/>
    <n v="-16095.05"/>
  </r>
  <r>
    <d v="2013-10-07T00:00:00"/>
    <x v="2"/>
    <x v="2"/>
    <x v="30"/>
    <s v="FRA"/>
    <x v="1"/>
    <m/>
    <x v="0"/>
    <x v="0"/>
    <s v="JPY"/>
    <m/>
    <m/>
    <m/>
    <m/>
    <m/>
    <d v="2014-05-20T00:00:00"/>
    <d v="2013-08-10T00:00:00"/>
    <d v="2014-05-20T00:00:00"/>
    <m/>
    <m/>
    <n v="79465400"/>
    <s v="U"/>
    <s v="N"/>
    <s v="NA"/>
    <s v="S"/>
    <m/>
    <m/>
    <m/>
    <m/>
    <n v="-40581.589999999997"/>
  </r>
  <r>
    <d v="2013-10-07T00:00:00"/>
    <x v="2"/>
    <x v="2"/>
    <x v="31"/>
    <s v="FRA"/>
    <x v="1"/>
    <m/>
    <x v="0"/>
    <x v="0"/>
    <s v="JPY"/>
    <m/>
    <m/>
    <m/>
    <m/>
    <m/>
    <d v="2016-02-08T00:00:00"/>
    <d v="2013-08-10T00:00:00"/>
    <d v="2016-02-08T00:00:00"/>
    <m/>
    <m/>
    <n v="215325600"/>
    <s v="U"/>
    <s v="N"/>
    <s v="NA"/>
    <s v="S"/>
    <m/>
    <m/>
    <m/>
    <m/>
    <n v="-110173.33"/>
  </r>
  <r>
    <d v="2013-10-07T00:00:00"/>
    <x v="3"/>
    <x v="0"/>
    <x v="32"/>
    <s v="OTC FX Options"/>
    <x v="2"/>
    <m/>
    <x v="1"/>
    <x v="1"/>
    <m/>
    <m/>
    <m/>
    <m/>
    <m/>
    <m/>
    <d v="2017-11-23T00:00:00"/>
    <d v="2013-10-07T00:00:00"/>
    <d v="2017-11-23T00:00:00"/>
    <n v="700000000"/>
    <n v="995000000"/>
    <m/>
    <s v="M"/>
    <s v="N"/>
    <n v="5"/>
    <s v="B"/>
    <d v="2017-11-23T00:00:00"/>
    <s v="C"/>
    <n v="145"/>
    <n v="120"/>
    <n v="417836.21"/>
  </r>
  <r>
    <d v="2013-10-07T00:00:00"/>
    <x v="3"/>
    <x v="0"/>
    <x v="33"/>
    <s v="OTC FX Options"/>
    <x v="2"/>
    <m/>
    <x v="1"/>
    <x v="1"/>
    <m/>
    <m/>
    <m/>
    <m/>
    <m/>
    <m/>
    <d v="2016-11-08T00:00:00"/>
    <d v="2013-10-07T00:00:00"/>
    <d v="2016-11-08T00:00:00"/>
    <n v="22000000"/>
    <n v="18000000"/>
    <m/>
    <s v="M"/>
    <s v="N"/>
    <n v="5"/>
    <s v="B"/>
    <d v="2016-11-08T00:00:00"/>
    <s v="P"/>
    <n v="108"/>
    <n v="115"/>
    <n v="99840.51"/>
  </r>
  <r>
    <d v="2013-10-07T00:00:00"/>
    <x v="3"/>
    <x v="0"/>
    <x v="34"/>
    <s v="OTC FX Options"/>
    <x v="2"/>
    <m/>
    <x v="2"/>
    <x v="2"/>
    <m/>
    <m/>
    <m/>
    <m/>
    <m/>
    <m/>
    <d v="2016-11-08T00:00:00"/>
    <d v="2013-10-07T00:00:00"/>
    <d v="2016-11-08T00:00:00"/>
    <n v="30000000"/>
    <n v="32865739.02"/>
    <m/>
    <s v="M"/>
    <s v="N"/>
    <n v="5"/>
    <s v="S"/>
    <d v="2016-11-08T00:00:00"/>
    <s v="P"/>
    <n v="130"/>
    <n v="135"/>
    <n v="-7406680.8300000001"/>
  </r>
  <r>
    <d v="2013-10-07T00:00:00"/>
    <x v="3"/>
    <x v="0"/>
    <x v="35"/>
    <s v="OTC FX Options"/>
    <x v="2"/>
    <m/>
    <x v="2"/>
    <x v="2"/>
    <m/>
    <m/>
    <m/>
    <m/>
    <m/>
    <m/>
    <d v="2014-09-29T00:00:00"/>
    <d v="2013-11-10T00:00:00"/>
    <d v="2014-09-29T00:00:00"/>
    <n v="23000000"/>
    <n v="34865739.020000003"/>
    <m/>
    <s v="M"/>
    <s v="N"/>
    <n v="5"/>
    <s v="S"/>
    <d v="2014-09-29T00:00:00"/>
    <s v="C"/>
    <n v="131"/>
    <n v="145"/>
    <n v="-40774.639999999999"/>
  </r>
  <r>
    <d v="2013-10-07T00:00:00"/>
    <x v="3"/>
    <x v="0"/>
    <x v="36"/>
    <s v="OTC FX Options"/>
    <x v="2"/>
    <m/>
    <x v="2"/>
    <x v="3"/>
    <m/>
    <m/>
    <m/>
    <m/>
    <m/>
    <m/>
    <d v="2014-09-29T00:00:00"/>
    <d v="2013-11-15T00:00:00"/>
    <d v="2014-09-29T00:00:00"/>
    <n v="12000000"/>
    <n v="11621913.01"/>
    <m/>
    <s v="M"/>
    <s v="N"/>
    <n v="5"/>
    <s v="B"/>
    <d v="2014-09-29T00:00:00"/>
    <s v="P"/>
    <n v="128"/>
    <n v="119"/>
    <n v="1671083.41"/>
  </r>
  <r>
    <d v="2013-10-07T00:00:00"/>
    <x v="3"/>
    <x v="0"/>
    <x v="37"/>
    <s v="OTC FX Options"/>
    <x v="2"/>
    <m/>
    <x v="3"/>
    <x v="4"/>
    <m/>
    <m/>
    <m/>
    <m/>
    <m/>
    <m/>
    <d v="2024-09-10T00:00:00"/>
    <d v="2013-11-15T00:00:00"/>
    <d v="2024-09-10T00:00:00"/>
    <n v="51801098.259999998"/>
    <n v="55000000"/>
    <m/>
    <s v="M"/>
    <s v="N"/>
    <n v="5"/>
    <s v="B"/>
    <d v="2024-09-10T00:00:00"/>
    <s v="C"/>
    <n v="145"/>
    <n v="155"/>
    <n v="-149917.47"/>
  </r>
  <r>
    <d v="2013-10-07T00:00:00"/>
    <x v="3"/>
    <x v="0"/>
    <x v="38"/>
    <s v="OTC Currency Swaps"/>
    <x v="2"/>
    <m/>
    <x v="1"/>
    <x v="5"/>
    <m/>
    <m/>
    <m/>
    <m/>
    <m/>
    <m/>
    <d v="2017-12-13T00:00:00"/>
    <d v="2013-08-05T00:00:00"/>
    <d v="2017-12-13T00:00:00"/>
    <n v="25000000"/>
    <n v="57081208.090000004"/>
    <m/>
    <s v="M"/>
    <s v="N"/>
    <n v="5"/>
    <s v="S"/>
    <m/>
    <m/>
    <m/>
    <m/>
    <n v="149515.81"/>
  </r>
  <r>
    <d v="2013-10-07T00:00:00"/>
    <x v="3"/>
    <x v="0"/>
    <x v="39"/>
    <s v="OTC FX Forwards"/>
    <x v="2"/>
    <m/>
    <x v="4"/>
    <x v="2"/>
    <m/>
    <m/>
    <m/>
    <m/>
    <m/>
    <m/>
    <d v="2024-12-30T00:00:00"/>
    <d v="2013-08-05T00:00:00"/>
    <d v="2024-12-30T00:00:00"/>
    <n v="16000000"/>
    <n v="19227950"/>
    <m/>
    <s v="M"/>
    <s v="N"/>
    <n v="5"/>
    <s v="B"/>
    <m/>
    <m/>
    <m/>
    <m/>
    <n v="23975.65"/>
  </r>
  <r>
    <d v="2013-10-07T00:00:00"/>
    <x v="3"/>
    <x v="0"/>
    <x v="40"/>
    <s v="OTC Currency Swaps"/>
    <x v="2"/>
    <m/>
    <x v="1"/>
    <x v="5"/>
    <m/>
    <m/>
    <m/>
    <m/>
    <m/>
    <m/>
    <d v="2024-12-30T00:00:00"/>
    <d v="2013-10-07T00:00:00"/>
    <d v="2024-12-30T00:00:00"/>
    <n v="32000000"/>
    <n v="47433000"/>
    <m/>
    <s v="M"/>
    <s v="N"/>
    <n v="5"/>
    <s v="B"/>
    <m/>
    <m/>
    <m/>
    <m/>
    <n v="1949.32"/>
  </r>
  <r>
    <d v="2013-10-07T00:00:00"/>
    <x v="4"/>
    <x v="1"/>
    <x v="41"/>
    <s v="OTC FX Forwards"/>
    <x v="2"/>
    <m/>
    <x v="2"/>
    <x v="6"/>
    <m/>
    <m/>
    <m/>
    <m/>
    <m/>
    <m/>
    <d v="2025-01-22T00:00:00"/>
    <d v="2014-01-01T00:00:00"/>
    <d v="2025-01-22T00:00:00"/>
    <n v="27000000"/>
    <n v="41075800"/>
    <m/>
    <s v="M"/>
    <s v="N"/>
    <n v="5"/>
    <s v="S"/>
    <m/>
    <m/>
    <m/>
    <m/>
    <n v="-16568.28"/>
  </r>
  <r>
    <d v="2013-10-07T00:00:00"/>
    <x v="4"/>
    <x v="1"/>
    <x v="42"/>
    <s v="OTC Currency Swaps"/>
    <x v="2"/>
    <m/>
    <x v="5"/>
    <x v="4"/>
    <m/>
    <m/>
    <m/>
    <m/>
    <m/>
    <m/>
    <d v="2018-11-07T00:00:00"/>
    <d v="2014-01-01T00:00:00"/>
    <d v="2018-11-07T00:00:00"/>
    <n v="128172000"/>
    <n v="100000000"/>
    <m/>
    <s v="M"/>
    <s v="N"/>
    <n v="10"/>
    <s v="B"/>
    <m/>
    <m/>
    <m/>
    <m/>
    <n v="-58017.1"/>
  </r>
  <r>
    <d v="2013-10-07T00:00:00"/>
    <x v="4"/>
    <x v="1"/>
    <x v="43"/>
    <s v="OTC FX Forwards"/>
    <x v="2"/>
    <m/>
    <x v="2"/>
    <x v="6"/>
    <m/>
    <m/>
    <m/>
    <m/>
    <m/>
    <m/>
    <d v="2019-05-25T00:00:00"/>
    <d v="2014-01-01T00:00:00"/>
    <d v="2019-05-25T00:00:00"/>
    <n v="23000000"/>
    <n v="21780785"/>
    <m/>
    <s v="M"/>
    <s v="N"/>
    <n v="10"/>
    <s v="S"/>
    <m/>
    <m/>
    <m/>
    <m/>
    <n v="15605.1"/>
  </r>
  <r>
    <d v="2013-10-07T00:00:00"/>
    <x v="4"/>
    <x v="1"/>
    <x v="44"/>
    <s v="OTC Currency Swaps"/>
    <x v="2"/>
    <m/>
    <x v="6"/>
    <x v="7"/>
    <m/>
    <m/>
    <m/>
    <m/>
    <m/>
    <m/>
    <d v="2019-05-22T00:00:00"/>
    <d v="2013-08-10T00:00:00"/>
    <d v="2019-05-22T00:00:00"/>
    <n v="233268500"/>
    <n v="211000000"/>
    <m/>
    <s v="M"/>
    <s v="N"/>
    <n v="10"/>
    <s v="B"/>
    <m/>
    <m/>
    <m/>
    <m/>
    <n v="44757.84"/>
  </r>
  <r>
    <d v="2013-10-07T00:00:00"/>
    <x v="4"/>
    <x v="1"/>
    <x v="45"/>
    <s v="OTC FX Forwards"/>
    <x v="2"/>
    <m/>
    <x v="6"/>
    <x v="7"/>
    <m/>
    <m/>
    <m/>
    <m/>
    <m/>
    <m/>
    <d v="2016-06-18T00:00:00"/>
    <d v="2013-08-10T00:00:00"/>
    <d v="2016-06-18T00:00:00"/>
    <n v="30000000"/>
    <n v="33042500"/>
    <m/>
    <s v="M"/>
    <s v="N"/>
    <n v="10"/>
    <s v="S"/>
    <m/>
    <m/>
    <m/>
    <m/>
    <n v="-18095.05"/>
  </r>
  <r>
    <d v="2013-10-07T00:00:00"/>
    <x v="2"/>
    <x v="2"/>
    <x v="46"/>
    <s v="OTC FX Forwards"/>
    <x v="2"/>
    <m/>
    <x v="2"/>
    <x v="1"/>
    <m/>
    <m/>
    <m/>
    <m/>
    <m/>
    <m/>
    <d v="2014-05-20T00:00:00"/>
    <d v="2013-08-10T00:00:00"/>
    <d v="2014-05-20T00:00:00"/>
    <n v="80000000"/>
    <n v="78465400"/>
    <m/>
    <s v="U"/>
    <s v="N"/>
    <s v="NA"/>
    <s v="S"/>
    <m/>
    <m/>
    <m/>
    <m/>
    <n v="48581.59"/>
  </r>
  <r>
    <d v="2013-10-07T00:00:00"/>
    <x v="2"/>
    <x v="2"/>
    <x v="47"/>
    <s v="OTC FX Forwards"/>
    <x v="2"/>
    <m/>
    <x v="2"/>
    <x v="2"/>
    <m/>
    <m/>
    <m/>
    <m/>
    <m/>
    <m/>
    <d v="2016-02-08T00:00:00"/>
    <d v="2013-08-10T00:00:00"/>
    <d v="2016-02-08T00:00:00"/>
    <n v="200000000"/>
    <n v="216325600"/>
    <m/>
    <s v="U"/>
    <s v="N"/>
    <s v="NA"/>
    <s v="S"/>
    <m/>
    <m/>
    <m/>
    <m/>
    <n v="115173.33"/>
  </r>
  <r>
    <d v="2013-10-07T00:00:00"/>
    <x v="3"/>
    <x v="0"/>
    <x v="48"/>
    <s v="OTC Equity Swap"/>
    <x v="3"/>
    <m/>
    <x v="0"/>
    <x v="0"/>
    <m/>
    <m/>
    <m/>
    <s v="EQ_Entity1"/>
    <s v="Single"/>
    <m/>
    <d v="2017-11-23T00:00:00"/>
    <m/>
    <m/>
    <m/>
    <m/>
    <n v="987000000"/>
    <s v="M"/>
    <s v="N"/>
    <n v="5"/>
    <s v="B"/>
    <d v="2017-11-23T00:00:00"/>
    <s v="C"/>
    <n v="135"/>
    <n v="120"/>
    <n v="417286.21"/>
  </r>
  <r>
    <d v="2013-10-07T00:00:00"/>
    <x v="3"/>
    <x v="0"/>
    <x v="49"/>
    <s v="OTC Equity Swap"/>
    <x v="3"/>
    <m/>
    <x v="0"/>
    <x v="0"/>
    <m/>
    <m/>
    <m/>
    <s v="EQ_Entity1"/>
    <s v="Single"/>
    <m/>
    <d v="2016-11-08T00:00:00"/>
    <m/>
    <m/>
    <m/>
    <m/>
    <n v="20000000"/>
    <s v="M"/>
    <s v="N"/>
    <n v="5"/>
    <s v="B"/>
    <d v="2016-11-08T00:00:00"/>
    <s v="P"/>
    <n v="140"/>
    <n v="115"/>
    <n v="89840.51"/>
  </r>
  <r>
    <d v="2013-10-07T00:00:00"/>
    <x v="3"/>
    <x v="0"/>
    <x v="50"/>
    <s v="OTC Equity Swap"/>
    <x v="3"/>
    <m/>
    <x v="0"/>
    <x v="0"/>
    <m/>
    <m/>
    <m/>
    <s v="EQ_Entity2"/>
    <s v="Single"/>
    <m/>
    <d v="2016-11-08T00:00:00"/>
    <m/>
    <m/>
    <m/>
    <m/>
    <n v="32865739.02"/>
    <s v="M"/>
    <s v="N"/>
    <n v="5"/>
    <s v="S"/>
    <d v="2016-11-08T00:00:00"/>
    <s v="P"/>
    <n v="110"/>
    <n v="145"/>
    <n v="-7412280.8300000001"/>
  </r>
  <r>
    <d v="2013-10-07T00:00:00"/>
    <x v="3"/>
    <x v="0"/>
    <x v="51"/>
    <s v="OTC Equity Swap"/>
    <x v="3"/>
    <m/>
    <x v="0"/>
    <x v="0"/>
    <m/>
    <m/>
    <m/>
    <s v="EQ_Entity2"/>
    <s v="Single"/>
    <m/>
    <d v="2014-09-29T00:00:00"/>
    <m/>
    <m/>
    <m/>
    <m/>
    <n v="31865954.02"/>
    <s v="M"/>
    <s v="N"/>
    <n v="5"/>
    <s v="S"/>
    <d v="2014-09-29T00:00:00"/>
    <s v="C"/>
    <n v="140"/>
    <n v="150"/>
    <n v="-50254.64"/>
  </r>
  <r>
    <d v="2013-10-07T00:00:00"/>
    <x v="3"/>
    <x v="0"/>
    <x v="52"/>
    <s v="OTC Equity Swap"/>
    <x v="3"/>
    <m/>
    <x v="0"/>
    <x v="0"/>
    <m/>
    <m/>
    <m/>
    <s v="EQ_Entity2"/>
    <s v="Single"/>
    <m/>
    <d v="2014-09-29T00:00:00"/>
    <m/>
    <m/>
    <m/>
    <m/>
    <n v="10721913.01"/>
    <s v="M"/>
    <s v="N"/>
    <n v="5"/>
    <s v="B"/>
    <d v="2014-09-29T00:00:00"/>
    <s v="P"/>
    <n v="155"/>
    <n v="120"/>
    <n v="1685083.41"/>
  </r>
  <r>
    <d v="2013-10-07T00:00:00"/>
    <x v="3"/>
    <x v="0"/>
    <x v="53"/>
    <s v="OTC Equity Swap"/>
    <x v="3"/>
    <m/>
    <x v="0"/>
    <x v="0"/>
    <m/>
    <m/>
    <m/>
    <s v="EQ_Index1"/>
    <s v="Index"/>
    <m/>
    <d v="2024-09-10T00:00:00"/>
    <m/>
    <m/>
    <m/>
    <m/>
    <n v="52841098.259999998"/>
    <s v="M"/>
    <s v="N"/>
    <n v="5"/>
    <s v="B"/>
    <d v="2024-09-10T00:00:00"/>
    <s v="C"/>
    <n v="139"/>
    <n v="154"/>
    <n v="-149217.47"/>
  </r>
  <r>
    <d v="2013-10-07T00:00:00"/>
    <x v="3"/>
    <x v="0"/>
    <x v="54"/>
    <s v="OTC Equity Swap"/>
    <x v="3"/>
    <m/>
    <x v="0"/>
    <x v="0"/>
    <m/>
    <s v="Volatility"/>
    <m/>
    <s v="EQ_Index1"/>
    <s v="Index"/>
    <m/>
    <d v="2017-12-13T00:00:00"/>
    <m/>
    <m/>
    <m/>
    <m/>
    <n v="58081208.090000004"/>
    <s v="M"/>
    <s v="N"/>
    <n v="5"/>
    <s v="S"/>
    <m/>
    <m/>
    <m/>
    <m/>
    <n v="149754.81"/>
  </r>
  <r>
    <d v="2013-10-07T00:00:00"/>
    <x v="3"/>
    <x v="0"/>
    <x v="55"/>
    <s v="OTC Equity Swap"/>
    <x v="3"/>
    <m/>
    <x v="0"/>
    <x v="0"/>
    <m/>
    <s v="Volatility"/>
    <m/>
    <s v="EQ_Index2"/>
    <s v="Index"/>
    <m/>
    <d v="2024-12-30T00:00:00"/>
    <m/>
    <m/>
    <m/>
    <m/>
    <n v="19225500"/>
    <s v="M"/>
    <s v="N"/>
    <n v="5"/>
    <s v="B"/>
    <m/>
    <m/>
    <m/>
    <m/>
    <n v="24975.65"/>
  </r>
  <r>
    <d v="2013-10-07T00:00:00"/>
    <x v="4"/>
    <x v="1"/>
    <x v="56"/>
    <s v="OTC Equity Swap"/>
    <x v="3"/>
    <m/>
    <x v="0"/>
    <x v="0"/>
    <m/>
    <m/>
    <m/>
    <s v="EQ_Entity3"/>
    <s v="Single"/>
    <m/>
    <d v="2024-12-30T00:00:00"/>
    <m/>
    <m/>
    <m/>
    <m/>
    <n v="25634000"/>
    <s v="M"/>
    <s v="N"/>
    <n v="5"/>
    <s v="B"/>
    <m/>
    <m/>
    <m/>
    <m/>
    <n v="2876.32"/>
  </r>
  <r>
    <d v="2013-10-07T00:00:00"/>
    <x v="4"/>
    <x v="1"/>
    <x v="57"/>
    <s v="OTC Equity Swap"/>
    <x v="3"/>
    <m/>
    <x v="0"/>
    <x v="0"/>
    <m/>
    <m/>
    <m/>
    <s v="EQ_Entity3"/>
    <s v="Single"/>
    <m/>
    <d v="2025-01-22T00:00:00"/>
    <m/>
    <m/>
    <m/>
    <m/>
    <n v="41014400"/>
    <s v="M"/>
    <s v="N"/>
    <n v="5"/>
    <s v="S"/>
    <m/>
    <m/>
    <m/>
    <m/>
    <n v="-17348.28"/>
  </r>
  <r>
    <d v="2013-10-07T00:00:00"/>
    <x v="4"/>
    <x v="1"/>
    <x v="58"/>
    <s v="OTC Equity Swap"/>
    <x v="3"/>
    <m/>
    <x v="0"/>
    <x v="0"/>
    <m/>
    <m/>
    <m/>
    <s v="EQ_Entity3"/>
    <s v="Single"/>
    <m/>
    <d v="2018-11-07T00:00:00"/>
    <m/>
    <m/>
    <m/>
    <m/>
    <n v="128170000"/>
    <s v="M"/>
    <s v="N"/>
    <n v="10"/>
    <s v="B"/>
    <m/>
    <m/>
    <m/>
    <m/>
    <n v="-59015.1"/>
  </r>
  <r>
    <d v="2013-10-07T00:00:00"/>
    <x v="4"/>
    <x v="1"/>
    <x v="59"/>
    <s v="OTC Equity Swap"/>
    <x v="3"/>
    <m/>
    <x v="0"/>
    <x v="0"/>
    <m/>
    <m/>
    <m/>
    <s v="EQ_Entity4"/>
    <s v="Single"/>
    <m/>
    <d v="2019-05-25T00:00:00"/>
    <m/>
    <m/>
    <m/>
    <m/>
    <n v="21788900"/>
    <s v="M"/>
    <s v="N"/>
    <n v="10"/>
    <s v="S"/>
    <m/>
    <m/>
    <m/>
    <m/>
    <n v="12905.1"/>
  </r>
  <r>
    <d v="2013-10-07T00:00:00"/>
    <x v="4"/>
    <x v="1"/>
    <x v="60"/>
    <s v="OTC Equity Swap"/>
    <x v="3"/>
    <m/>
    <x v="0"/>
    <x v="0"/>
    <m/>
    <m/>
    <m/>
    <s v="EQ_Entity4"/>
    <s v="Single"/>
    <m/>
    <d v="2019-05-22T00:00:00"/>
    <m/>
    <m/>
    <m/>
    <m/>
    <n v="233269400"/>
    <s v="M"/>
    <s v="N"/>
    <n v="10"/>
    <s v="B"/>
    <m/>
    <m/>
    <m/>
    <m/>
    <n v="41385.839999999997"/>
  </r>
  <r>
    <d v="2013-10-07T00:00:00"/>
    <x v="4"/>
    <x v="1"/>
    <x v="61"/>
    <s v="OTC Equity Swap"/>
    <x v="3"/>
    <m/>
    <x v="0"/>
    <x v="0"/>
    <m/>
    <m/>
    <m/>
    <s v="EQ_Entity5"/>
    <s v="Single"/>
    <m/>
    <d v="2016-06-18T00:00:00"/>
    <m/>
    <m/>
    <m/>
    <m/>
    <n v="32042500"/>
    <s v="M"/>
    <s v="N"/>
    <n v="10"/>
    <s v="S"/>
    <m/>
    <m/>
    <m/>
    <m/>
    <n v="-17095.05"/>
  </r>
  <r>
    <d v="2013-10-07T00:00:00"/>
    <x v="2"/>
    <x v="2"/>
    <x v="62"/>
    <s v="OTC Equity Swap"/>
    <x v="3"/>
    <m/>
    <x v="0"/>
    <x v="0"/>
    <m/>
    <s v="Volatility"/>
    <m/>
    <s v="EQ_Entity5"/>
    <s v="Single"/>
    <m/>
    <d v="2015-05-20T00:00:00"/>
    <m/>
    <m/>
    <m/>
    <m/>
    <n v="79465400"/>
    <s v="U"/>
    <s v="N"/>
    <s v="NA"/>
    <s v="S"/>
    <m/>
    <m/>
    <m/>
    <m/>
    <n v="-41745.589999999997"/>
  </r>
  <r>
    <d v="2013-10-07T00:00:00"/>
    <x v="2"/>
    <x v="2"/>
    <x v="63"/>
    <s v="OTC Equity Swap"/>
    <x v="3"/>
    <m/>
    <x v="0"/>
    <x v="0"/>
    <m/>
    <s v="Volatility"/>
    <m/>
    <s v="EQ_Entity5"/>
    <s v="Single"/>
    <m/>
    <d v="2016-04-08T00:00:00"/>
    <m/>
    <m/>
    <m/>
    <m/>
    <n v="215325600"/>
    <s v="U"/>
    <s v="N"/>
    <s v="NA"/>
    <s v="S"/>
    <m/>
    <m/>
    <m/>
    <m/>
    <n v="-112000.33"/>
  </r>
  <r>
    <d v="2023-12-31T00:00:00"/>
    <x v="3"/>
    <x v="0"/>
    <x v="64"/>
    <s v="OTC Oil-Gas Options"/>
    <x v="4"/>
    <s v="Oil"/>
    <x v="0"/>
    <x v="0"/>
    <m/>
    <m/>
    <m/>
    <m/>
    <m/>
    <m/>
    <d v="2027-11-23T00:00:00"/>
    <m/>
    <m/>
    <m/>
    <m/>
    <n v="98000000"/>
    <s v="M"/>
    <s v="N"/>
    <n v="5"/>
    <s v="B"/>
    <d v="2027-11-23T00:00:00"/>
    <s v="C"/>
    <n v="110"/>
    <n v="120"/>
    <n v="424111.21"/>
  </r>
  <r>
    <d v="2023-12-31T00:00:00"/>
    <x v="3"/>
    <x v="0"/>
    <x v="65"/>
    <s v="OTC Oil-Gas Options"/>
    <x v="4"/>
    <s v="Gas"/>
    <x v="0"/>
    <x v="0"/>
    <m/>
    <m/>
    <m/>
    <m/>
    <m/>
    <m/>
    <d v="2026-11-08T00:00:00"/>
    <m/>
    <m/>
    <m/>
    <m/>
    <n v="20000000"/>
    <s v="M"/>
    <s v="N"/>
    <n v="5"/>
    <s v="B"/>
    <d v="2026-11-08T00:00:00"/>
    <s v="P"/>
    <n v="135"/>
    <n v="115"/>
    <n v="92740.51"/>
  </r>
  <r>
    <d v="2023-12-31T00:00:00"/>
    <x v="3"/>
    <x v="0"/>
    <x v="66"/>
    <s v="OTC Precious Metal Options"/>
    <x v="4"/>
    <s v="Gold"/>
    <x v="0"/>
    <x v="0"/>
    <m/>
    <m/>
    <m/>
    <m/>
    <m/>
    <m/>
    <d v="2026-11-08T00:00:00"/>
    <m/>
    <m/>
    <m/>
    <m/>
    <n v="31865739.02"/>
    <s v="M"/>
    <s v="N"/>
    <n v="5"/>
    <s v="S"/>
    <d v="2026-11-08T00:00:00"/>
    <s v="P"/>
    <n v="115"/>
    <n v="145"/>
    <n v="7315525.8300000001"/>
  </r>
  <r>
    <d v="2023-12-31T00:00:00"/>
    <x v="3"/>
    <x v="0"/>
    <x v="67"/>
    <s v="OTC Base Metal Options"/>
    <x v="4"/>
    <s v="Steel"/>
    <x v="0"/>
    <x v="0"/>
    <m/>
    <m/>
    <m/>
    <m/>
    <m/>
    <m/>
    <d v="2024-09-29T00:00:00"/>
    <m/>
    <m/>
    <m/>
    <m/>
    <n v="31865739.02"/>
    <s v="M"/>
    <s v="N"/>
    <n v="5"/>
    <s v="S"/>
    <d v="2024-09-29T00:00:00"/>
    <s v="C"/>
    <n v="148"/>
    <n v="150"/>
    <n v="-39998.639999999999"/>
  </r>
  <r>
    <d v="2023-12-31T00:00:00"/>
    <x v="3"/>
    <x v="0"/>
    <x v="68"/>
    <s v="OTC Precious Metal Options"/>
    <x v="4"/>
    <s v="Gold"/>
    <x v="0"/>
    <x v="0"/>
    <m/>
    <m/>
    <m/>
    <m/>
    <m/>
    <m/>
    <d v="2024-09-29T00:00:00"/>
    <m/>
    <m/>
    <m/>
    <m/>
    <n v="106555902.01000001"/>
    <s v="M"/>
    <s v="N"/>
    <n v="5"/>
    <s v="B"/>
    <d v="2024-09-29T00:00:00"/>
    <s v="P"/>
    <n v="145"/>
    <n v="120"/>
    <n v="1595083.41"/>
  </r>
  <r>
    <d v="2023-12-31T00:00:00"/>
    <x v="3"/>
    <x v="0"/>
    <x v="69"/>
    <s v="OTC Base Metal Options"/>
    <x v="4"/>
    <s v="Aluminum"/>
    <x v="0"/>
    <x v="0"/>
    <m/>
    <m/>
    <m/>
    <m/>
    <m/>
    <m/>
    <d v="2024-09-10T00:00:00"/>
    <m/>
    <m/>
    <m/>
    <m/>
    <n v="52801098.259999998"/>
    <s v="M"/>
    <s v="N"/>
    <n v="5"/>
    <s v="B"/>
    <d v="2024-09-10T00:00:00"/>
    <s v="C"/>
    <n v="142"/>
    <n v="154"/>
    <n v="-154917.47"/>
  </r>
  <r>
    <d v="2023-12-31T00:00:00"/>
    <x v="3"/>
    <x v="0"/>
    <x v="70"/>
    <s v="OTC Wheat Forwards"/>
    <x v="4"/>
    <s v="Wheat"/>
    <x v="0"/>
    <x v="0"/>
    <m/>
    <m/>
    <m/>
    <m/>
    <m/>
    <m/>
    <d v="2027-12-13T00:00:00"/>
    <m/>
    <m/>
    <m/>
    <m/>
    <n v="58081208.090000004"/>
    <s v="M"/>
    <s v="N"/>
    <n v="5"/>
    <s v="S"/>
    <m/>
    <m/>
    <m/>
    <m/>
    <n v="152175.81"/>
  </r>
  <r>
    <d v="2023-12-31T00:00:00"/>
    <x v="3"/>
    <x v="0"/>
    <x v="71"/>
    <s v="OTC Wheat Forwards"/>
    <x v="4"/>
    <s v="Wheat"/>
    <x v="0"/>
    <x v="0"/>
    <m/>
    <m/>
    <m/>
    <m/>
    <m/>
    <m/>
    <d v="2024-12-30T00:00:00"/>
    <m/>
    <m/>
    <m/>
    <m/>
    <n v="19225500"/>
    <s v="M"/>
    <s v="N"/>
    <n v="5"/>
    <s v="B"/>
    <m/>
    <m/>
    <m/>
    <m/>
    <n v="29675.65"/>
  </r>
  <r>
    <d v="2023-12-31T00:00:00"/>
    <x v="4"/>
    <x v="1"/>
    <x v="72"/>
    <s v="OTC Electricity Forwards"/>
    <x v="4"/>
    <s v="Electricity"/>
    <x v="0"/>
    <x v="0"/>
    <m/>
    <m/>
    <m/>
    <m/>
    <m/>
    <m/>
    <d v="2024-12-30T00:00:00"/>
    <m/>
    <m/>
    <m/>
    <m/>
    <n v="25634000"/>
    <s v="M"/>
    <s v="N"/>
    <n v="5"/>
    <s v="B"/>
    <m/>
    <m/>
    <m/>
    <m/>
    <n v="3452.32"/>
  </r>
  <r>
    <d v="2023-12-31T00:00:00"/>
    <x v="4"/>
    <x v="1"/>
    <x v="73"/>
    <s v="OTC Electricity Forwards"/>
    <x v="4"/>
    <s v="Electricity"/>
    <x v="0"/>
    <x v="0"/>
    <m/>
    <m/>
    <m/>
    <m/>
    <m/>
    <m/>
    <d v="2025-01-22T00:00:00"/>
    <m/>
    <m/>
    <m/>
    <m/>
    <n v="41014400"/>
    <s v="M"/>
    <s v="N"/>
    <n v="5"/>
    <s v="S"/>
    <m/>
    <m/>
    <m/>
    <m/>
    <n v="-18528.28"/>
  </r>
  <r>
    <d v="2023-12-31T00:00:00"/>
    <x v="4"/>
    <x v="1"/>
    <x v="74"/>
    <s v="OTC Oil-Gas Swaps"/>
    <x v="4"/>
    <s v="Crude Oil"/>
    <x v="0"/>
    <x v="0"/>
    <m/>
    <m/>
    <m/>
    <m/>
    <m/>
    <m/>
    <d v="2028-11-07T00:00:00"/>
    <m/>
    <m/>
    <m/>
    <m/>
    <n v="128170000"/>
    <s v="M"/>
    <s v="N"/>
    <n v="10"/>
    <s v="B"/>
    <m/>
    <m/>
    <m/>
    <m/>
    <n v="-56974.1"/>
  </r>
  <r>
    <d v="2023-12-31T00:00:00"/>
    <x v="4"/>
    <x v="1"/>
    <x v="75"/>
    <s v="OTC Oil-Gas Swaps"/>
    <x v="4"/>
    <s v="Crude Oil"/>
    <x v="0"/>
    <x v="0"/>
    <m/>
    <m/>
    <m/>
    <m/>
    <m/>
    <m/>
    <d v="2029-05-25T00:00:00"/>
    <m/>
    <m/>
    <m/>
    <m/>
    <n v="21788900"/>
    <s v="M"/>
    <s v="N"/>
    <n v="10"/>
    <s v="S"/>
    <m/>
    <m/>
    <m/>
    <m/>
    <n v="13442.1"/>
  </r>
  <r>
    <d v="2023-12-31T00:00:00"/>
    <x v="4"/>
    <x v="1"/>
    <x v="76"/>
    <s v="OTC Base Metal Forwards"/>
    <x v="4"/>
    <s v="Steel"/>
    <x v="0"/>
    <x v="0"/>
    <m/>
    <m/>
    <m/>
    <m/>
    <m/>
    <m/>
    <d v="2029-05-22T00:00:00"/>
    <m/>
    <m/>
    <m/>
    <m/>
    <n v="233269400"/>
    <s v="M"/>
    <s v="N"/>
    <n v="10"/>
    <s v="B"/>
    <m/>
    <m/>
    <m/>
    <m/>
    <n v="43757.84"/>
  </r>
  <r>
    <d v="2023-12-31T00:00:00"/>
    <x v="4"/>
    <x v="1"/>
    <x v="77"/>
    <s v="OTC Base Metal Swaps"/>
    <x v="4"/>
    <s v="Copper"/>
    <x v="0"/>
    <x v="0"/>
    <m/>
    <m/>
    <m/>
    <m/>
    <m/>
    <m/>
    <d v="2026-06-18T00:00:00"/>
    <m/>
    <m/>
    <m/>
    <m/>
    <n v="32042500"/>
    <s v="M"/>
    <s v="N"/>
    <n v="10"/>
    <s v="S"/>
    <m/>
    <m/>
    <m/>
    <m/>
    <n v="-18265.05"/>
  </r>
  <r>
    <d v="2023-12-31T00:00:00"/>
    <x v="2"/>
    <x v="2"/>
    <x v="78"/>
    <s v="OTC Base Metal Forwards"/>
    <x v="4"/>
    <s v="Copper"/>
    <x v="0"/>
    <x v="0"/>
    <m/>
    <m/>
    <m/>
    <m/>
    <m/>
    <m/>
    <d v="2023-11-05T00:00:00"/>
    <m/>
    <m/>
    <m/>
    <m/>
    <n v="79465400"/>
    <s v="U"/>
    <s v="N"/>
    <s v="NA"/>
    <s v="S"/>
    <m/>
    <m/>
    <m/>
    <m/>
    <n v="-44895.59"/>
  </r>
  <r>
    <d v="2023-12-31T00:00:00"/>
    <x v="2"/>
    <x v="2"/>
    <x v="79"/>
    <s v="OTC Base Metal Swaps"/>
    <x v="4"/>
    <s v="Steel"/>
    <x v="0"/>
    <x v="0"/>
    <m/>
    <m/>
    <m/>
    <m/>
    <m/>
    <m/>
    <d v="2023-11-12T00:00:00"/>
    <m/>
    <m/>
    <m/>
    <m/>
    <n v="215325600"/>
    <s v="U"/>
    <s v="N"/>
    <s v="NA"/>
    <s v="S"/>
    <m/>
    <m/>
    <m/>
    <m/>
    <n v="-114854.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  <x v="0"/>
    <n v="6638836.744858847"/>
  </r>
  <r>
    <x v="0"/>
    <x v="0"/>
    <x v="1"/>
    <x v="1"/>
    <n v="-73920055.16879873"/>
  </r>
  <r>
    <x v="0"/>
    <x v="0"/>
    <x v="2"/>
    <x v="0"/>
    <n v="1900431.0342281247"/>
  </r>
  <r>
    <x v="0"/>
    <x v="0"/>
    <x v="2"/>
    <x v="1"/>
    <n v="8083306.7449449981"/>
  </r>
  <r>
    <x v="0"/>
    <x v="0"/>
    <x v="3"/>
    <x v="1"/>
    <n v="85353570.467667088"/>
  </r>
  <r>
    <x v="1"/>
    <x v="1"/>
    <x v="2"/>
    <x v="0"/>
    <n v="-18819543.062566984"/>
  </r>
  <r>
    <x v="1"/>
    <x v="1"/>
    <x v="2"/>
    <x v="1"/>
    <n v="-430832352.13115525"/>
  </r>
  <r>
    <x v="2"/>
    <x v="2"/>
    <x v="4"/>
    <x v="1"/>
    <n v="-30718366.584261779"/>
  </r>
  <r>
    <x v="2"/>
    <x v="2"/>
    <x v="4"/>
    <x v="2"/>
    <n v="455782918.51003611"/>
  </r>
  <r>
    <x v="2"/>
    <x v="2"/>
    <x v="3"/>
    <x v="0"/>
    <n v="16375797.303985156"/>
  </r>
  <r>
    <x v="2"/>
    <x v="2"/>
    <x v="3"/>
    <x v="1"/>
    <n v="213331353.13470548"/>
  </r>
  <r>
    <x v="2"/>
    <x v="2"/>
    <x v="3"/>
    <x v="2"/>
    <n v="-42629634.35810240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s v="AUD [1 month LIBOR vs OIS Rate]"/>
    <n v="6638836.744858847"/>
    <m/>
    <m/>
  </r>
  <r>
    <x v="0"/>
    <x v="0"/>
    <s v="AUD [3 month LIBOR vs 6 month LIBOR]"/>
    <m/>
    <n v="-73920055.16879873"/>
    <m/>
  </r>
  <r>
    <x v="0"/>
    <x v="0"/>
    <s v="JPY"/>
    <n v="1900431.0342281247"/>
    <n v="8083306.7449449981"/>
    <m/>
  </r>
  <r>
    <x v="0"/>
    <x v="0"/>
    <s v="USD"/>
    <m/>
    <n v="85353570.467667088"/>
    <m/>
  </r>
  <r>
    <x v="1"/>
    <x v="1"/>
    <s v="JPY"/>
    <n v="-18819543.062566984"/>
    <n v="-430832352.13115525"/>
    <m/>
  </r>
  <r>
    <x v="2"/>
    <x v="2"/>
    <s v="AUD"/>
    <m/>
    <n v="-30718366.584261779"/>
    <n v="455782918.51003611"/>
  </r>
  <r>
    <x v="2"/>
    <x v="2"/>
    <s v="USD"/>
    <n v="16375797.303985156"/>
    <n v="213331353.13470548"/>
    <n v="-42629634.35810240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101"/>
    <n v="413836.21"/>
    <n v="100000000"/>
    <s v="SWPTN"/>
    <s v="USD"/>
    <s v=""/>
    <s v=""/>
    <x v="0"/>
    <d v="2027-11-23T00:00:00"/>
    <n v="3.8964950711938666"/>
    <x v="0"/>
    <d v="2013-10-07T00:00:00"/>
    <n v="0"/>
    <d v="2027-11-23T00:00:00"/>
    <n v="3.8964950711938666"/>
    <n v="3.5404226092658231"/>
    <n v="354042260.92658234"/>
    <s v="M"/>
    <s v="N"/>
    <n v="5"/>
    <n v="14"/>
    <n v="0.354964786985977"/>
    <s v="B"/>
    <d v="2027-11-23T00:00:00"/>
    <n v="3.8964950711938666"/>
    <s v="C"/>
    <n v="105"/>
    <n v="120"/>
    <n v="0.5"/>
    <n v="0.73525405754567008"/>
    <n v="0.73525405754567008"/>
    <n v="92401241.820357606"/>
  </r>
  <r>
    <x v="0"/>
    <x v="0"/>
    <n v="102"/>
    <n v="89840.51"/>
    <n v="20000000"/>
    <s v="SWPTN"/>
    <s v="USD"/>
    <s v=""/>
    <s v=""/>
    <x v="0"/>
    <d v="2026-11-08T00:00:00"/>
    <n v="2.8555783709787819"/>
    <x v="0"/>
    <d v="2013-10-07T00:00:00"/>
    <n v="0"/>
    <d v="2026-11-08T00:00:00"/>
    <n v="2.8555783709787819"/>
    <n v="2.6610857334702565"/>
    <n v="53221714.669405133"/>
    <s v="M"/>
    <s v="N"/>
    <n v="5"/>
    <n v="14"/>
    <n v="0.354964786985977"/>
    <s v="B"/>
    <d v="2026-11-08T00:00:00"/>
    <n v="2.8555783709787819"/>
    <s v="P"/>
    <n v="125"/>
    <n v="115"/>
    <n v="0.5"/>
    <n v="-0.37305383505295286"/>
    <n v="-0.37305383505295286"/>
    <n v="-7047671.3526905235"/>
  </r>
  <r>
    <x v="0"/>
    <x v="0"/>
    <n v="103"/>
    <n v="7406680.8300000001"/>
    <n v="31865739.02"/>
    <s v="SWPTN"/>
    <s v="JPY"/>
    <s v=""/>
    <s v=""/>
    <x v="1"/>
    <d v="2026-11-08T00:00:00"/>
    <n v="2.8555783709787819"/>
    <x v="0"/>
    <d v="2013-10-07T00:00:00"/>
    <n v="0"/>
    <d v="2026-11-08T00:00:00"/>
    <n v="2.8555783709787819"/>
    <n v="2.6610857334702565"/>
    <n v="84797463.492608473"/>
    <s v="M"/>
    <s v="N"/>
    <n v="5"/>
    <n v="14"/>
    <n v="0.354964786985977"/>
    <s v="S"/>
    <d v="2026-11-08T00:00:00"/>
    <n v="2.8555783709787819"/>
    <s v="P"/>
    <n v="123"/>
    <n v="145"/>
    <n v="0.5"/>
    <n v="0.26854738362787123"/>
    <n v="0.26854738362787123"/>
    <n v="8083306.7449449981"/>
  </r>
  <r>
    <x v="0"/>
    <x v="0"/>
    <n v="104"/>
    <n v="-40774.639999999999"/>
    <n v="31865739.02"/>
    <s v="SWPTN"/>
    <s v="JPY"/>
    <s v=""/>
    <s v=""/>
    <x v="1"/>
    <d v="2024-09-29T00:00:00"/>
    <n v="0.74590163934426235"/>
    <x v="1"/>
    <d v="2013-11-10T00:00:00"/>
    <n v="0"/>
    <d v="2024-09-29T00:00:00"/>
    <n v="0.74590163934426235"/>
    <n v="0.73216372299170107"/>
    <n v="23330938.116765119"/>
    <s v="M"/>
    <s v="N"/>
    <n v="5"/>
    <n v="14"/>
    <n v="0.354964786985977"/>
    <s v="S"/>
    <d v="2024-09-29T00:00:00"/>
    <n v="0.74590163934426235"/>
    <s v="C"/>
    <n v="132"/>
    <n v="150"/>
    <n v="0.5"/>
    <n v="-0.69565435547969345"/>
    <n v="-0.69565435547969345"/>
    <n v="-5761173.8783359956"/>
  </r>
  <r>
    <x v="0"/>
    <x v="0"/>
    <n v="105"/>
    <n v="1671083.41"/>
    <n v="10621913.01"/>
    <s v="SWPTN"/>
    <s v="JPY"/>
    <s v=""/>
    <s v=""/>
    <x v="1"/>
    <d v="2024-09-29T00:00:00"/>
    <n v="0.74590163934426235"/>
    <x v="1"/>
    <d v="2013-11-15T00:00:00"/>
    <n v="0"/>
    <d v="2024-09-29T00:00:00"/>
    <n v="0.74590163934426235"/>
    <n v="0.73216372299170107"/>
    <n v="7776979.3746955851"/>
    <s v="M"/>
    <s v="N"/>
    <n v="5"/>
    <n v="14"/>
    <n v="0.354964786985977"/>
    <s v="B"/>
    <d v="2024-09-29T00:00:00"/>
    <n v="0.74590163934426235"/>
    <s v="P"/>
    <n v="127"/>
    <n v="120"/>
    <n v="0.5"/>
    <n v="-0.46628075774241684"/>
    <n v="-0.46628075774241684"/>
    <n v="-1287193.1303043764"/>
  </r>
  <r>
    <x v="0"/>
    <x v="0"/>
    <n v="106"/>
    <n v="-149917.47"/>
    <n v="52801098.259999998"/>
    <s v="CPFLR"/>
    <s v="JPY"/>
    <s v=""/>
    <s v=""/>
    <x v="1"/>
    <d v="2024-09-10T00:00:00"/>
    <n v="0.69398907103825136"/>
    <x v="1"/>
    <d v="2013-11-15T00:00:00"/>
    <n v="0"/>
    <d v="2024-09-10T00:00:00"/>
    <n v="0.69398907103825136"/>
    <n v="0.68208661698540229"/>
    <n v="36014922.485277213"/>
    <s v="M"/>
    <s v="N"/>
    <n v="5"/>
    <n v="14"/>
    <n v="0.354964786985977"/>
    <s v="B"/>
    <d v="2024-09-10T00:00:00"/>
    <n v="0.69398907103825136"/>
    <s v="C"/>
    <n v="135"/>
    <n v="154"/>
    <n v="0.5"/>
    <n v="0.69999824320306014"/>
    <n v="0.69999824320306014"/>
    <n v="8948798.0428684969"/>
  </r>
  <r>
    <x v="0"/>
    <x v="0"/>
    <n v="107"/>
    <n v="149515.81"/>
    <n v="58081208.090000004"/>
    <s v="IRSWP"/>
    <s v="AUD"/>
    <s v="Basis"/>
    <s v="3 month LIBOR vs 6 month LIBOR"/>
    <x v="2"/>
    <d v="2027-12-13T00:00:00"/>
    <n v="3.9512595837897044"/>
    <x v="0"/>
    <d v="2013-08-05T00:00:00"/>
    <n v="0"/>
    <d v="2027-12-13T00:00:00"/>
    <n v="3.9512595837897044"/>
    <n v="3.5854309962509889"/>
    <n v="208246163.78558972"/>
    <s v="M"/>
    <s v="N"/>
    <n v="5"/>
    <n v="14"/>
    <n v="0.354964786985977"/>
    <s v="S"/>
    <s v=""/>
    <s v=""/>
    <s v=""/>
    <s v=""/>
    <s v=""/>
    <m/>
    <m/>
    <n v="-1"/>
    <n v="-73920055.16879873"/>
  </r>
  <r>
    <x v="0"/>
    <x v="0"/>
    <n v="108"/>
    <n v="23975.65"/>
    <n v="19225500"/>
    <s v="IRSWP"/>
    <s v="AUD"/>
    <s v="Basis"/>
    <s v="1 month LIBOR vs OIS Rate"/>
    <x v="3"/>
    <d v="2024-12-30T00:00:00"/>
    <n v="0.99726775956284153"/>
    <x v="1"/>
    <d v="2013-08-05T00:00:00"/>
    <n v="0"/>
    <d v="2024-12-30T00:00:00"/>
    <n v="0.99726775956284153"/>
    <n v="0.97281234495253166"/>
    <n v="18702803.737884898"/>
    <s v="M"/>
    <s v="N"/>
    <n v="5"/>
    <n v="14"/>
    <n v="0.354964786985977"/>
    <s v="B"/>
    <s v=""/>
    <s v=""/>
    <s v=""/>
    <s v=""/>
    <s v=""/>
    <m/>
    <m/>
    <n v="1"/>
    <n v="6638836.744858847"/>
  </r>
  <r>
    <x v="1"/>
    <x v="1"/>
    <n v="115"/>
    <n v="-40581.589999999997"/>
    <n v="79465400"/>
    <s v="FRA"/>
    <s v="JPY"/>
    <s v=""/>
    <s v=""/>
    <x v="1"/>
    <d v="2024-05-20T00:00:00"/>
    <n v="0.38524590163934425"/>
    <x v="1"/>
    <d v="2013-08-10T00:00:00"/>
    <n v="0"/>
    <d v="2024-05-20T00:00:00"/>
    <n v="0.38524590163934425"/>
    <n v="0.38155925058903195"/>
    <n v="30320758.471757658"/>
    <s v="U"/>
    <s v="N"/>
    <s v="NA"/>
    <s v="NA"/>
    <n v="0.62068180385713279"/>
    <s v="S"/>
    <s v=""/>
    <s v=""/>
    <s v=""/>
    <s v=""/>
    <s v=""/>
    <m/>
    <m/>
    <n v="-1"/>
    <n v="-18819543.062566984"/>
  </r>
  <r>
    <x v="1"/>
    <x v="1"/>
    <n v="116"/>
    <n v="-110173.33"/>
    <n v="215325600"/>
    <s v="FRA"/>
    <s v="JPY"/>
    <s v=""/>
    <s v=""/>
    <x v="1"/>
    <d v="2026-02-08T00:00:00"/>
    <n v="2.108145106091718"/>
    <x v="0"/>
    <d v="2013-08-10T00:00:00"/>
    <n v="0"/>
    <d v="2026-02-08T00:00:00"/>
    <n v="2.108145106091718"/>
    <n v="2.0008412939806286"/>
    <n v="430832352.13115525"/>
    <s v="U"/>
    <s v="N"/>
    <s v="NA"/>
    <s v="NA"/>
    <n v="1"/>
    <s v="S"/>
    <s v=""/>
    <s v=""/>
    <s v=""/>
    <s v=""/>
    <s v=""/>
    <m/>
    <m/>
    <n v="-1"/>
    <n v="-430832352.13115525"/>
  </r>
  <r>
    <x v="2"/>
    <x v="2"/>
    <n v="109"/>
    <n v="1949.32"/>
    <n v="47422900"/>
    <s v="IRSWP"/>
    <s v="USD"/>
    <s v=""/>
    <s v=""/>
    <x v="0"/>
    <d v="2024-12-30T00:00:00"/>
    <n v="0.99726775956284153"/>
    <x v="1"/>
    <d v="2013-10-07T00:00:00"/>
    <n v="0"/>
    <d v="2024-12-30T00:00:00"/>
    <n v="0.99726775956284153"/>
    <n v="0.97281234495253166"/>
    <n v="46133582.553449415"/>
    <s v="M"/>
    <s v="N"/>
    <n v="5"/>
    <n v="14"/>
    <n v="0.354964786985977"/>
    <s v="B"/>
    <s v=""/>
    <s v=""/>
    <s v=""/>
    <s v=""/>
    <s v=""/>
    <m/>
    <m/>
    <n v="1"/>
    <n v="16375797.303985156"/>
  </r>
  <r>
    <x v="2"/>
    <x v="2"/>
    <n v="110"/>
    <n v="-16568.28"/>
    <n v="41014400"/>
    <s v="IRSWP"/>
    <s v="USD"/>
    <s v=""/>
    <s v=""/>
    <x v="0"/>
    <d v="2025-01-22T00:00:00"/>
    <n v="1.062043795620438"/>
    <x v="0"/>
    <d v="2014-01-01T00:00:00"/>
    <n v="0"/>
    <d v="2025-01-22T00:00:00"/>
    <n v="1.062043795620438"/>
    <n v="1.0343379462364655"/>
    <n v="42422750.262120888"/>
    <s v="M"/>
    <s v="N"/>
    <n v="5"/>
    <n v="14"/>
    <n v="0.354964786985977"/>
    <s v="S"/>
    <s v=""/>
    <s v=""/>
    <s v=""/>
    <s v=""/>
    <s v=""/>
    <m/>
    <m/>
    <n v="-1"/>
    <n v="-15058582.51015304"/>
  </r>
  <r>
    <x v="2"/>
    <x v="2"/>
    <n v="111"/>
    <n v="58017.1"/>
    <n v="128170000"/>
    <s v="IRSWP"/>
    <s v="USD"/>
    <s v=""/>
    <s v=""/>
    <x v="0"/>
    <d v="2028-11-07T00:00:00"/>
    <n v="4.8531021897810218"/>
    <x v="0"/>
    <d v="2014-01-01T00:00:00"/>
    <n v="0"/>
    <d v="2028-11-07T00:00:00"/>
    <n v="4.8531021897810218"/>
    <n v="4.3091590355127014"/>
    <n v="552304913.58166289"/>
    <s v="M"/>
    <s v="N"/>
    <n v="10"/>
    <n v="19"/>
    <n v="0.41352146256270667"/>
    <s v="B"/>
    <s v=""/>
    <s v=""/>
    <s v=""/>
    <s v=""/>
    <s v=""/>
    <m/>
    <m/>
    <n v="1"/>
    <n v="228389935.64485854"/>
  </r>
  <r>
    <x v="2"/>
    <x v="2"/>
    <n v="112"/>
    <n v="11605.1"/>
    <n v="21788900"/>
    <s v="IRSWP"/>
    <s v="USD"/>
    <s v=""/>
    <s v=""/>
    <x v="0"/>
    <d v="2029-05-25T00:00:00"/>
    <n v="5.3985138834571762"/>
    <x v="2"/>
    <d v="2014-01-01T00:00:00"/>
    <n v="0"/>
    <d v="2029-05-25T00:00:00"/>
    <n v="5.3985138834571762"/>
    <n v="4.7312756002180079"/>
    <n v="103089290.92559016"/>
    <s v="M"/>
    <s v="N"/>
    <n v="10"/>
    <n v="19"/>
    <n v="0.41352146256270667"/>
    <s v="S"/>
    <s v=""/>
    <s v=""/>
    <s v=""/>
    <s v=""/>
    <s v=""/>
    <m/>
    <m/>
    <n v="-1"/>
    <n v="-42629634.358102404"/>
  </r>
  <r>
    <x v="2"/>
    <x v="2"/>
    <n v="113"/>
    <n v="41757.839999999997"/>
    <n v="233269400"/>
    <s v="FRA"/>
    <s v="AUD"/>
    <s v=""/>
    <s v=""/>
    <x v="4"/>
    <d v="2029-05-22T00:00:00"/>
    <n v="5.3903011341415725"/>
    <x v="2"/>
    <d v="2013-08-10T00:00:00"/>
    <n v="0"/>
    <d v="2029-05-22T00:00:00"/>
    <n v="5.3903011341415725"/>
    <n v="4.72500440241852"/>
    <n v="1102198941.9495268"/>
    <s v="M"/>
    <s v="N"/>
    <n v="10"/>
    <n v="19"/>
    <n v="0.41352146256270667"/>
    <s v="B"/>
    <s v=""/>
    <s v=""/>
    <s v=""/>
    <s v=""/>
    <s v=""/>
    <m/>
    <m/>
    <n v="1"/>
    <n v="455782918.51003611"/>
  </r>
  <r>
    <x v="2"/>
    <x v="2"/>
    <n v="114"/>
    <n v="-16095.05"/>
    <n v="32042500"/>
    <s v="FRA"/>
    <s v="AUD"/>
    <s v=""/>
    <s v=""/>
    <x v="4"/>
    <d v="2026-06-18T00:00:00"/>
    <n v="2.4640657084188913"/>
    <x v="0"/>
    <d v="2013-08-10T00:00:00"/>
    <n v="0"/>
    <d v="2026-06-18T00:00:00"/>
    <n v="2.4640657084188913"/>
    <n v="2.3183215416041114"/>
    <n v="74284817.996849746"/>
    <s v="M"/>
    <s v="N"/>
    <n v="10"/>
    <n v="19"/>
    <n v="0.41352146256270667"/>
    <s v="S"/>
    <s v=""/>
    <s v=""/>
    <s v=""/>
    <s v=""/>
    <s v=""/>
    <m/>
    <m/>
    <n v="-1"/>
    <n v="-30718366.5842617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410924-491A-4B4A-B1D8-0C79118B3921}" name="PivotTable3" cacheId="1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9:E41" firstHeaderRow="1" firstDataRow="1" firstDataCol="4"/>
  <pivotFields count="34"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2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1"/>
    <field x="9"/>
    <field x="12"/>
  </rowFields>
  <rowItems count="12">
    <i>
      <x/>
      <x/>
      <x v="1"/>
      <x/>
    </i>
    <i r="2">
      <x v="2"/>
      <x v="1"/>
    </i>
    <i r="2">
      <x v="3"/>
      <x/>
    </i>
    <i r="3">
      <x v="1"/>
    </i>
    <i r="2">
      <x v="4"/>
      <x v="1"/>
    </i>
    <i>
      <x v="1"/>
      <x v="2"/>
      <x v="3"/>
      <x/>
    </i>
    <i r="3">
      <x v="1"/>
    </i>
    <i>
      <x v="2"/>
      <x v="1"/>
      <x/>
      <x v="1"/>
    </i>
    <i r="3">
      <x v="2"/>
    </i>
    <i r="2">
      <x v="4"/>
      <x/>
    </i>
    <i r="3">
      <x v="1"/>
    </i>
    <i r="3">
      <x v="2"/>
    </i>
  </rowItems>
  <colItems count="1">
    <i/>
  </colItems>
  <dataFields count="1">
    <dataField name="Sum of Trade Level Effective Notional" fld="33" baseField="0" baseItem="0" numFmtId="169"/>
  </dataFields>
  <formats count="8">
    <format dxfId="7">
      <pivotArea outline="0" collapsedLevelsAreSubtotals="1" fieldPosition="0"/>
    </format>
    <format dxfId="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9" count="1" selected="0">
            <x v="1"/>
          </reference>
          <reference field="12" count="1">
            <x v="0"/>
          </reference>
        </references>
      </pivotArea>
    </format>
    <format dxfId="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9" count="1" selected="0">
            <x v="2"/>
          </reference>
          <reference field="12" count="1">
            <x v="1"/>
          </reference>
        </references>
      </pivotArea>
    </format>
    <format dxfId="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9" count="1" selected="0">
            <x v="3"/>
          </reference>
          <reference field="12" count="2">
            <x v="0"/>
            <x v="1"/>
          </reference>
        </references>
      </pivotArea>
    </format>
    <format dxfId="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9" count="1" selected="0">
            <x v="4"/>
          </reference>
          <reference field="12" count="1">
            <x v="1"/>
          </reference>
        </references>
      </pivotArea>
    </format>
    <format dxfId="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9" count="1" selected="0">
            <x v="3"/>
          </reference>
          <reference field="12" count="2">
            <x v="0"/>
            <x v="1"/>
          </reference>
        </references>
      </pivotArea>
    </format>
    <format dxfId="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9" count="1" selected="0">
            <x v="0"/>
          </reference>
          <reference field="12" count="2">
            <x v="1"/>
            <x v="2"/>
          </reference>
        </references>
      </pivotArea>
    </format>
    <format dxfId="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9" count="1" selected="0">
            <x v="4"/>
          </reference>
          <reference field="1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12B194-38BB-454F-95B7-8A487999AD69}" name="PivotTable2" cacheId="10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4:E20" firstHeaderRow="0" firstDataRow="1" firstDataCol="3" rowPageCount="1" colPageCount="1"/>
  <pivotFields count="30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3"/>
        <item x="0"/>
        <item x="2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0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">
        <item h="1" x="4"/>
        <item h="1" x="0"/>
        <item h="1" x="3"/>
        <item h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16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2"/>
      <x v="2"/>
      <x v="14"/>
    </i>
    <i r="2">
      <x v="15"/>
    </i>
    <i>
      <x v="4"/>
      <x v="1"/>
      <x v="8"/>
    </i>
    <i r="2">
      <x v="9"/>
    </i>
    <i r="2">
      <x v="10"/>
    </i>
    <i r="2">
      <x v="11"/>
    </i>
    <i r="2">
      <x v="12"/>
    </i>
    <i r="2">
      <x v="13"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um of MtM" fld="29" baseField="0" baseItem="0"/>
    <dataField name="Sum of Base Notional" fld="20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B29FF4-4C2B-B547-A9E5-23C1AF5EC322}" name="PivotTable5" cacheId="10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60:B63" firstHeaderRow="1" firstDataRow="1" firstDataCol="2"/>
  <pivotFields count="6"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">
    <i>
      <x/>
      <x/>
    </i>
    <i>
      <x v="1"/>
      <x v="2"/>
    </i>
    <i>
      <x v="2"/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E5AC4-B254-9841-8B54-37DD2CB70B13}" name="PivotTable4" cacheId="10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46:F54" firstHeaderRow="1" firstDataRow="2" firstDataCol="3"/>
  <pivotFields count="5"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4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">
    <i>
      <x/>
      <x/>
      <x v="1"/>
    </i>
    <i r="2">
      <x v="2"/>
    </i>
    <i r="2">
      <x v="3"/>
    </i>
    <i r="2">
      <x v="4"/>
    </i>
    <i>
      <x v="1"/>
      <x v="2"/>
      <x v="3"/>
    </i>
    <i>
      <x v="2"/>
      <x v="1"/>
      <x/>
    </i>
    <i r="2">
      <x v="4"/>
    </i>
  </rowItems>
  <colFields count="1">
    <field x="3"/>
  </colFields>
  <colItems count="3">
    <i>
      <x/>
    </i>
    <i>
      <x v="1"/>
    </i>
    <i>
      <x v="2"/>
    </i>
  </colItems>
  <dataFields count="1">
    <dataField name="Sum of Sum of Trade Level Effective Notional" fld="4" baseField="0" baseItem="0" numFmtId="169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showGridLines="0" workbookViewId="0">
      <selection activeCell="P12" sqref="P12"/>
    </sheetView>
  </sheetViews>
  <sheetFormatPr baseColWidth="10" defaultColWidth="9" defaultRowHeight="1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82F-E090-4A4D-9146-C0CE5D720CFF}">
  <dimension ref="A1:AG114"/>
  <sheetViews>
    <sheetView showGridLines="0" zoomScale="80" zoomScaleNormal="80" workbookViewId="0">
      <pane ySplit="9" topLeftCell="A10" activePane="bottomLeft" state="frozen"/>
      <selection pane="bottomLeft" activeCell="A58" sqref="A58"/>
    </sheetView>
  </sheetViews>
  <sheetFormatPr baseColWidth="10" defaultColWidth="9.19921875" defaultRowHeight="14"/>
  <cols>
    <col min="1" max="1" width="10.59765625" style="75" customWidth="1"/>
    <col min="2" max="2" width="2" style="98" customWidth="1"/>
    <col min="3" max="3" width="20.796875" style="98" customWidth="1"/>
    <col min="4" max="4" width="40.19921875" style="98" bestFit="1" customWidth="1"/>
    <col min="5" max="5" width="21.3984375" style="98" bestFit="1" customWidth="1"/>
    <col min="6" max="6" width="25.59765625" style="98" bestFit="1" customWidth="1"/>
    <col min="7" max="7" width="27.796875" style="98" bestFit="1" customWidth="1"/>
    <col min="8" max="12" width="27.796875" style="98" customWidth="1"/>
    <col min="13" max="13" width="26" style="98" bestFit="1" customWidth="1"/>
    <col min="14" max="14" width="26" style="98" customWidth="1"/>
    <col min="15" max="15" width="25" style="98" customWidth="1"/>
    <col min="16" max="16" width="26" style="98" bestFit="1" customWidth="1"/>
    <col min="17" max="17" width="28.3984375" style="98" customWidth="1"/>
    <col min="18" max="18" width="40.19921875" style="98" bestFit="1" customWidth="1"/>
    <col min="19" max="19" width="26" style="98" bestFit="1" customWidth="1"/>
    <col min="20" max="20" width="14.796875" style="98" bestFit="1" customWidth="1"/>
    <col min="21" max="21" width="21.796875" style="98" customWidth="1"/>
    <col min="22" max="22" width="25.3984375" style="98" customWidth="1"/>
    <col min="23" max="23" width="20.796875" style="98" bestFit="1" customWidth="1"/>
    <col min="24" max="24" width="24.796875" style="98" bestFit="1" customWidth="1"/>
    <col min="25" max="25" width="9.19921875" style="98" bestFit="1" customWidth="1"/>
    <col min="26" max="26" width="37" style="98" bestFit="1" customWidth="1"/>
    <col min="27" max="27" width="19.19921875" style="98" customWidth="1"/>
    <col min="28" max="28" width="29.19921875" style="98" bestFit="1" customWidth="1"/>
    <col min="29" max="29" width="24.59765625" style="98" bestFit="1" customWidth="1"/>
    <col min="30" max="30" width="19.796875" style="98" bestFit="1" customWidth="1"/>
    <col min="31" max="31" width="37.19921875" style="98" bestFit="1" customWidth="1"/>
    <col min="32" max="32" width="19" style="98" bestFit="1" customWidth="1"/>
    <col min="33" max="33" width="9.3984375" style="98" customWidth="1"/>
    <col min="34" max="37" width="37" style="98" customWidth="1"/>
    <col min="38" max="38" width="19.19921875" style="98" bestFit="1" customWidth="1"/>
    <col min="39" max="39" width="29.19921875" style="98" bestFit="1" customWidth="1"/>
    <col min="40" max="40" width="17.19921875" style="98" bestFit="1" customWidth="1"/>
    <col min="41" max="41" width="22.19921875" style="98" bestFit="1" customWidth="1"/>
    <col min="42" max="42" width="30.3984375" style="98" bestFit="1" customWidth="1"/>
    <col min="43" max="43" width="22.19921875" style="98" bestFit="1" customWidth="1"/>
    <col min="44" max="44" width="30.3984375" style="98" bestFit="1" customWidth="1"/>
    <col min="45" max="45" width="32.796875" style="98" bestFit="1" customWidth="1"/>
    <col min="46" max="46" width="19.3984375" style="98" bestFit="1" customWidth="1"/>
    <col min="47" max="47" width="4.19921875" style="98" customWidth="1"/>
    <col min="48" max="48" width="15.796875" style="98" bestFit="1" customWidth="1"/>
    <col min="49" max="49" width="3.19921875" style="98" customWidth="1"/>
    <col min="50" max="16384" width="9.19921875" style="98"/>
  </cols>
  <sheetData>
    <row r="1" spans="2:33" s="75" customFormat="1" ht="12.75" customHeight="1"/>
    <row r="2" spans="2:33" s="75" customFormat="1" ht="12.75" customHeight="1"/>
    <row r="3" spans="2:33" s="75" customFormat="1" ht="12.75" customHeight="1"/>
    <row r="4" spans="2:33" s="75" customFormat="1" ht="12.75" customHeight="1"/>
    <row r="5" spans="2:33" s="75" customFormat="1" ht="12.75" customHeight="1"/>
    <row r="6" spans="2:33" s="75" customFormat="1" ht="12" customHeight="1"/>
    <row r="7" spans="2:33" s="75" customFormat="1" ht="19.5" customHeight="1">
      <c r="B7" s="127"/>
      <c r="C7" s="100" t="s">
        <v>93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128"/>
    </row>
    <row r="8" spans="2:33" s="75" customFormat="1" ht="12.75" customHeight="1" thickBot="1">
      <c r="B8" s="129"/>
      <c r="C8" s="1"/>
      <c r="D8" s="1"/>
      <c r="E8" s="1"/>
      <c r="F8" s="15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89"/>
      <c r="AC8" s="189"/>
      <c r="AD8" s="189"/>
      <c r="AE8" s="189"/>
      <c r="AF8" s="1"/>
      <c r="AG8" s="70"/>
    </row>
    <row r="9" spans="2:33" s="75" customFormat="1" ht="12.75" customHeight="1" thickBot="1">
      <c r="B9" s="129"/>
      <c r="C9" s="85" t="s">
        <v>1</v>
      </c>
      <c r="D9" s="77" t="s">
        <v>2</v>
      </c>
      <c r="E9" s="77" t="s">
        <v>3</v>
      </c>
      <c r="F9" s="77" t="s">
        <v>4</v>
      </c>
      <c r="G9" s="77" t="s">
        <v>5</v>
      </c>
      <c r="H9" s="77" t="s">
        <v>146</v>
      </c>
      <c r="I9" s="77" t="s">
        <v>155</v>
      </c>
      <c r="J9" s="77" t="s">
        <v>81</v>
      </c>
      <c r="K9" s="77" t="s">
        <v>82</v>
      </c>
      <c r="L9" s="77" t="s">
        <v>6</v>
      </c>
      <c r="M9" s="78" t="s">
        <v>7</v>
      </c>
      <c r="N9" s="78" t="s">
        <v>8</v>
      </c>
      <c r="O9" s="76" t="s">
        <v>94</v>
      </c>
      <c r="P9" s="78" t="s">
        <v>128</v>
      </c>
      <c r="Q9" s="78" t="s">
        <v>95</v>
      </c>
      <c r="R9" s="77" t="s">
        <v>9</v>
      </c>
      <c r="S9" s="78" t="s">
        <v>10</v>
      </c>
      <c r="T9" s="78" t="s">
        <v>11</v>
      </c>
      <c r="U9" s="78" t="s">
        <v>83</v>
      </c>
      <c r="V9" s="78" t="s">
        <v>84</v>
      </c>
      <c r="W9" s="78" t="s">
        <v>147</v>
      </c>
      <c r="X9" s="78" t="s">
        <v>13</v>
      </c>
      <c r="Y9" s="78" t="s">
        <v>14</v>
      </c>
      <c r="Z9" s="78" t="s">
        <v>15</v>
      </c>
      <c r="AA9" s="77" t="s">
        <v>16</v>
      </c>
      <c r="AB9" s="77" t="s">
        <v>61</v>
      </c>
      <c r="AC9" s="77" t="s">
        <v>18</v>
      </c>
      <c r="AD9" s="77" t="s">
        <v>19</v>
      </c>
      <c r="AE9" s="77" t="s">
        <v>20</v>
      </c>
      <c r="AF9" s="86" t="s">
        <v>21</v>
      </c>
      <c r="AG9" s="164"/>
    </row>
    <row r="10" spans="2:33" s="75" customFormat="1" ht="12.75" customHeight="1">
      <c r="B10" s="129"/>
      <c r="C10" s="4">
        <v>45291</v>
      </c>
      <c r="D10" s="5" t="s">
        <v>96</v>
      </c>
      <c r="E10" s="5">
        <v>1101</v>
      </c>
      <c r="F10" s="5">
        <v>117</v>
      </c>
      <c r="G10" s="160" t="s">
        <v>97</v>
      </c>
      <c r="H10" s="160" t="s">
        <v>150</v>
      </c>
      <c r="I10" s="160"/>
      <c r="J10" s="160"/>
      <c r="K10" s="160"/>
      <c r="L10" s="160"/>
      <c r="M10" s="174"/>
      <c r="N10" s="165"/>
      <c r="O10" s="2" t="s">
        <v>98</v>
      </c>
      <c r="P10" s="2" t="s">
        <v>99</v>
      </c>
      <c r="Q10" s="2" t="s">
        <v>100</v>
      </c>
      <c r="R10" s="166">
        <v>46714</v>
      </c>
      <c r="S10" s="7">
        <v>41554</v>
      </c>
      <c r="T10" s="166">
        <v>46714</v>
      </c>
      <c r="U10" s="166"/>
      <c r="V10" s="166"/>
      <c r="W10" s="167">
        <v>100000000</v>
      </c>
      <c r="X10" s="2" t="s">
        <v>25</v>
      </c>
      <c r="Y10" s="2" t="s">
        <v>26</v>
      </c>
      <c r="Z10" s="5">
        <v>5</v>
      </c>
      <c r="AA10" s="5" t="s">
        <v>27</v>
      </c>
      <c r="AB10" s="166">
        <v>46714</v>
      </c>
      <c r="AC10" s="5" t="s">
        <v>28</v>
      </c>
      <c r="AD10" s="2">
        <v>110</v>
      </c>
      <c r="AE10" s="2">
        <v>120</v>
      </c>
      <c r="AF10" s="168">
        <v>504251.21</v>
      </c>
      <c r="AG10" s="164"/>
    </row>
    <row r="11" spans="2:33" s="75" customFormat="1" ht="12.75" customHeight="1">
      <c r="B11" s="129"/>
      <c r="C11" s="4">
        <v>45291</v>
      </c>
      <c r="D11" s="5" t="s">
        <v>96</v>
      </c>
      <c r="E11" s="5">
        <v>1101</v>
      </c>
      <c r="F11" s="5">
        <v>118</v>
      </c>
      <c r="G11" s="160" t="s">
        <v>97</v>
      </c>
      <c r="H11" s="160" t="s">
        <v>150</v>
      </c>
      <c r="I11" s="160"/>
      <c r="J11" s="160"/>
      <c r="K11" s="160"/>
      <c r="L11" s="160"/>
      <c r="M11" s="165"/>
      <c r="N11" s="165"/>
      <c r="O11" s="2" t="s">
        <v>98</v>
      </c>
      <c r="P11" s="2" t="s">
        <v>99</v>
      </c>
      <c r="Q11" s="2" t="s">
        <v>100</v>
      </c>
      <c r="R11" s="166">
        <v>46334</v>
      </c>
      <c r="S11" s="7">
        <v>41554</v>
      </c>
      <c r="T11" s="166">
        <v>46334</v>
      </c>
      <c r="U11" s="166"/>
      <c r="V11" s="166"/>
      <c r="W11" s="167">
        <v>20000000</v>
      </c>
      <c r="X11" s="2" t="s">
        <v>25</v>
      </c>
      <c r="Y11" s="2" t="s">
        <v>26</v>
      </c>
      <c r="Z11" s="5">
        <v>5</v>
      </c>
      <c r="AA11" s="5" t="s">
        <v>27</v>
      </c>
      <c r="AB11" s="166">
        <v>46334</v>
      </c>
      <c r="AC11" s="5" t="s">
        <v>29</v>
      </c>
      <c r="AD11" s="2">
        <v>135</v>
      </c>
      <c r="AE11" s="2">
        <v>115</v>
      </c>
      <c r="AF11" s="168">
        <v>99840.51</v>
      </c>
      <c r="AG11" s="164"/>
    </row>
    <row r="12" spans="2:33" s="75" customFormat="1" ht="12.75" customHeight="1">
      <c r="B12" s="129"/>
      <c r="C12" s="4">
        <v>45291</v>
      </c>
      <c r="D12" s="5" t="s">
        <v>96</v>
      </c>
      <c r="E12" s="5">
        <v>1101</v>
      </c>
      <c r="F12" s="5">
        <v>119</v>
      </c>
      <c r="G12" s="160" t="s">
        <v>97</v>
      </c>
      <c r="H12" s="160" t="s">
        <v>150</v>
      </c>
      <c r="I12" s="160"/>
      <c r="J12" s="160"/>
      <c r="K12" s="160"/>
      <c r="L12" s="160"/>
      <c r="M12" s="165" t="s">
        <v>101</v>
      </c>
      <c r="N12" s="165"/>
      <c r="O12" s="2" t="s">
        <v>98</v>
      </c>
      <c r="P12" s="2" t="s">
        <v>99</v>
      </c>
      <c r="Q12" s="2" t="s">
        <v>100</v>
      </c>
      <c r="R12" s="166">
        <v>46334</v>
      </c>
      <c r="S12" s="7">
        <v>41554</v>
      </c>
      <c r="T12" s="166">
        <v>46334</v>
      </c>
      <c r="U12" s="166"/>
      <c r="V12" s="166"/>
      <c r="W12" s="167">
        <v>31865739.02</v>
      </c>
      <c r="X12" s="2" t="s">
        <v>25</v>
      </c>
      <c r="Y12" s="2" t="s">
        <v>26</v>
      </c>
      <c r="Z12" s="5">
        <v>5</v>
      </c>
      <c r="AA12" s="5" t="s">
        <v>31</v>
      </c>
      <c r="AB12" s="166">
        <v>46334</v>
      </c>
      <c r="AC12" s="5" t="s">
        <v>29</v>
      </c>
      <c r="AD12" s="2">
        <v>115</v>
      </c>
      <c r="AE12" s="2">
        <v>145</v>
      </c>
      <c r="AF12" s="168">
        <v>-7420680.8300000001</v>
      </c>
      <c r="AG12" s="164"/>
    </row>
    <row r="13" spans="2:33" s="75" customFormat="1" ht="12.75" customHeight="1">
      <c r="B13" s="129"/>
      <c r="C13" s="4">
        <v>45291</v>
      </c>
      <c r="D13" s="5" t="s">
        <v>96</v>
      </c>
      <c r="E13" s="5">
        <v>1101</v>
      </c>
      <c r="F13" s="5">
        <v>120</v>
      </c>
      <c r="G13" s="160" t="s">
        <v>97</v>
      </c>
      <c r="H13" s="160" t="s">
        <v>150</v>
      </c>
      <c r="I13" s="160"/>
      <c r="J13" s="160"/>
      <c r="K13" s="160"/>
      <c r="L13" s="160"/>
      <c r="M13" s="165"/>
      <c r="N13" s="165"/>
      <c r="O13" s="2" t="s">
        <v>102</v>
      </c>
      <c r="P13" s="2" t="s">
        <v>99</v>
      </c>
      <c r="Q13" s="2" t="s">
        <v>103</v>
      </c>
      <c r="R13" s="166">
        <v>45564</v>
      </c>
      <c r="S13" s="7">
        <v>41588</v>
      </c>
      <c r="T13" s="166">
        <v>45564</v>
      </c>
      <c r="U13" s="166"/>
      <c r="V13" s="166"/>
      <c r="W13" s="167">
        <v>31865739.02</v>
      </c>
      <c r="X13" s="2" t="s">
        <v>25</v>
      </c>
      <c r="Y13" s="2" t="s">
        <v>26</v>
      </c>
      <c r="Z13" s="5">
        <v>5</v>
      </c>
      <c r="AA13" s="5" t="s">
        <v>31</v>
      </c>
      <c r="AB13" s="166">
        <v>45564</v>
      </c>
      <c r="AC13" s="5" t="s">
        <v>28</v>
      </c>
      <c r="AD13" s="2">
        <v>148</v>
      </c>
      <c r="AE13" s="2">
        <v>150</v>
      </c>
      <c r="AF13" s="168">
        <v>-45774.64</v>
      </c>
      <c r="AG13" s="164"/>
    </row>
    <row r="14" spans="2:33" s="75" customFormat="1" ht="12.75" customHeight="1">
      <c r="B14" s="129"/>
      <c r="C14" s="4">
        <v>45291</v>
      </c>
      <c r="D14" s="5" t="s">
        <v>96</v>
      </c>
      <c r="E14" s="5">
        <v>1101</v>
      </c>
      <c r="F14" s="5">
        <v>121</v>
      </c>
      <c r="G14" s="160" t="s">
        <v>97</v>
      </c>
      <c r="H14" s="160" t="s">
        <v>150</v>
      </c>
      <c r="I14" s="160"/>
      <c r="J14" s="160"/>
      <c r="K14" s="160"/>
      <c r="L14" s="160"/>
      <c r="M14" s="165" t="s">
        <v>101</v>
      </c>
      <c r="N14" s="165"/>
      <c r="O14" s="2" t="s">
        <v>104</v>
      </c>
      <c r="P14" s="2" t="s">
        <v>99</v>
      </c>
      <c r="Q14" s="2" t="s">
        <v>27</v>
      </c>
      <c r="R14" s="166">
        <v>45564</v>
      </c>
      <c r="S14" s="7">
        <v>41593</v>
      </c>
      <c r="T14" s="166">
        <v>45564</v>
      </c>
      <c r="U14" s="166"/>
      <c r="V14" s="166"/>
      <c r="W14" s="167">
        <v>10621913.01</v>
      </c>
      <c r="X14" s="2" t="s">
        <v>25</v>
      </c>
      <c r="Y14" s="2" t="s">
        <v>26</v>
      </c>
      <c r="Z14" s="5">
        <v>5</v>
      </c>
      <c r="AA14" s="5" t="s">
        <v>27</v>
      </c>
      <c r="AB14" s="166">
        <v>45564</v>
      </c>
      <c r="AC14" s="5" t="s">
        <v>29</v>
      </c>
      <c r="AD14" s="2">
        <v>145</v>
      </c>
      <c r="AE14" s="2">
        <v>120</v>
      </c>
      <c r="AF14" s="168">
        <v>1679583.41</v>
      </c>
      <c r="AG14" s="164"/>
    </row>
    <row r="15" spans="2:33" s="75" customFormat="1" ht="12.75" customHeight="1">
      <c r="B15" s="129"/>
      <c r="C15" s="4">
        <v>45291</v>
      </c>
      <c r="D15" s="5" t="s">
        <v>96</v>
      </c>
      <c r="E15" s="5">
        <v>1101</v>
      </c>
      <c r="F15" s="5">
        <v>122</v>
      </c>
      <c r="G15" s="160" t="s">
        <v>97</v>
      </c>
      <c r="H15" s="160" t="s">
        <v>150</v>
      </c>
      <c r="I15" s="160"/>
      <c r="J15" s="160"/>
      <c r="K15" s="160"/>
      <c r="L15" s="160"/>
      <c r="M15" s="165" t="s">
        <v>101</v>
      </c>
      <c r="N15" s="165"/>
      <c r="O15" s="2" t="s">
        <v>104</v>
      </c>
      <c r="P15" s="2" t="s">
        <v>99</v>
      </c>
      <c r="Q15" s="2" t="s">
        <v>27</v>
      </c>
      <c r="R15" s="166">
        <v>45545</v>
      </c>
      <c r="S15" s="7">
        <v>41593</v>
      </c>
      <c r="T15" s="166">
        <v>45545</v>
      </c>
      <c r="U15" s="166"/>
      <c r="V15" s="166"/>
      <c r="W15" s="167">
        <v>52801098.259999998</v>
      </c>
      <c r="X15" s="2" t="s">
        <v>25</v>
      </c>
      <c r="Y15" s="2" t="s">
        <v>26</v>
      </c>
      <c r="Z15" s="5">
        <v>5</v>
      </c>
      <c r="AA15" s="5" t="s">
        <v>27</v>
      </c>
      <c r="AB15" s="166">
        <v>45545</v>
      </c>
      <c r="AC15" s="5" t="s">
        <v>28</v>
      </c>
      <c r="AD15" s="2">
        <v>142</v>
      </c>
      <c r="AE15" s="2">
        <v>154</v>
      </c>
      <c r="AF15" s="168">
        <v>-150917.47</v>
      </c>
      <c r="AG15" s="164"/>
    </row>
    <row r="16" spans="2:33" s="75" customFormat="1" ht="12.75" customHeight="1">
      <c r="B16" s="129"/>
      <c r="C16" s="4">
        <v>45291</v>
      </c>
      <c r="D16" s="5" t="s">
        <v>96</v>
      </c>
      <c r="E16" s="5">
        <v>1101</v>
      </c>
      <c r="F16" s="5">
        <v>123</v>
      </c>
      <c r="G16" s="169" t="s">
        <v>105</v>
      </c>
      <c r="H16" s="160" t="s">
        <v>150</v>
      </c>
      <c r="I16" s="160"/>
      <c r="J16" s="169"/>
      <c r="K16" s="169"/>
      <c r="L16" s="169"/>
      <c r="M16" s="165"/>
      <c r="N16" s="165"/>
      <c r="O16" s="2" t="s">
        <v>106</v>
      </c>
      <c r="P16" s="2" t="s">
        <v>107</v>
      </c>
      <c r="Q16" s="2" t="s">
        <v>108</v>
      </c>
      <c r="R16" s="166">
        <v>46734</v>
      </c>
      <c r="S16" s="7">
        <v>41491</v>
      </c>
      <c r="T16" s="166">
        <v>46734</v>
      </c>
      <c r="U16" s="166"/>
      <c r="V16" s="166"/>
      <c r="W16" s="167">
        <v>58081208.090000004</v>
      </c>
      <c r="X16" s="2" t="s">
        <v>25</v>
      </c>
      <c r="Y16" s="2" t="s">
        <v>26</v>
      </c>
      <c r="Z16" s="5">
        <v>5</v>
      </c>
      <c r="AA16" s="5" t="s">
        <v>31</v>
      </c>
      <c r="AB16" s="5"/>
      <c r="AC16" s="5"/>
      <c r="AD16" s="5"/>
      <c r="AE16" s="5"/>
      <c r="AF16" s="168">
        <v>159515.81</v>
      </c>
      <c r="AG16" s="164"/>
    </row>
    <row r="17" spans="2:33" s="75" customFormat="1" ht="12.75" customHeight="1">
      <c r="B17" s="129"/>
      <c r="C17" s="4">
        <v>45291</v>
      </c>
      <c r="D17" s="5" t="s">
        <v>96</v>
      </c>
      <c r="E17" s="5">
        <v>1101</v>
      </c>
      <c r="F17" s="5">
        <v>124</v>
      </c>
      <c r="G17" s="169" t="s">
        <v>105</v>
      </c>
      <c r="H17" s="160" t="s">
        <v>150</v>
      </c>
      <c r="I17" s="160"/>
      <c r="J17" s="169"/>
      <c r="K17" s="169"/>
      <c r="L17" s="169"/>
      <c r="M17" s="165"/>
      <c r="N17" s="165"/>
      <c r="O17" s="2" t="s">
        <v>109</v>
      </c>
      <c r="P17" s="2" t="s">
        <v>107</v>
      </c>
      <c r="Q17" s="2" t="s">
        <v>110</v>
      </c>
      <c r="R17" s="166">
        <v>45656</v>
      </c>
      <c r="S17" s="7">
        <v>41491</v>
      </c>
      <c r="T17" s="166">
        <v>45656</v>
      </c>
      <c r="U17" s="166"/>
      <c r="V17" s="166"/>
      <c r="W17" s="167">
        <v>19225500</v>
      </c>
      <c r="X17" s="2" t="s">
        <v>25</v>
      </c>
      <c r="Y17" s="2" t="s">
        <v>26</v>
      </c>
      <c r="Z17" s="5">
        <v>5</v>
      </c>
      <c r="AA17" s="5" t="s">
        <v>27</v>
      </c>
      <c r="AB17" s="5"/>
      <c r="AC17" s="5"/>
      <c r="AD17" s="5"/>
      <c r="AE17" s="5"/>
      <c r="AF17" s="168">
        <v>33975.65</v>
      </c>
      <c r="AG17" s="164"/>
    </row>
    <row r="18" spans="2:33" s="75" customFormat="1" ht="12.75" customHeight="1">
      <c r="B18" s="129"/>
      <c r="C18" s="4">
        <v>45291</v>
      </c>
      <c r="D18" s="5" t="s">
        <v>111</v>
      </c>
      <c r="E18" s="5">
        <v>1102</v>
      </c>
      <c r="F18" s="5">
        <v>125</v>
      </c>
      <c r="G18" s="169" t="s">
        <v>112</v>
      </c>
      <c r="H18" s="160" t="s">
        <v>150</v>
      </c>
      <c r="I18" s="160"/>
      <c r="J18" s="169"/>
      <c r="K18" s="169"/>
      <c r="L18" s="169"/>
      <c r="M18" s="165"/>
      <c r="N18" s="165"/>
      <c r="O18" s="2" t="s">
        <v>113</v>
      </c>
      <c r="P18" s="2" t="s">
        <v>99</v>
      </c>
      <c r="Q18" s="2" t="s">
        <v>114</v>
      </c>
      <c r="R18" s="166">
        <v>45656</v>
      </c>
      <c r="S18" s="7">
        <v>41554</v>
      </c>
      <c r="T18" s="166">
        <v>45656</v>
      </c>
      <c r="U18" s="166"/>
      <c r="V18" s="166"/>
      <c r="W18" s="167">
        <v>25634000</v>
      </c>
      <c r="X18" s="2" t="s">
        <v>25</v>
      </c>
      <c r="Y18" s="2" t="s">
        <v>26</v>
      </c>
      <c r="Z18" s="5">
        <v>5</v>
      </c>
      <c r="AA18" s="5" t="s">
        <v>27</v>
      </c>
      <c r="AB18" s="5"/>
      <c r="AC18" s="5"/>
      <c r="AD18" s="5"/>
      <c r="AE18" s="5"/>
      <c r="AF18" s="168">
        <v>2949.32</v>
      </c>
      <c r="AG18" s="164"/>
    </row>
    <row r="19" spans="2:33" s="75" customFormat="1" ht="12.75" customHeight="1">
      <c r="B19" s="129"/>
      <c r="C19" s="4">
        <v>45291</v>
      </c>
      <c r="D19" s="5" t="s">
        <v>111</v>
      </c>
      <c r="E19" s="5">
        <v>1102</v>
      </c>
      <c r="F19" s="5">
        <v>126</v>
      </c>
      <c r="G19" s="169" t="s">
        <v>112</v>
      </c>
      <c r="H19" s="160" t="s">
        <v>150</v>
      </c>
      <c r="I19" s="160"/>
      <c r="J19" s="169"/>
      <c r="K19" s="169"/>
      <c r="L19" s="169"/>
      <c r="M19" s="165"/>
      <c r="N19" s="165"/>
      <c r="O19" s="2" t="s">
        <v>113</v>
      </c>
      <c r="P19" s="2" t="s">
        <v>99</v>
      </c>
      <c r="Q19" s="2" t="s">
        <v>114</v>
      </c>
      <c r="R19" s="166">
        <v>45679</v>
      </c>
      <c r="S19" s="7">
        <v>41640</v>
      </c>
      <c r="T19" s="166">
        <v>45679</v>
      </c>
      <c r="U19" s="166"/>
      <c r="V19" s="166"/>
      <c r="W19" s="167">
        <v>41014400</v>
      </c>
      <c r="X19" s="2" t="s">
        <v>25</v>
      </c>
      <c r="Y19" s="2" t="s">
        <v>26</v>
      </c>
      <c r="Z19" s="5">
        <v>5</v>
      </c>
      <c r="AA19" s="5" t="s">
        <v>31</v>
      </c>
      <c r="AB19" s="5"/>
      <c r="AC19" s="5"/>
      <c r="AD19" s="5"/>
      <c r="AE19" s="5"/>
      <c r="AF19" s="168">
        <v>-18568.28</v>
      </c>
      <c r="AG19" s="164"/>
    </row>
    <row r="20" spans="2:33" s="75" customFormat="1" ht="12.75" customHeight="1">
      <c r="B20" s="129"/>
      <c r="C20" s="4">
        <v>45291</v>
      </c>
      <c r="D20" s="5" t="s">
        <v>111</v>
      </c>
      <c r="E20" s="5">
        <v>1102</v>
      </c>
      <c r="F20" s="5">
        <v>127</v>
      </c>
      <c r="G20" s="169" t="s">
        <v>112</v>
      </c>
      <c r="H20" s="160" t="s">
        <v>150</v>
      </c>
      <c r="I20" s="160"/>
      <c r="J20" s="169"/>
      <c r="K20" s="169"/>
      <c r="L20" s="169"/>
      <c r="M20" s="165"/>
      <c r="N20" s="165"/>
      <c r="O20" s="2" t="s">
        <v>115</v>
      </c>
      <c r="P20" s="2" t="s">
        <v>99</v>
      </c>
      <c r="Q20" s="2" t="s">
        <v>116</v>
      </c>
      <c r="R20" s="166">
        <v>47064</v>
      </c>
      <c r="S20" s="7">
        <v>41640</v>
      </c>
      <c r="T20" s="166">
        <v>47064</v>
      </c>
      <c r="U20" s="166"/>
      <c r="V20" s="166"/>
      <c r="W20" s="167">
        <v>128170000</v>
      </c>
      <c r="X20" s="2" t="s">
        <v>25</v>
      </c>
      <c r="Y20" s="2" t="s">
        <v>26</v>
      </c>
      <c r="Z20" s="5">
        <v>10</v>
      </c>
      <c r="AA20" s="5" t="s">
        <v>27</v>
      </c>
      <c r="AB20" s="5"/>
      <c r="AC20" s="5"/>
      <c r="AD20" s="5"/>
      <c r="AE20" s="5"/>
      <c r="AF20" s="168">
        <v>-59017.1</v>
      </c>
      <c r="AG20" s="164"/>
    </row>
    <row r="21" spans="2:33" s="75" customFormat="1" ht="12.75" customHeight="1">
      <c r="B21" s="129"/>
      <c r="C21" s="4">
        <v>45291</v>
      </c>
      <c r="D21" s="5" t="s">
        <v>111</v>
      </c>
      <c r="E21" s="5">
        <v>1102</v>
      </c>
      <c r="F21" s="5">
        <v>128</v>
      </c>
      <c r="G21" s="169" t="s">
        <v>112</v>
      </c>
      <c r="H21" s="160" t="s">
        <v>150</v>
      </c>
      <c r="I21" s="160"/>
      <c r="J21" s="169"/>
      <c r="K21" s="169"/>
      <c r="L21" s="169"/>
      <c r="M21" s="165"/>
      <c r="N21" s="165"/>
      <c r="O21" s="2" t="s">
        <v>115</v>
      </c>
      <c r="P21" s="2" t="s">
        <v>99</v>
      </c>
      <c r="Q21" s="2" t="s">
        <v>116</v>
      </c>
      <c r="R21" s="166">
        <v>47263</v>
      </c>
      <c r="S21" s="7">
        <v>41640</v>
      </c>
      <c r="T21" s="166">
        <v>47263</v>
      </c>
      <c r="U21" s="166"/>
      <c r="V21" s="166"/>
      <c r="W21" s="167">
        <v>21788900</v>
      </c>
      <c r="X21" s="2" t="s">
        <v>25</v>
      </c>
      <c r="Y21" s="2" t="s">
        <v>26</v>
      </c>
      <c r="Z21" s="5">
        <v>10</v>
      </c>
      <c r="AA21" s="5" t="s">
        <v>31</v>
      </c>
      <c r="AB21" s="5"/>
      <c r="AC21" s="5"/>
      <c r="AD21" s="5"/>
      <c r="AE21" s="5"/>
      <c r="AF21" s="168">
        <v>12115.1</v>
      </c>
      <c r="AG21" s="164"/>
    </row>
    <row r="22" spans="2:33" s="75" customFormat="1" ht="12.75" customHeight="1">
      <c r="B22" s="129"/>
      <c r="C22" s="4">
        <v>45291</v>
      </c>
      <c r="D22" s="5" t="s">
        <v>111</v>
      </c>
      <c r="E22" s="5">
        <v>1102</v>
      </c>
      <c r="F22" s="5">
        <v>129</v>
      </c>
      <c r="G22" s="169" t="s">
        <v>112</v>
      </c>
      <c r="H22" s="160" t="s">
        <v>150</v>
      </c>
      <c r="I22" s="160"/>
      <c r="J22" s="169"/>
      <c r="K22" s="169"/>
      <c r="L22" s="169"/>
      <c r="M22" s="165"/>
      <c r="N22" s="165"/>
      <c r="O22" s="2" t="s">
        <v>115</v>
      </c>
      <c r="P22" s="2" t="s">
        <v>99</v>
      </c>
      <c r="Q22" s="2" t="s">
        <v>116</v>
      </c>
      <c r="R22" s="166">
        <v>47260</v>
      </c>
      <c r="S22" s="7">
        <v>41496</v>
      </c>
      <c r="T22" s="166">
        <v>47260</v>
      </c>
      <c r="U22" s="166"/>
      <c r="V22" s="166"/>
      <c r="W22" s="167">
        <v>233269400</v>
      </c>
      <c r="X22" s="2" t="s">
        <v>25</v>
      </c>
      <c r="Y22" s="2" t="s">
        <v>26</v>
      </c>
      <c r="Z22" s="5">
        <v>10</v>
      </c>
      <c r="AA22" s="5" t="s">
        <v>27</v>
      </c>
      <c r="AB22" s="5"/>
      <c r="AC22" s="5"/>
      <c r="AD22" s="5"/>
      <c r="AE22" s="5"/>
      <c r="AF22" s="168">
        <v>42857.84</v>
      </c>
      <c r="AG22" s="164"/>
    </row>
    <row r="23" spans="2:33" s="75" customFormat="1" ht="12.75" customHeight="1">
      <c r="B23" s="129"/>
      <c r="C23" s="4">
        <v>45291</v>
      </c>
      <c r="D23" s="5" t="s">
        <v>111</v>
      </c>
      <c r="E23" s="5">
        <v>1102</v>
      </c>
      <c r="F23" s="5">
        <v>130</v>
      </c>
      <c r="G23" s="169" t="s">
        <v>112</v>
      </c>
      <c r="H23" s="160" t="s">
        <v>150</v>
      </c>
      <c r="I23" s="160"/>
      <c r="J23" s="169"/>
      <c r="K23" s="169"/>
      <c r="L23" s="169"/>
      <c r="M23" s="165"/>
      <c r="N23" s="165"/>
      <c r="O23" s="2" t="s">
        <v>117</v>
      </c>
      <c r="P23" s="2" t="s">
        <v>99</v>
      </c>
      <c r="Q23" s="2" t="s">
        <v>103</v>
      </c>
      <c r="R23" s="166">
        <v>46191</v>
      </c>
      <c r="S23" s="7">
        <v>41496</v>
      </c>
      <c r="T23" s="166">
        <v>46191</v>
      </c>
      <c r="U23" s="166"/>
      <c r="V23" s="166"/>
      <c r="W23" s="167">
        <v>32042500</v>
      </c>
      <c r="X23" s="2" t="s">
        <v>25</v>
      </c>
      <c r="Y23" s="2" t="s">
        <v>26</v>
      </c>
      <c r="Z23" s="5">
        <v>10</v>
      </c>
      <c r="AA23" s="5" t="s">
        <v>31</v>
      </c>
      <c r="AB23" s="5"/>
      <c r="AC23" s="5"/>
      <c r="AD23" s="5"/>
      <c r="AE23" s="5"/>
      <c r="AF23" s="168">
        <v>-16890.05</v>
      </c>
      <c r="AG23" s="164"/>
    </row>
    <row r="24" spans="2:33" s="75" customFormat="1" ht="12.75" customHeight="1">
      <c r="B24" s="129"/>
      <c r="C24" s="4">
        <v>45291</v>
      </c>
      <c r="D24" s="5" t="s">
        <v>40</v>
      </c>
      <c r="E24" s="5">
        <v>1103</v>
      </c>
      <c r="F24" s="5">
        <v>131</v>
      </c>
      <c r="G24" s="169" t="s">
        <v>105</v>
      </c>
      <c r="H24" s="160" t="s">
        <v>150</v>
      </c>
      <c r="I24" s="160"/>
      <c r="J24" s="169"/>
      <c r="K24" s="169"/>
      <c r="L24" s="169"/>
      <c r="M24" s="165"/>
      <c r="N24" s="165"/>
      <c r="O24" s="2" t="s">
        <v>118</v>
      </c>
      <c r="P24" s="2" t="s">
        <v>99</v>
      </c>
      <c r="Q24" s="2" t="s">
        <v>100</v>
      </c>
      <c r="R24" s="166">
        <v>45797</v>
      </c>
      <c r="S24" s="7">
        <v>41496</v>
      </c>
      <c r="T24" s="166">
        <v>45797</v>
      </c>
      <c r="U24" s="166"/>
      <c r="V24" s="166"/>
      <c r="W24" s="167">
        <v>79465400</v>
      </c>
      <c r="X24" s="2" t="s">
        <v>41</v>
      </c>
      <c r="Y24" s="2" t="s">
        <v>26</v>
      </c>
      <c r="Z24" s="179" t="s">
        <v>42</v>
      </c>
      <c r="AA24" s="5" t="s">
        <v>31</v>
      </c>
      <c r="AB24" s="5"/>
      <c r="AC24" s="5"/>
      <c r="AD24" s="5"/>
      <c r="AE24" s="5"/>
      <c r="AF24" s="168">
        <v>-41581.589999999997</v>
      </c>
      <c r="AG24" s="164"/>
    </row>
    <row r="25" spans="2:33" s="75" customFormat="1" ht="12.75" customHeight="1">
      <c r="B25" s="129"/>
      <c r="C25" s="4">
        <v>45291</v>
      </c>
      <c r="D25" s="5" t="s">
        <v>40</v>
      </c>
      <c r="E25" s="5">
        <v>1103</v>
      </c>
      <c r="F25" s="5">
        <v>132</v>
      </c>
      <c r="G25" s="169" t="s">
        <v>105</v>
      </c>
      <c r="H25" s="160" t="s">
        <v>150</v>
      </c>
      <c r="I25" s="160"/>
      <c r="J25" s="169"/>
      <c r="K25" s="169"/>
      <c r="L25" s="169"/>
      <c r="M25" s="165"/>
      <c r="N25" s="165"/>
      <c r="O25" s="2" t="s">
        <v>119</v>
      </c>
      <c r="P25" s="2" t="s">
        <v>99</v>
      </c>
      <c r="Q25" s="2" t="s">
        <v>120</v>
      </c>
      <c r="R25" s="166">
        <v>46120</v>
      </c>
      <c r="S25" s="7">
        <v>41496</v>
      </c>
      <c r="T25" s="166">
        <v>46120</v>
      </c>
      <c r="U25" s="166"/>
      <c r="V25" s="166"/>
      <c r="W25" s="167">
        <v>215325600</v>
      </c>
      <c r="X25" s="2" t="s">
        <v>41</v>
      </c>
      <c r="Y25" s="2" t="s">
        <v>26</v>
      </c>
      <c r="Z25" s="179" t="s">
        <v>42</v>
      </c>
      <c r="AA25" s="5" t="s">
        <v>31</v>
      </c>
      <c r="AB25" s="5"/>
      <c r="AC25" s="5"/>
      <c r="AD25" s="5"/>
      <c r="AE25" s="5"/>
      <c r="AF25" s="168">
        <v>-112173.33</v>
      </c>
      <c r="AG25" s="164"/>
    </row>
    <row r="26" spans="2:33" s="75" customFormat="1" ht="12.75" customHeight="1">
      <c r="B26" s="129"/>
      <c r="C26" s="4">
        <v>45291</v>
      </c>
      <c r="D26" s="5" t="s">
        <v>22</v>
      </c>
      <c r="E26" s="5">
        <v>1101</v>
      </c>
      <c r="F26" s="5">
        <v>101</v>
      </c>
      <c r="G26" s="169" t="s">
        <v>23</v>
      </c>
      <c r="H26" s="169" t="s">
        <v>151</v>
      </c>
      <c r="I26" s="169"/>
      <c r="J26" s="169"/>
      <c r="K26" s="169"/>
      <c r="L26" s="169" t="s">
        <v>24</v>
      </c>
      <c r="M26" s="165"/>
      <c r="N26" s="165"/>
      <c r="O26" s="2"/>
      <c r="P26" s="2"/>
      <c r="Q26" s="2"/>
      <c r="R26" s="166">
        <v>46714</v>
      </c>
      <c r="S26" s="7">
        <v>41554</v>
      </c>
      <c r="T26" s="166">
        <v>46714</v>
      </c>
      <c r="U26" s="166"/>
      <c r="V26" s="166"/>
      <c r="W26" s="167">
        <v>100000000</v>
      </c>
      <c r="X26" s="2" t="s">
        <v>25</v>
      </c>
      <c r="Y26" s="2" t="s">
        <v>26</v>
      </c>
      <c r="Z26" s="179">
        <v>5</v>
      </c>
      <c r="AA26" s="5" t="s">
        <v>27</v>
      </c>
      <c r="AB26" s="166">
        <v>46714</v>
      </c>
      <c r="AC26" s="5" t="s">
        <v>28</v>
      </c>
      <c r="AD26" s="5">
        <v>105</v>
      </c>
      <c r="AE26" s="5">
        <v>120</v>
      </c>
      <c r="AF26" s="168">
        <v>413836.21</v>
      </c>
      <c r="AG26" s="164"/>
    </row>
    <row r="27" spans="2:33" s="75" customFormat="1" ht="12.75" customHeight="1">
      <c r="B27" s="129"/>
      <c r="C27" s="4">
        <v>45291</v>
      </c>
      <c r="D27" s="5" t="s">
        <v>22</v>
      </c>
      <c r="E27" s="5">
        <v>1101</v>
      </c>
      <c r="F27" s="5">
        <v>102</v>
      </c>
      <c r="G27" s="169" t="s">
        <v>23</v>
      </c>
      <c r="H27" s="169" t="s">
        <v>151</v>
      </c>
      <c r="I27" s="169"/>
      <c r="J27" s="169"/>
      <c r="K27" s="169"/>
      <c r="L27" s="169" t="s">
        <v>24</v>
      </c>
      <c r="M27" s="165"/>
      <c r="N27" s="165"/>
      <c r="O27" s="2"/>
      <c r="P27" s="2"/>
      <c r="Q27" s="2"/>
      <c r="R27" s="166">
        <v>46334</v>
      </c>
      <c r="S27" s="7">
        <v>41554</v>
      </c>
      <c r="T27" s="166">
        <v>46334</v>
      </c>
      <c r="U27" s="166"/>
      <c r="V27" s="166"/>
      <c r="W27" s="167">
        <v>20000000</v>
      </c>
      <c r="X27" s="2" t="s">
        <v>25</v>
      </c>
      <c r="Y27" s="2" t="s">
        <v>26</v>
      </c>
      <c r="Z27" s="179">
        <v>5</v>
      </c>
      <c r="AA27" s="5" t="s">
        <v>27</v>
      </c>
      <c r="AB27" s="166">
        <v>46334</v>
      </c>
      <c r="AC27" s="5" t="s">
        <v>29</v>
      </c>
      <c r="AD27" s="5">
        <v>125</v>
      </c>
      <c r="AE27" s="5">
        <v>115</v>
      </c>
      <c r="AF27" s="168">
        <v>89840.51</v>
      </c>
      <c r="AG27" s="164"/>
    </row>
    <row r="28" spans="2:33">
      <c r="B28" s="129"/>
      <c r="C28" s="4">
        <v>45291</v>
      </c>
      <c r="D28" s="5" t="s">
        <v>22</v>
      </c>
      <c r="E28" s="5">
        <v>1101</v>
      </c>
      <c r="F28" s="5">
        <v>103</v>
      </c>
      <c r="G28" s="169" t="s">
        <v>23</v>
      </c>
      <c r="H28" s="169" t="s">
        <v>151</v>
      </c>
      <c r="I28" s="169"/>
      <c r="J28" s="169"/>
      <c r="K28" s="169"/>
      <c r="L28" s="169" t="s">
        <v>30</v>
      </c>
      <c r="M28" s="165"/>
      <c r="N28" s="165"/>
      <c r="O28" s="2"/>
      <c r="P28" s="2"/>
      <c r="Q28" s="2"/>
      <c r="R28" s="166">
        <v>46334</v>
      </c>
      <c r="S28" s="7">
        <v>41554</v>
      </c>
      <c r="T28" s="166">
        <v>46334</v>
      </c>
      <c r="U28" s="166"/>
      <c r="V28" s="166"/>
      <c r="W28" s="167">
        <v>31865739.02</v>
      </c>
      <c r="X28" s="2" t="s">
        <v>25</v>
      </c>
      <c r="Y28" s="2" t="s">
        <v>26</v>
      </c>
      <c r="Z28" s="179">
        <v>5</v>
      </c>
      <c r="AA28" s="5" t="s">
        <v>31</v>
      </c>
      <c r="AB28" s="166">
        <v>46334</v>
      </c>
      <c r="AC28" s="5" t="s">
        <v>29</v>
      </c>
      <c r="AD28" s="5">
        <v>123</v>
      </c>
      <c r="AE28" s="5">
        <v>145</v>
      </c>
      <c r="AF28" s="168">
        <v>7406680.8300000001</v>
      </c>
      <c r="AG28" s="164"/>
    </row>
    <row r="29" spans="2:33">
      <c r="B29" s="129"/>
      <c r="C29" s="4">
        <v>45291</v>
      </c>
      <c r="D29" s="5" t="s">
        <v>22</v>
      </c>
      <c r="E29" s="5">
        <v>1101</v>
      </c>
      <c r="F29" s="5">
        <v>104</v>
      </c>
      <c r="G29" s="169" t="s">
        <v>23</v>
      </c>
      <c r="H29" s="169" t="s">
        <v>151</v>
      </c>
      <c r="I29" s="169"/>
      <c r="J29" s="169"/>
      <c r="K29" s="169"/>
      <c r="L29" s="169" t="s">
        <v>30</v>
      </c>
      <c r="M29" s="165"/>
      <c r="N29" s="165"/>
      <c r="O29" s="2"/>
      <c r="P29" s="2"/>
      <c r="Q29" s="2"/>
      <c r="R29" s="166">
        <v>45564</v>
      </c>
      <c r="S29" s="7">
        <v>41588</v>
      </c>
      <c r="T29" s="166">
        <v>45564</v>
      </c>
      <c r="U29" s="166"/>
      <c r="V29" s="166"/>
      <c r="W29" s="167">
        <v>31865739.02</v>
      </c>
      <c r="X29" s="2" t="s">
        <v>25</v>
      </c>
      <c r="Y29" s="2" t="s">
        <v>26</v>
      </c>
      <c r="Z29" s="179">
        <v>5</v>
      </c>
      <c r="AA29" s="5" t="s">
        <v>31</v>
      </c>
      <c r="AB29" s="166">
        <v>45564</v>
      </c>
      <c r="AC29" s="5" t="s">
        <v>28</v>
      </c>
      <c r="AD29" s="5">
        <v>132</v>
      </c>
      <c r="AE29" s="5">
        <v>150</v>
      </c>
      <c r="AF29" s="168">
        <v>-40774.639999999999</v>
      </c>
      <c r="AG29" s="164"/>
    </row>
    <row r="30" spans="2:33">
      <c r="B30" s="129"/>
      <c r="C30" s="4">
        <v>45291</v>
      </c>
      <c r="D30" s="5" t="s">
        <v>22</v>
      </c>
      <c r="E30" s="5">
        <v>1101</v>
      </c>
      <c r="F30" s="5">
        <v>105</v>
      </c>
      <c r="G30" s="169" t="s">
        <v>23</v>
      </c>
      <c r="H30" s="169" t="s">
        <v>151</v>
      </c>
      <c r="I30" s="169"/>
      <c r="J30" s="169"/>
      <c r="K30" s="169"/>
      <c r="L30" s="169" t="s">
        <v>30</v>
      </c>
      <c r="M30" s="165"/>
      <c r="N30" s="165"/>
      <c r="O30" s="2"/>
      <c r="P30" s="2"/>
      <c r="Q30" s="2"/>
      <c r="R30" s="166">
        <v>45564</v>
      </c>
      <c r="S30" s="7">
        <v>41593</v>
      </c>
      <c r="T30" s="166">
        <v>45564</v>
      </c>
      <c r="U30" s="166"/>
      <c r="V30" s="166"/>
      <c r="W30" s="167">
        <v>10621913.01</v>
      </c>
      <c r="X30" s="2" t="s">
        <v>25</v>
      </c>
      <c r="Y30" s="2" t="s">
        <v>26</v>
      </c>
      <c r="Z30" s="179">
        <v>5</v>
      </c>
      <c r="AA30" s="5" t="s">
        <v>27</v>
      </c>
      <c r="AB30" s="166">
        <v>45564</v>
      </c>
      <c r="AC30" s="5" t="s">
        <v>29</v>
      </c>
      <c r="AD30" s="5">
        <v>127</v>
      </c>
      <c r="AE30" s="5">
        <v>120</v>
      </c>
      <c r="AF30" s="168">
        <v>1671083.41</v>
      </c>
      <c r="AG30" s="164"/>
    </row>
    <row r="31" spans="2:33">
      <c r="B31" s="129"/>
      <c r="C31" s="4">
        <v>45291</v>
      </c>
      <c r="D31" s="5" t="s">
        <v>22</v>
      </c>
      <c r="E31" s="5">
        <v>1101</v>
      </c>
      <c r="F31" s="5">
        <v>106</v>
      </c>
      <c r="G31" s="169" t="s">
        <v>32</v>
      </c>
      <c r="H31" s="169" t="s">
        <v>151</v>
      </c>
      <c r="I31" s="169"/>
      <c r="J31" s="169"/>
      <c r="K31" s="169"/>
      <c r="L31" s="169" t="s">
        <v>30</v>
      </c>
      <c r="M31" s="165"/>
      <c r="N31" s="165"/>
      <c r="O31" s="2"/>
      <c r="P31" s="2"/>
      <c r="Q31" s="2"/>
      <c r="R31" s="166">
        <v>45545</v>
      </c>
      <c r="S31" s="7">
        <v>41593</v>
      </c>
      <c r="T31" s="166">
        <v>45545</v>
      </c>
      <c r="U31" s="166"/>
      <c r="V31" s="166"/>
      <c r="W31" s="167">
        <v>52801098.259999998</v>
      </c>
      <c r="X31" s="2" t="s">
        <v>25</v>
      </c>
      <c r="Y31" s="2" t="s">
        <v>26</v>
      </c>
      <c r="Z31" s="179">
        <v>5</v>
      </c>
      <c r="AA31" s="5" t="s">
        <v>27</v>
      </c>
      <c r="AB31" s="166">
        <v>45545</v>
      </c>
      <c r="AC31" s="5" t="s">
        <v>28</v>
      </c>
      <c r="AD31" s="5">
        <v>135</v>
      </c>
      <c r="AE31" s="5">
        <v>154</v>
      </c>
      <c r="AF31" s="168">
        <v>-149917.47</v>
      </c>
      <c r="AG31" s="164"/>
    </row>
    <row r="32" spans="2:33">
      <c r="B32" s="129"/>
      <c r="C32" s="4">
        <v>45291</v>
      </c>
      <c r="D32" s="5" t="s">
        <v>22</v>
      </c>
      <c r="E32" s="5">
        <v>1101</v>
      </c>
      <c r="F32" s="5">
        <v>107</v>
      </c>
      <c r="G32" s="169" t="s">
        <v>33</v>
      </c>
      <c r="H32" s="169" t="s">
        <v>151</v>
      </c>
      <c r="I32" s="169"/>
      <c r="J32" s="169"/>
      <c r="K32" s="169"/>
      <c r="L32" s="169" t="s">
        <v>34</v>
      </c>
      <c r="M32" s="165" t="s">
        <v>35</v>
      </c>
      <c r="N32" s="165" t="s">
        <v>36</v>
      </c>
      <c r="O32" s="2"/>
      <c r="P32" s="2"/>
      <c r="Q32" s="2"/>
      <c r="R32" s="166">
        <v>46734</v>
      </c>
      <c r="S32" s="7">
        <v>41491</v>
      </c>
      <c r="T32" s="166">
        <v>46734</v>
      </c>
      <c r="U32" s="166"/>
      <c r="V32" s="166"/>
      <c r="W32" s="167">
        <v>58081208.090000004</v>
      </c>
      <c r="X32" s="2" t="s">
        <v>25</v>
      </c>
      <c r="Y32" s="2" t="s">
        <v>26</v>
      </c>
      <c r="Z32" s="179">
        <v>5</v>
      </c>
      <c r="AA32" s="5" t="s">
        <v>31</v>
      </c>
      <c r="AB32" s="5"/>
      <c r="AC32" s="5"/>
      <c r="AD32" s="5"/>
      <c r="AE32" s="5"/>
      <c r="AF32" s="168">
        <v>149515.81</v>
      </c>
      <c r="AG32" s="164"/>
    </row>
    <row r="33" spans="2:33">
      <c r="B33" s="129"/>
      <c r="C33" s="4">
        <v>45291</v>
      </c>
      <c r="D33" s="5" t="s">
        <v>22</v>
      </c>
      <c r="E33" s="5">
        <v>1101</v>
      </c>
      <c r="F33" s="5">
        <v>108</v>
      </c>
      <c r="G33" s="169" t="s">
        <v>33</v>
      </c>
      <c r="H33" s="169" t="s">
        <v>151</v>
      </c>
      <c r="I33" s="169"/>
      <c r="J33" s="169"/>
      <c r="K33" s="169"/>
      <c r="L33" s="169" t="s">
        <v>34</v>
      </c>
      <c r="M33" s="165" t="s">
        <v>35</v>
      </c>
      <c r="N33" s="165" t="s">
        <v>37</v>
      </c>
      <c r="O33" s="2"/>
      <c r="P33" s="2"/>
      <c r="Q33" s="2"/>
      <c r="R33" s="166">
        <v>45656</v>
      </c>
      <c r="S33" s="7">
        <v>41491</v>
      </c>
      <c r="T33" s="166">
        <v>45656</v>
      </c>
      <c r="U33" s="166"/>
      <c r="V33" s="166"/>
      <c r="W33" s="167">
        <v>19225500</v>
      </c>
      <c r="X33" s="2" t="s">
        <v>25</v>
      </c>
      <c r="Y33" s="2" t="s">
        <v>26</v>
      </c>
      <c r="Z33" s="179">
        <v>5</v>
      </c>
      <c r="AA33" s="5" t="s">
        <v>27</v>
      </c>
      <c r="AB33" s="5"/>
      <c r="AC33" s="5"/>
      <c r="AD33" s="5"/>
      <c r="AE33" s="5"/>
      <c r="AF33" s="168">
        <v>23975.65</v>
      </c>
      <c r="AG33" s="164"/>
    </row>
    <row r="34" spans="2:33">
      <c r="B34" s="129"/>
      <c r="C34" s="4">
        <v>45291</v>
      </c>
      <c r="D34" s="5" t="s">
        <v>38</v>
      </c>
      <c r="E34" s="5">
        <v>1102</v>
      </c>
      <c r="F34" s="5">
        <v>109</v>
      </c>
      <c r="G34" s="169" t="s">
        <v>33</v>
      </c>
      <c r="H34" s="169" t="s">
        <v>151</v>
      </c>
      <c r="I34" s="169"/>
      <c r="J34" s="169"/>
      <c r="K34" s="169"/>
      <c r="L34" s="169" t="s">
        <v>24</v>
      </c>
      <c r="M34" s="165"/>
      <c r="N34" s="165"/>
      <c r="O34" s="2"/>
      <c r="P34" s="2"/>
      <c r="Q34" s="2"/>
      <c r="R34" s="166">
        <v>45656</v>
      </c>
      <c r="S34" s="7">
        <v>41554</v>
      </c>
      <c r="T34" s="166">
        <v>45656</v>
      </c>
      <c r="U34" s="166"/>
      <c r="V34" s="166"/>
      <c r="W34" s="167">
        <v>47422900</v>
      </c>
      <c r="X34" s="2" t="s">
        <v>25</v>
      </c>
      <c r="Y34" s="2" t="s">
        <v>26</v>
      </c>
      <c r="Z34" s="179">
        <v>5</v>
      </c>
      <c r="AA34" s="5" t="s">
        <v>27</v>
      </c>
      <c r="AB34" s="5"/>
      <c r="AC34" s="5"/>
      <c r="AD34" s="5"/>
      <c r="AE34" s="5"/>
      <c r="AF34" s="168">
        <v>1949.32</v>
      </c>
      <c r="AG34" s="164"/>
    </row>
    <row r="35" spans="2:33">
      <c r="B35" s="129"/>
      <c r="C35" s="4">
        <v>45291</v>
      </c>
      <c r="D35" s="5" t="s">
        <v>38</v>
      </c>
      <c r="E35" s="5">
        <v>1102</v>
      </c>
      <c r="F35" s="5">
        <v>110</v>
      </c>
      <c r="G35" s="169" t="s">
        <v>33</v>
      </c>
      <c r="H35" s="169" t="s">
        <v>151</v>
      </c>
      <c r="I35" s="169"/>
      <c r="J35" s="169"/>
      <c r="K35" s="169"/>
      <c r="L35" s="169" t="s">
        <v>24</v>
      </c>
      <c r="M35" s="165"/>
      <c r="N35" s="165"/>
      <c r="O35" s="2"/>
      <c r="P35" s="2"/>
      <c r="Q35" s="2"/>
      <c r="R35" s="166">
        <v>45679</v>
      </c>
      <c r="S35" s="7">
        <v>41640</v>
      </c>
      <c r="T35" s="166">
        <v>45679</v>
      </c>
      <c r="U35" s="166"/>
      <c r="V35" s="166"/>
      <c r="W35" s="167">
        <v>41014400</v>
      </c>
      <c r="X35" s="2" t="s">
        <v>25</v>
      </c>
      <c r="Y35" s="2" t="s">
        <v>26</v>
      </c>
      <c r="Z35" s="179">
        <v>5</v>
      </c>
      <c r="AA35" s="5" t="s">
        <v>31</v>
      </c>
      <c r="AB35" s="5"/>
      <c r="AC35" s="5"/>
      <c r="AD35" s="5"/>
      <c r="AE35" s="5"/>
      <c r="AF35" s="168">
        <v>-16568.28</v>
      </c>
      <c r="AG35" s="164"/>
    </row>
    <row r="36" spans="2:33">
      <c r="B36" s="129"/>
      <c r="C36" s="4">
        <v>45291</v>
      </c>
      <c r="D36" s="5" t="s">
        <v>38</v>
      </c>
      <c r="E36" s="5">
        <v>1102</v>
      </c>
      <c r="F36" s="5">
        <v>111</v>
      </c>
      <c r="G36" s="169" t="s">
        <v>33</v>
      </c>
      <c r="H36" s="169" t="s">
        <v>151</v>
      </c>
      <c r="I36" s="169"/>
      <c r="J36" s="169"/>
      <c r="K36" s="169"/>
      <c r="L36" s="169" t="s">
        <v>24</v>
      </c>
      <c r="M36" s="165"/>
      <c r="N36" s="165"/>
      <c r="O36" s="2"/>
      <c r="P36" s="2"/>
      <c r="Q36" s="2"/>
      <c r="R36" s="166">
        <v>47064</v>
      </c>
      <c r="S36" s="7">
        <v>41640</v>
      </c>
      <c r="T36" s="166">
        <v>47064</v>
      </c>
      <c r="U36" s="166"/>
      <c r="V36" s="166"/>
      <c r="W36" s="167">
        <v>128170000</v>
      </c>
      <c r="X36" s="2" t="s">
        <v>25</v>
      </c>
      <c r="Y36" s="2" t="s">
        <v>26</v>
      </c>
      <c r="Z36" s="179">
        <v>10</v>
      </c>
      <c r="AA36" s="5" t="s">
        <v>27</v>
      </c>
      <c r="AB36" s="5"/>
      <c r="AC36" s="5"/>
      <c r="AD36" s="5"/>
      <c r="AE36" s="5"/>
      <c r="AF36" s="168">
        <v>58017.1</v>
      </c>
      <c r="AG36" s="164"/>
    </row>
    <row r="37" spans="2:33">
      <c r="B37" s="129"/>
      <c r="C37" s="4">
        <v>45291</v>
      </c>
      <c r="D37" s="5" t="s">
        <v>38</v>
      </c>
      <c r="E37" s="5">
        <v>1102</v>
      </c>
      <c r="F37" s="5">
        <v>112</v>
      </c>
      <c r="G37" s="169" t="s">
        <v>33</v>
      </c>
      <c r="H37" s="169" t="s">
        <v>151</v>
      </c>
      <c r="I37" s="169"/>
      <c r="J37" s="169"/>
      <c r="K37" s="169"/>
      <c r="L37" s="169" t="s">
        <v>24</v>
      </c>
      <c r="M37" s="165"/>
      <c r="N37" s="165"/>
      <c r="O37" s="2"/>
      <c r="P37" s="2"/>
      <c r="Q37" s="2"/>
      <c r="R37" s="166">
        <v>47263</v>
      </c>
      <c r="S37" s="7">
        <v>41640</v>
      </c>
      <c r="T37" s="166">
        <v>47263</v>
      </c>
      <c r="U37" s="166"/>
      <c r="V37" s="166"/>
      <c r="W37" s="167">
        <v>21788900</v>
      </c>
      <c r="X37" s="2" t="s">
        <v>25</v>
      </c>
      <c r="Y37" s="2" t="s">
        <v>26</v>
      </c>
      <c r="Z37" s="179">
        <v>10</v>
      </c>
      <c r="AA37" s="5" t="s">
        <v>31</v>
      </c>
      <c r="AB37" s="5"/>
      <c r="AC37" s="5"/>
      <c r="AD37" s="5"/>
      <c r="AE37" s="5"/>
      <c r="AF37" s="168">
        <v>11605.1</v>
      </c>
      <c r="AG37" s="164"/>
    </row>
    <row r="38" spans="2:33">
      <c r="B38" s="129"/>
      <c r="C38" s="4">
        <v>45291</v>
      </c>
      <c r="D38" s="5" t="s">
        <v>38</v>
      </c>
      <c r="E38" s="5">
        <v>1102</v>
      </c>
      <c r="F38" s="5">
        <v>113</v>
      </c>
      <c r="G38" s="169" t="s">
        <v>39</v>
      </c>
      <c r="H38" s="169" t="s">
        <v>151</v>
      </c>
      <c r="I38" s="169"/>
      <c r="J38" s="169"/>
      <c r="K38" s="169"/>
      <c r="L38" s="169" t="s">
        <v>34</v>
      </c>
      <c r="M38" s="165"/>
      <c r="N38" s="165"/>
      <c r="O38" s="2"/>
      <c r="P38" s="2"/>
      <c r="Q38" s="2"/>
      <c r="R38" s="166">
        <v>47260</v>
      </c>
      <c r="S38" s="7">
        <v>41496</v>
      </c>
      <c r="T38" s="166">
        <v>47260</v>
      </c>
      <c r="U38" s="166"/>
      <c r="V38" s="166"/>
      <c r="W38" s="167">
        <v>233269400</v>
      </c>
      <c r="X38" s="2" t="s">
        <v>25</v>
      </c>
      <c r="Y38" s="2" t="s">
        <v>26</v>
      </c>
      <c r="Z38" s="179">
        <v>10</v>
      </c>
      <c r="AA38" s="5" t="s">
        <v>27</v>
      </c>
      <c r="AB38" s="5"/>
      <c r="AC38" s="5"/>
      <c r="AD38" s="5"/>
      <c r="AE38" s="5"/>
      <c r="AF38" s="168">
        <v>41757.839999999997</v>
      </c>
      <c r="AG38" s="164"/>
    </row>
    <row r="39" spans="2:33">
      <c r="B39" s="129"/>
      <c r="C39" s="4">
        <v>45291</v>
      </c>
      <c r="D39" s="5" t="s">
        <v>38</v>
      </c>
      <c r="E39" s="5">
        <v>1102</v>
      </c>
      <c r="F39" s="5">
        <v>114</v>
      </c>
      <c r="G39" s="169" t="s">
        <v>39</v>
      </c>
      <c r="H39" s="169" t="s">
        <v>151</v>
      </c>
      <c r="I39" s="169"/>
      <c r="J39" s="169"/>
      <c r="K39" s="169"/>
      <c r="L39" s="169" t="s">
        <v>34</v>
      </c>
      <c r="M39" s="165"/>
      <c r="N39" s="165"/>
      <c r="O39" s="2"/>
      <c r="P39" s="2"/>
      <c r="Q39" s="2"/>
      <c r="R39" s="166">
        <v>46191</v>
      </c>
      <c r="S39" s="7">
        <v>41496</v>
      </c>
      <c r="T39" s="166">
        <v>46191</v>
      </c>
      <c r="U39" s="166"/>
      <c r="V39" s="166"/>
      <c r="W39" s="167">
        <v>32042500</v>
      </c>
      <c r="X39" s="2" t="s">
        <v>25</v>
      </c>
      <c r="Y39" s="2" t="s">
        <v>26</v>
      </c>
      <c r="Z39" s="179">
        <v>10</v>
      </c>
      <c r="AA39" s="5" t="s">
        <v>31</v>
      </c>
      <c r="AB39" s="5"/>
      <c r="AC39" s="5"/>
      <c r="AD39" s="5"/>
      <c r="AE39" s="5"/>
      <c r="AF39" s="168">
        <v>-16095.05</v>
      </c>
      <c r="AG39" s="164"/>
    </row>
    <row r="40" spans="2:33">
      <c r="B40" s="129"/>
      <c r="C40" s="4">
        <v>45291</v>
      </c>
      <c r="D40" s="5" t="s">
        <v>40</v>
      </c>
      <c r="E40" s="5">
        <v>1103</v>
      </c>
      <c r="F40" s="5">
        <v>115</v>
      </c>
      <c r="G40" s="169" t="s">
        <v>39</v>
      </c>
      <c r="H40" s="169" t="s">
        <v>151</v>
      </c>
      <c r="I40" s="169"/>
      <c r="J40" s="169"/>
      <c r="K40" s="169"/>
      <c r="L40" s="169" t="s">
        <v>30</v>
      </c>
      <c r="M40" s="165"/>
      <c r="N40" s="165"/>
      <c r="O40" s="2"/>
      <c r="P40" s="2"/>
      <c r="Q40" s="2"/>
      <c r="R40" s="166">
        <v>45432</v>
      </c>
      <c r="S40" s="7">
        <v>41496</v>
      </c>
      <c r="T40" s="166">
        <v>45432</v>
      </c>
      <c r="U40" s="166"/>
      <c r="V40" s="166"/>
      <c r="W40" s="167">
        <v>79465400</v>
      </c>
      <c r="X40" s="2" t="s">
        <v>41</v>
      </c>
      <c r="Y40" s="2" t="s">
        <v>26</v>
      </c>
      <c r="Z40" s="179" t="s">
        <v>42</v>
      </c>
      <c r="AA40" s="5" t="s">
        <v>31</v>
      </c>
      <c r="AB40" s="5"/>
      <c r="AC40" s="5"/>
      <c r="AD40" s="5"/>
      <c r="AE40" s="5"/>
      <c r="AF40" s="168">
        <v>-40581.589999999997</v>
      </c>
      <c r="AG40" s="164"/>
    </row>
    <row r="41" spans="2:33">
      <c r="B41" s="129"/>
      <c r="C41" s="4">
        <v>45291</v>
      </c>
      <c r="D41" s="5" t="s">
        <v>40</v>
      </c>
      <c r="E41" s="5">
        <v>1103</v>
      </c>
      <c r="F41" s="5">
        <v>116</v>
      </c>
      <c r="G41" s="169" t="s">
        <v>39</v>
      </c>
      <c r="H41" s="169" t="s">
        <v>151</v>
      </c>
      <c r="I41" s="169"/>
      <c r="J41" s="169"/>
      <c r="K41" s="169"/>
      <c r="L41" s="169" t="s">
        <v>30</v>
      </c>
      <c r="M41" s="165"/>
      <c r="N41" s="165"/>
      <c r="O41" s="2"/>
      <c r="P41" s="2"/>
      <c r="Q41" s="2"/>
      <c r="R41" s="166">
        <v>46061</v>
      </c>
      <c r="S41" s="7">
        <v>41496</v>
      </c>
      <c r="T41" s="166">
        <v>46061</v>
      </c>
      <c r="U41" s="166"/>
      <c r="V41" s="166"/>
      <c r="W41" s="167">
        <v>215325600</v>
      </c>
      <c r="X41" s="2" t="s">
        <v>41</v>
      </c>
      <c r="Y41" s="2" t="s">
        <v>26</v>
      </c>
      <c r="Z41" s="179" t="s">
        <v>42</v>
      </c>
      <c r="AA41" s="5" t="s">
        <v>31</v>
      </c>
      <c r="AB41" s="5"/>
      <c r="AC41" s="5"/>
      <c r="AD41" s="5"/>
      <c r="AE41" s="5"/>
      <c r="AF41" s="168">
        <v>-110173.33</v>
      </c>
      <c r="AG41" s="164"/>
    </row>
    <row r="42" spans="2:33">
      <c r="B42" s="129"/>
      <c r="C42" s="4">
        <v>45291</v>
      </c>
      <c r="D42" s="5" t="s">
        <v>22</v>
      </c>
      <c r="E42" s="5">
        <v>1101</v>
      </c>
      <c r="F42" s="5">
        <v>165</v>
      </c>
      <c r="G42" s="169" t="s">
        <v>85</v>
      </c>
      <c r="H42" s="169" t="s">
        <v>152</v>
      </c>
      <c r="I42" s="169"/>
      <c r="J42" s="169" t="s">
        <v>34</v>
      </c>
      <c r="K42" s="169" t="s">
        <v>86</v>
      </c>
      <c r="L42" s="169"/>
      <c r="M42" s="165"/>
      <c r="N42" s="165"/>
      <c r="O42" s="2"/>
      <c r="P42" s="2"/>
      <c r="Q42" s="2"/>
      <c r="R42" s="166">
        <v>46714</v>
      </c>
      <c r="S42" s="7">
        <v>41554</v>
      </c>
      <c r="T42" s="166">
        <v>46714</v>
      </c>
      <c r="U42" s="167">
        <v>700000000</v>
      </c>
      <c r="V42" s="167">
        <v>995000000</v>
      </c>
      <c r="W42" s="167"/>
      <c r="X42" s="2" t="s">
        <v>25</v>
      </c>
      <c r="Y42" s="2" t="s">
        <v>26</v>
      </c>
      <c r="Z42" s="179">
        <v>5</v>
      </c>
      <c r="AA42" s="5" t="s">
        <v>27</v>
      </c>
      <c r="AB42" s="166">
        <v>46714</v>
      </c>
      <c r="AC42" s="5" t="s">
        <v>28</v>
      </c>
      <c r="AD42" s="5">
        <v>145</v>
      </c>
      <c r="AE42" s="5">
        <v>120</v>
      </c>
      <c r="AF42" s="168">
        <v>417836.21</v>
      </c>
      <c r="AG42" s="164"/>
    </row>
    <row r="43" spans="2:33">
      <c r="B43" s="129"/>
      <c r="C43" s="4">
        <v>45291</v>
      </c>
      <c r="D43" s="5" t="s">
        <v>22</v>
      </c>
      <c r="E43" s="5">
        <v>1101</v>
      </c>
      <c r="F43" s="5">
        <v>166</v>
      </c>
      <c r="G43" s="169" t="s">
        <v>85</v>
      </c>
      <c r="H43" s="169" t="s">
        <v>152</v>
      </c>
      <c r="I43" s="169"/>
      <c r="J43" s="169" t="s">
        <v>34</v>
      </c>
      <c r="K43" s="169" t="s">
        <v>86</v>
      </c>
      <c r="L43" s="169"/>
      <c r="M43" s="165"/>
      <c r="N43" s="165"/>
      <c r="O43" s="2"/>
      <c r="P43" s="2"/>
      <c r="Q43" s="2"/>
      <c r="R43" s="166">
        <v>46334</v>
      </c>
      <c r="S43" s="7">
        <v>41554</v>
      </c>
      <c r="T43" s="166">
        <v>46334</v>
      </c>
      <c r="U43" s="167">
        <v>22000000</v>
      </c>
      <c r="V43" s="167">
        <v>18000000</v>
      </c>
      <c r="W43" s="167"/>
      <c r="X43" s="2" t="s">
        <v>25</v>
      </c>
      <c r="Y43" s="2" t="s">
        <v>26</v>
      </c>
      <c r="Z43" s="179">
        <v>5</v>
      </c>
      <c r="AA43" s="5" t="s">
        <v>27</v>
      </c>
      <c r="AB43" s="166">
        <v>46334</v>
      </c>
      <c r="AC43" s="5" t="s">
        <v>29</v>
      </c>
      <c r="AD43" s="5">
        <v>108</v>
      </c>
      <c r="AE43" s="5">
        <v>115</v>
      </c>
      <c r="AF43" s="168">
        <v>99840.51</v>
      </c>
      <c r="AG43" s="164"/>
    </row>
    <row r="44" spans="2:33">
      <c r="B44" s="129"/>
      <c r="C44" s="4">
        <v>45291</v>
      </c>
      <c r="D44" s="5" t="s">
        <v>22</v>
      </c>
      <c r="E44" s="5">
        <v>1101</v>
      </c>
      <c r="F44" s="5">
        <v>167</v>
      </c>
      <c r="G44" s="169" t="s">
        <v>85</v>
      </c>
      <c r="H44" s="169" t="s">
        <v>152</v>
      </c>
      <c r="I44" s="169"/>
      <c r="J44" s="169" t="s">
        <v>24</v>
      </c>
      <c r="K44" s="169" t="s">
        <v>34</v>
      </c>
      <c r="L44" s="169"/>
      <c r="M44" s="165"/>
      <c r="N44" s="165"/>
      <c r="O44" s="2"/>
      <c r="P44" s="2"/>
      <c r="Q44" s="2"/>
      <c r="R44" s="166">
        <v>46334</v>
      </c>
      <c r="S44" s="7">
        <v>41554</v>
      </c>
      <c r="T44" s="166">
        <v>46334</v>
      </c>
      <c r="U44" s="167">
        <v>30000000</v>
      </c>
      <c r="V44" s="167">
        <v>32865739.02</v>
      </c>
      <c r="W44" s="167"/>
      <c r="X44" s="2" t="s">
        <v>25</v>
      </c>
      <c r="Y44" s="2" t="s">
        <v>26</v>
      </c>
      <c r="Z44" s="179">
        <v>5</v>
      </c>
      <c r="AA44" s="5" t="s">
        <v>31</v>
      </c>
      <c r="AB44" s="166">
        <v>46334</v>
      </c>
      <c r="AC44" s="5" t="s">
        <v>29</v>
      </c>
      <c r="AD44" s="5">
        <v>130</v>
      </c>
      <c r="AE44" s="5">
        <v>135</v>
      </c>
      <c r="AF44" s="168">
        <v>-7406680.8300000001</v>
      </c>
      <c r="AG44" s="164"/>
    </row>
    <row r="45" spans="2:33">
      <c r="B45" s="129"/>
      <c r="C45" s="4">
        <v>45291</v>
      </c>
      <c r="D45" s="5" t="s">
        <v>22</v>
      </c>
      <c r="E45" s="5">
        <v>1101</v>
      </c>
      <c r="F45" s="5">
        <v>168</v>
      </c>
      <c r="G45" s="169" t="s">
        <v>85</v>
      </c>
      <c r="H45" s="169" t="s">
        <v>152</v>
      </c>
      <c r="I45" s="169"/>
      <c r="J45" s="169" t="s">
        <v>24</v>
      </c>
      <c r="K45" s="169" t="s">
        <v>34</v>
      </c>
      <c r="L45" s="169"/>
      <c r="M45" s="165"/>
      <c r="N45" s="165"/>
      <c r="O45" s="2"/>
      <c r="P45" s="2"/>
      <c r="Q45" s="2"/>
      <c r="R45" s="166">
        <v>45564</v>
      </c>
      <c r="S45" s="7">
        <v>41588</v>
      </c>
      <c r="T45" s="166">
        <v>45564</v>
      </c>
      <c r="U45" s="167">
        <v>23000000</v>
      </c>
      <c r="V45" s="167">
        <v>34865739.020000003</v>
      </c>
      <c r="W45" s="167"/>
      <c r="X45" s="2" t="s">
        <v>25</v>
      </c>
      <c r="Y45" s="2" t="s">
        <v>26</v>
      </c>
      <c r="Z45" s="179">
        <v>5</v>
      </c>
      <c r="AA45" s="5" t="s">
        <v>31</v>
      </c>
      <c r="AB45" s="166">
        <v>45564</v>
      </c>
      <c r="AC45" s="5" t="s">
        <v>28</v>
      </c>
      <c r="AD45" s="5">
        <v>131</v>
      </c>
      <c r="AE45" s="5">
        <v>145</v>
      </c>
      <c r="AF45" s="168">
        <v>-40774.639999999999</v>
      </c>
      <c r="AG45" s="164"/>
    </row>
    <row r="46" spans="2:33">
      <c r="B46" s="129"/>
      <c r="C46" s="4">
        <v>45291</v>
      </c>
      <c r="D46" s="5" t="s">
        <v>22</v>
      </c>
      <c r="E46" s="5">
        <v>1101</v>
      </c>
      <c r="F46" s="5">
        <v>169</v>
      </c>
      <c r="G46" s="169" t="s">
        <v>85</v>
      </c>
      <c r="H46" s="169" t="s">
        <v>152</v>
      </c>
      <c r="I46" s="169"/>
      <c r="J46" s="169" t="s">
        <v>24</v>
      </c>
      <c r="K46" s="169" t="s">
        <v>87</v>
      </c>
      <c r="L46" s="169"/>
      <c r="M46" s="165"/>
      <c r="N46" s="165"/>
      <c r="O46" s="2"/>
      <c r="P46" s="2"/>
      <c r="Q46" s="2"/>
      <c r="R46" s="166">
        <v>45564</v>
      </c>
      <c r="S46" s="7">
        <v>41593</v>
      </c>
      <c r="T46" s="166">
        <v>45564</v>
      </c>
      <c r="U46" s="167">
        <v>12000000</v>
      </c>
      <c r="V46" s="167">
        <v>11621913.01</v>
      </c>
      <c r="W46" s="167"/>
      <c r="X46" s="2" t="s">
        <v>25</v>
      </c>
      <c r="Y46" s="2" t="s">
        <v>26</v>
      </c>
      <c r="Z46" s="179">
        <v>5</v>
      </c>
      <c r="AA46" s="5" t="s">
        <v>27</v>
      </c>
      <c r="AB46" s="166">
        <v>45564</v>
      </c>
      <c r="AC46" s="5" t="s">
        <v>29</v>
      </c>
      <c r="AD46" s="5">
        <v>128</v>
      </c>
      <c r="AE46" s="5">
        <v>119</v>
      </c>
      <c r="AF46" s="168">
        <v>1671083.41</v>
      </c>
      <c r="AG46" s="164"/>
    </row>
    <row r="47" spans="2:33">
      <c r="B47" s="129"/>
      <c r="C47" s="4">
        <v>45291</v>
      </c>
      <c r="D47" s="5" t="s">
        <v>22</v>
      </c>
      <c r="E47" s="5">
        <v>1101</v>
      </c>
      <c r="F47" s="5">
        <v>170</v>
      </c>
      <c r="G47" s="169" t="s">
        <v>85</v>
      </c>
      <c r="H47" s="169" t="s">
        <v>152</v>
      </c>
      <c r="I47" s="169"/>
      <c r="J47" s="169" t="s">
        <v>87</v>
      </c>
      <c r="K47" s="169" t="s">
        <v>24</v>
      </c>
      <c r="L47" s="169"/>
      <c r="M47" s="165"/>
      <c r="N47" s="165"/>
      <c r="O47" s="2"/>
      <c r="P47" s="2"/>
      <c r="Q47" s="2"/>
      <c r="R47" s="166">
        <v>45545</v>
      </c>
      <c r="S47" s="7">
        <v>41593</v>
      </c>
      <c r="T47" s="166">
        <v>45545</v>
      </c>
      <c r="U47" s="167">
        <v>51801098.259999998</v>
      </c>
      <c r="V47" s="167">
        <v>55000000</v>
      </c>
      <c r="W47" s="167"/>
      <c r="X47" s="2" t="s">
        <v>25</v>
      </c>
      <c r="Y47" s="2" t="s">
        <v>26</v>
      </c>
      <c r="Z47" s="179">
        <v>5</v>
      </c>
      <c r="AA47" s="5" t="s">
        <v>27</v>
      </c>
      <c r="AB47" s="166">
        <v>45545</v>
      </c>
      <c r="AC47" s="5" t="s">
        <v>28</v>
      </c>
      <c r="AD47" s="5">
        <v>145</v>
      </c>
      <c r="AE47" s="5">
        <v>155</v>
      </c>
      <c r="AF47" s="168">
        <v>-149917.47</v>
      </c>
      <c r="AG47" s="164"/>
    </row>
    <row r="48" spans="2:33">
      <c r="B48" s="129"/>
      <c r="C48" s="4">
        <v>45291</v>
      </c>
      <c r="D48" s="5" t="s">
        <v>22</v>
      </c>
      <c r="E48" s="5">
        <v>1101</v>
      </c>
      <c r="F48" s="5">
        <v>171</v>
      </c>
      <c r="G48" s="169" t="s">
        <v>88</v>
      </c>
      <c r="H48" s="169" t="s">
        <v>152</v>
      </c>
      <c r="I48" s="169"/>
      <c r="J48" s="169" t="s">
        <v>34</v>
      </c>
      <c r="K48" s="169" t="s">
        <v>89</v>
      </c>
      <c r="L48" s="169"/>
      <c r="M48" s="165"/>
      <c r="N48" s="165"/>
      <c r="O48" s="2"/>
      <c r="P48" s="2"/>
      <c r="Q48" s="2"/>
      <c r="R48" s="166">
        <v>46734</v>
      </c>
      <c r="S48" s="7">
        <v>41491</v>
      </c>
      <c r="T48" s="166">
        <v>46734</v>
      </c>
      <c r="U48" s="167">
        <v>25000000</v>
      </c>
      <c r="V48" s="167">
        <v>57081208.090000004</v>
      </c>
      <c r="W48" s="167"/>
      <c r="X48" s="2" t="s">
        <v>25</v>
      </c>
      <c r="Y48" s="2" t="s">
        <v>26</v>
      </c>
      <c r="Z48" s="179">
        <v>5</v>
      </c>
      <c r="AA48" s="5" t="s">
        <v>31</v>
      </c>
      <c r="AB48" s="5"/>
      <c r="AC48" s="5"/>
      <c r="AD48" s="5"/>
      <c r="AE48" s="5"/>
      <c r="AF48" s="168">
        <v>149515.81</v>
      </c>
      <c r="AG48" s="164"/>
    </row>
    <row r="49" spans="2:33">
      <c r="B49" s="129"/>
      <c r="C49" s="4">
        <v>45291</v>
      </c>
      <c r="D49" s="5" t="s">
        <v>22</v>
      </c>
      <c r="E49" s="5">
        <v>1101</v>
      </c>
      <c r="F49" s="5">
        <v>172</v>
      </c>
      <c r="G49" s="169" t="s">
        <v>90</v>
      </c>
      <c r="H49" s="169" t="s">
        <v>152</v>
      </c>
      <c r="I49" s="169"/>
      <c r="J49" s="169" t="s">
        <v>89</v>
      </c>
      <c r="K49" s="169" t="s">
        <v>34</v>
      </c>
      <c r="L49" s="169"/>
      <c r="M49" s="165"/>
      <c r="N49" s="165"/>
      <c r="O49" s="2"/>
      <c r="P49" s="2"/>
      <c r="Q49" s="2"/>
      <c r="R49" s="166">
        <v>45656</v>
      </c>
      <c r="S49" s="7">
        <v>41491</v>
      </c>
      <c r="T49" s="166">
        <v>45656</v>
      </c>
      <c r="U49" s="167">
        <v>16000000</v>
      </c>
      <c r="V49" s="167">
        <v>19227950</v>
      </c>
      <c r="W49" s="167"/>
      <c r="X49" s="2" t="s">
        <v>25</v>
      </c>
      <c r="Y49" s="2" t="s">
        <v>26</v>
      </c>
      <c r="Z49" s="179">
        <v>5</v>
      </c>
      <c r="AA49" s="5" t="s">
        <v>27</v>
      </c>
      <c r="AB49" s="5"/>
      <c r="AC49" s="5"/>
      <c r="AD49" s="5"/>
      <c r="AE49" s="5"/>
      <c r="AF49" s="168">
        <v>23975.65</v>
      </c>
      <c r="AG49" s="164"/>
    </row>
    <row r="50" spans="2:33">
      <c r="B50" s="129"/>
      <c r="C50" s="4">
        <v>45291</v>
      </c>
      <c r="D50" s="5" t="s">
        <v>22</v>
      </c>
      <c r="E50" s="5">
        <v>1101</v>
      </c>
      <c r="F50" s="5">
        <v>173</v>
      </c>
      <c r="G50" s="169" t="s">
        <v>88</v>
      </c>
      <c r="H50" s="169" t="s">
        <v>152</v>
      </c>
      <c r="I50" s="169"/>
      <c r="J50" s="169" t="s">
        <v>34</v>
      </c>
      <c r="K50" s="169" t="s">
        <v>89</v>
      </c>
      <c r="L50" s="169"/>
      <c r="M50" s="165"/>
      <c r="N50" s="165"/>
      <c r="O50" s="2"/>
      <c r="P50" s="2"/>
      <c r="Q50" s="2"/>
      <c r="R50" s="166">
        <v>45656</v>
      </c>
      <c r="S50" s="7">
        <v>41554</v>
      </c>
      <c r="T50" s="166">
        <v>45656</v>
      </c>
      <c r="U50" s="167">
        <v>32000000</v>
      </c>
      <c r="V50" s="167">
        <v>47433000</v>
      </c>
      <c r="W50" s="167"/>
      <c r="X50" s="2" t="s">
        <v>25</v>
      </c>
      <c r="Y50" s="2" t="s">
        <v>26</v>
      </c>
      <c r="Z50" s="179">
        <v>5</v>
      </c>
      <c r="AA50" s="5" t="s">
        <v>27</v>
      </c>
      <c r="AB50" s="5"/>
      <c r="AC50" s="5"/>
      <c r="AD50" s="5"/>
      <c r="AE50" s="5"/>
      <c r="AF50" s="168">
        <v>1949.32</v>
      </c>
      <c r="AG50" s="164"/>
    </row>
    <row r="51" spans="2:33">
      <c r="B51" s="129"/>
      <c r="C51" s="4">
        <v>45291</v>
      </c>
      <c r="D51" s="5" t="s">
        <v>38</v>
      </c>
      <c r="E51" s="5">
        <v>1102</v>
      </c>
      <c r="F51" s="5">
        <v>174</v>
      </c>
      <c r="G51" s="169" t="s">
        <v>90</v>
      </c>
      <c r="H51" s="169" t="s">
        <v>152</v>
      </c>
      <c r="I51" s="169"/>
      <c r="J51" s="169" t="s">
        <v>24</v>
      </c>
      <c r="K51" s="169" t="s">
        <v>30</v>
      </c>
      <c r="L51" s="169"/>
      <c r="M51" s="165"/>
      <c r="N51" s="165"/>
      <c r="O51" s="2"/>
      <c r="P51" s="2"/>
      <c r="Q51" s="2"/>
      <c r="R51" s="166">
        <v>45679</v>
      </c>
      <c r="S51" s="7">
        <v>41640</v>
      </c>
      <c r="T51" s="166">
        <v>45679</v>
      </c>
      <c r="U51" s="167">
        <v>27000000</v>
      </c>
      <c r="V51" s="167">
        <v>41075800</v>
      </c>
      <c r="W51" s="167"/>
      <c r="X51" s="2" t="s">
        <v>25</v>
      </c>
      <c r="Y51" s="2" t="s">
        <v>26</v>
      </c>
      <c r="Z51" s="179">
        <v>5</v>
      </c>
      <c r="AA51" s="5" t="s">
        <v>31</v>
      </c>
      <c r="AB51" s="5"/>
      <c r="AC51" s="5"/>
      <c r="AD51" s="5"/>
      <c r="AE51" s="5"/>
      <c r="AF51" s="168">
        <v>-16568.28</v>
      </c>
      <c r="AG51" s="164"/>
    </row>
    <row r="52" spans="2:33">
      <c r="B52" s="129"/>
      <c r="C52" s="4">
        <v>45291</v>
      </c>
      <c r="D52" s="5" t="s">
        <v>38</v>
      </c>
      <c r="E52" s="5">
        <v>1102</v>
      </c>
      <c r="F52" s="5">
        <v>175</v>
      </c>
      <c r="G52" s="169" t="s">
        <v>88</v>
      </c>
      <c r="H52" s="169" t="s">
        <v>152</v>
      </c>
      <c r="I52" s="169"/>
      <c r="J52" s="169" t="s">
        <v>30</v>
      </c>
      <c r="K52" s="169" t="s">
        <v>24</v>
      </c>
      <c r="L52" s="169"/>
      <c r="M52" s="165"/>
      <c r="N52" s="165"/>
      <c r="O52" s="2"/>
      <c r="P52" s="2"/>
      <c r="Q52" s="2"/>
      <c r="R52" s="166">
        <v>47064</v>
      </c>
      <c r="S52" s="7">
        <v>41640</v>
      </c>
      <c r="T52" s="166">
        <v>47064</v>
      </c>
      <c r="U52" s="167">
        <v>128172000</v>
      </c>
      <c r="V52" s="167">
        <v>100000000</v>
      </c>
      <c r="W52" s="167"/>
      <c r="X52" s="2" t="s">
        <v>25</v>
      </c>
      <c r="Y52" s="2" t="s">
        <v>26</v>
      </c>
      <c r="Z52" s="179">
        <v>10</v>
      </c>
      <c r="AA52" s="5" t="s">
        <v>27</v>
      </c>
      <c r="AB52" s="5"/>
      <c r="AC52" s="5"/>
      <c r="AD52" s="5"/>
      <c r="AE52" s="5"/>
      <c r="AF52" s="168">
        <v>-58017.1</v>
      </c>
      <c r="AG52" s="164"/>
    </row>
    <row r="53" spans="2:33">
      <c r="B53" s="129"/>
      <c r="C53" s="4">
        <v>45291</v>
      </c>
      <c r="D53" s="5" t="s">
        <v>38</v>
      </c>
      <c r="E53" s="5">
        <v>1102</v>
      </c>
      <c r="F53" s="5">
        <v>176</v>
      </c>
      <c r="G53" s="169" t="s">
        <v>90</v>
      </c>
      <c r="H53" s="169" t="s">
        <v>152</v>
      </c>
      <c r="I53" s="169"/>
      <c r="J53" s="169" t="s">
        <v>24</v>
      </c>
      <c r="K53" s="169" t="s">
        <v>30</v>
      </c>
      <c r="L53" s="169"/>
      <c r="M53" s="165"/>
      <c r="N53" s="165"/>
      <c r="O53" s="2"/>
      <c r="P53" s="2"/>
      <c r="Q53" s="2"/>
      <c r="R53" s="166">
        <v>47263</v>
      </c>
      <c r="S53" s="7">
        <v>41640</v>
      </c>
      <c r="T53" s="166">
        <v>47263</v>
      </c>
      <c r="U53" s="167">
        <v>23000000</v>
      </c>
      <c r="V53" s="167">
        <v>21780785</v>
      </c>
      <c r="W53" s="167"/>
      <c r="X53" s="2" t="s">
        <v>25</v>
      </c>
      <c r="Y53" s="2" t="s">
        <v>26</v>
      </c>
      <c r="Z53" s="179">
        <v>10</v>
      </c>
      <c r="AA53" s="5" t="s">
        <v>31</v>
      </c>
      <c r="AB53" s="5"/>
      <c r="AC53" s="5"/>
      <c r="AD53" s="5"/>
      <c r="AE53" s="5"/>
      <c r="AF53" s="168">
        <v>15605.1</v>
      </c>
      <c r="AG53" s="164"/>
    </row>
    <row r="54" spans="2:33">
      <c r="B54" s="129"/>
      <c r="C54" s="4">
        <v>45291</v>
      </c>
      <c r="D54" s="5" t="s">
        <v>38</v>
      </c>
      <c r="E54" s="5">
        <v>1102</v>
      </c>
      <c r="F54" s="5">
        <v>177</v>
      </c>
      <c r="G54" s="169" t="s">
        <v>88</v>
      </c>
      <c r="H54" s="169" t="s">
        <v>152</v>
      </c>
      <c r="I54" s="169"/>
      <c r="J54" s="169" t="s">
        <v>91</v>
      </c>
      <c r="K54" s="169" t="s">
        <v>92</v>
      </c>
      <c r="L54" s="169"/>
      <c r="M54" s="165"/>
      <c r="N54" s="165"/>
      <c r="O54" s="2"/>
      <c r="P54" s="2"/>
      <c r="Q54" s="2"/>
      <c r="R54" s="166">
        <v>47260</v>
      </c>
      <c r="S54" s="7">
        <v>41496</v>
      </c>
      <c r="T54" s="166">
        <v>47260</v>
      </c>
      <c r="U54" s="167">
        <v>233268500</v>
      </c>
      <c r="V54" s="167">
        <v>211000000</v>
      </c>
      <c r="W54" s="167"/>
      <c r="X54" s="2" t="s">
        <v>25</v>
      </c>
      <c r="Y54" s="2" t="s">
        <v>26</v>
      </c>
      <c r="Z54" s="179">
        <v>10</v>
      </c>
      <c r="AA54" s="5" t="s">
        <v>27</v>
      </c>
      <c r="AB54" s="5"/>
      <c r="AC54" s="5"/>
      <c r="AD54" s="5"/>
      <c r="AE54" s="5"/>
      <c r="AF54" s="168">
        <v>44757.84</v>
      </c>
      <c r="AG54" s="164"/>
    </row>
    <row r="55" spans="2:33">
      <c r="B55" s="129"/>
      <c r="C55" s="4">
        <v>45291</v>
      </c>
      <c r="D55" s="5" t="s">
        <v>38</v>
      </c>
      <c r="E55" s="5">
        <v>1102</v>
      </c>
      <c r="F55" s="5">
        <v>178</v>
      </c>
      <c r="G55" s="169" t="s">
        <v>90</v>
      </c>
      <c r="H55" s="169" t="s">
        <v>152</v>
      </c>
      <c r="I55" s="169"/>
      <c r="J55" s="169" t="s">
        <v>91</v>
      </c>
      <c r="K55" s="169" t="s">
        <v>92</v>
      </c>
      <c r="L55" s="169"/>
      <c r="M55" s="165"/>
      <c r="N55" s="165"/>
      <c r="O55" s="2"/>
      <c r="P55" s="2"/>
      <c r="Q55" s="2"/>
      <c r="R55" s="166">
        <v>46191</v>
      </c>
      <c r="S55" s="7">
        <v>41496</v>
      </c>
      <c r="T55" s="166">
        <v>46191</v>
      </c>
      <c r="U55" s="167">
        <v>30000000</v>
      </c>
      <c r="V55" s="167">
        <v>33042500</v>
      </c>
      <c r="W55" s="167"/>
      <c r="X55" s="2" t="s">
        <v>25</v>
      </c>
      <c r="Y55" s="2" t="s">
        <v>26</v>
      </c>
      <c r="Z55" s="179">
        <v>10</v>
      </c>
      <c r="AA55" s="5" t="s">
        <v>31</v>
      </c>
      <c r="AB55" s="5"/>
      <c r="AC55" s="5"/>
      <c r="AD55" s="5"/>
      <c r="AE55" s="5"/>
      <c r="AF55" s="168">
        <v>-18095.05</v>
      </c>
      <c r="AG55" s="164"/>
    </row>
    <row r="56" spans="2:33">
      <c r="B56" s="129"/>
      <c r="C56" s="4">
        <v>45291</v>
      </c>
      <c r="D56" s="5" t="s">
        <v>40</v>
      </c>
      <c r="E56" s="5">
        <v>1103</v>
      </c>
      <c r="F56" s="5">
        <v>179</v>
      </c>
      <c r="G56" s="169" t="s">
        <v>90</v>
      </c>
      <c r="H56" s="169" t="s">
        <v>152</v>
      </c>
      <c r="I56" s="169"/>
      <c r="J56" s="169" t="s">
        <v>24</v>
      </c>
      <c r="K56" s="169" t="s">
        <v>86</v>
      </c>
      <c r="L56" s="169"/>
      <c r="M56" s="165"/>
      <c r="N56" s="165"/>
      <c r="O56" s="2"/>
      <c r="P56" s="2"/>
      <c r="Q56" s="2"/>
      <c r="R56" s="166">
        <v>45432</v>
      </c>
      <c r="S56" s="7">
        <v>41496</v>
      </c>
      <c r="T56" s="166">
        <v>45432</v>
      </c>
      <c r="U56" s="167">
        <v>80000000</v>
      </c>
      <c r="V56" s="167">
        <v>78465400</v>
      </c>
      <c r="W56" s="167"/>
      <c r="X56" s="2" t="s">
        <v>41</v>
      </c>
      <c r="Y56" s="2" t="s">
        <v>26</v>
      </c>
      <c r="Z56" s="179" t="s">
        <v>42</v>
      </c>
      <c r="AA56" s="5" t="s">
        <v>31</v>
      </c>
      <c r="AB56" s="5"/>
      <c r="AC56" s="5"/>
      <c r="AD56" s="5"/>
      <c r="AE56" s="5"/>
      <c r="AF56" s="168">
        <v>48581.59</v>
      </c>
      <c r="AG56" s="164"/>
    </row>
    <row r="57" spans="2:33">
      <c r="B57" s="129"/>
      <c r="C57" s="4">
        <v>45291</v>
      </c>
      <c r="D57" s="5" t="s">
        <v>40</v>
      </c>
      <c r="E57" s="5">
        <v>1103</v>
      </c>
      <c r="F57" s="5">
        <v>180</v>
      </c>
      <c r="G57" s="169" t="s">
        <v>90</v>
      </c>
      <c r="H57" s="169" t="s">
        <v>152</v>
      </c>
      <c r="I57" s="169"/>
      <c r="J57" s="169" t="s">
        <v>24</v>
      </c>
      <c r="K57" s="169" t="s">
        <v>34</v>
      </c>
      <c r="L57" s="169"/>
      <c r="M57" s="165"/>
      <c r="N57" s="165"/>
      <c r="O57" s="2"/>
      <c r="P57" s="2"/>
      <c r="Q57" s="2"/>
      <c r="R57" s="166">
        <v>46061</v>
      </c>
      <c r="S57" s="7">
        <v>41496</v>
      </c>
      <c r="T57" s="166">
        <v>46061</v>
      </c>
      <c r="U57" s="167">
        <v>200000000</v>
      </c>
      <c r="V57" s="167">
        <v>216325600</v>
      </c>
      <c r="W57" s="167"/>
      <c r="X57" s="2" t="s">
        <v>41</v>
      </c>
      <c r="Y57" s="2" t="s">
        <v>26</v>
      </c>
      <c r="Z57" s="179" t="s">
        <v>42</v>
      </c>
      <c r="AA57" s="5" t="s">
        <v>31</v>
      </c>
      <c r="AB57" s="5"/>
      <c r="AC57" s="5"/>
      <c r="AD57" s="5"/>
      <c r="AE57" s="5"/>
      <c r="AF57" s="168">
        <v>115173.33</v>
      </c>
      <c r="AG57" s="164"/>
    </row>
    <row r="58" spans="2:33">
      <c r="B58" s="129"/>
      <c r="C58" s="4">
        <v>45291</v>
      </c>
      <c r="D58" s="5" t="s">
        <v>22</v>
      </c>
      <c r="E58" s="5">
        <v>1101</v>
      </c>
      <c r="F58" s="5">
        <v>133</v>
      </c>
      <c r="G58" s="169" t="s">
        <v>148</v>
      </c>
      <c r="H58" s="169" t="s">
        <v>153</v>
      </c>
      <c r="I58" s="169"/>
      <c r="J58" s="169"/>
      <c r="K58" s="169"/>
      <c r="L58" s="169"/>
      <c r="M58" s="165"/>
      <c r="N58" s="165"/>
      <c r="O58" s="2" t="s">
        <v>121</v>
      </c>
      <c r="P58" s="2" t="s">
        <v>99</v>
      </c>
      <c r="Q58" s="2"/>
      <c r="R58" s="166">
        <v>46714</v>
      </c>
      <c r="S58" s="7">
        <v>46714</v>
      </c>
      <c r="T58" s="166"/>
      <c r="U58" s="166"/>
      <c r="V58" s="166"/>
      <c r="W58" s="167">
        <v>987000000</v>
      </c>
      <c r="X58" s="2" t="s">
        <v>25</v>
      </c>
      <c r="Y58" s="2" t="s">
        <v>26</v>
      </c>
      <c r="Z58" s="179">
        <v>5</v>
      </c>
      <c r="AA58" s="5" t="s">
        <v>27</v>
      </c>
      <c r="AB58" s="166">
        <v>46714</v>
      </c>
      <c r="AC58" s="5" t="s">
        <v>28</v>
      </c>
      <c r="AD58" s="5">
        <v>135</v>
      </c>
      <c r="AE58" s="5">
        <v>120</v>
      </c>
      <c r="AF58" s="168">
        <v>417286.21</v>
      </c>
      <c r="AG58" s="164"/>
    </row>
    <row r="59" spans="2:33">
      <c r="B59" s="129"/>
      <c r="C59" s="4">
        <v>45291</v>
      </c>
      <c r="D59" s="5" t="s">
        <v>22</v>
      </c>
      <c r="E59" s="5">
        <v>1101</v>
      </c>
      <c r="F59" s="5">
        <v>134</v>
      </c>
      <c r="G59" s="169" t="s">
        <v>148</v>
      </c>
      <c r="H59" s="169" t="s">
        <v>153</v>
      </c>
      <c r="I59" s="169"/>
      <c r="J59" s="169"/>
      <c r="K59" s="169"/>
      <c r="L59" s="169"/>
      <c r="M59" s="165"/>
      <c r="N59" s="165"/>
      <c r="O59" s="2" t="s">
        <v>121</v>
      </c>
      <c r="P59" s="2" t="s">
        <v>99</v>
      </c>
      <c r="Q59" s="2"/>
      <c r="R59" s="166">
        <v>46334</v>
      </c>
      <c r="S59" s="7">
        <v>46334</v>
      </c>
      <c r="T59" s="166"/>
      <c r="U59" s="166"/>
      <c r="V59" s="166"/>
      <c r="W59" s="167">
        <v>20000000</v>
      </c>
      <c r="X59" s="2" t="s">
        <v>25</v>
      </c>
      <c r="Y59" s="2" t="s">
        <v>26</v>
      </c>
      <c r="Z59" s="179">
        <v>5</v>
      </c>
      <c r="AA59" s="5" t="s">
        <v>27</v>
      </c>
      <c r="AB59" s="166">
        <v>46334</v>
      </c>
      <c r="AC59" s="5" t="s">
        <v>29</v>
      </c>
      <c r="AD59" s="5">
        <v>140</v>
      </c>
      <c r="AE59" s="5">
        <v>115</v>
      </c>
      <c r="AF59" s="168">
        <v>89840.51</v>
      </c>
      <c r="AG59" s="164"/>
    </row>
    <row r="60" spans="2:33">
      <c r="B60" s="129"/>
      <c r="C60" s="4">
        <v>45291</v>
      </c>
      <c r="D60" s="5" t="s">
        <v>22</v>
      </c>
      <c r="E60" s="5">
        <v>1101</v>
      </c>
      <c r="F60" s="5">
        <v>135</v>
      </c>
      <c r="G60" s="169" t="s">
        <v>148</v>
      </c>
      <c r="H60" s="169" t="s">
        <v>153</v>
      </c>
      <c r="I60" s="169"/>
      <c r="J60" s="169"/>
      <c r="K60" s="169"/>
      <c r="L60" s="169"/>
      <c r="M60" s="165"/>
      <c r="N60" s="165"/>
      <c r="O60" s="2" t="s">
        <v>122</v>
      </c>
      <c r="P60" s="2" t="s">
        <v>99</v>
      </c>
      <c r="Q60" s="2"/>
      <c r="R60" s="166">
        <v>46334</v>
      </c>
      <c r="S60" s="7">
        <v>46334</v>
      </c>
      <c r="T60" s="166"/>
      <c r="U60" s="166"/>
      <c r="V60" s="166"/>
      <c r="W60" s="167">
        <v>32865739.02</v>
      </c>
      <c r="X60" s="2" t="s">
        <v>25</v>
      </c>
      <c r="Y60" s="2" t="s">
        <v>26</v>
      </c>
      <c r="Z60" s="179">
        <v>5</v>
      </c>
      <c r="AA60" s="5" t="s">
        <v>31</v>
      </c>
      <c r="AB60" s="166">
        <v>46334</v>
      </c>
      <c r="AC60" s="5" t="s">
        <v>29</v>
      </c>
      <c r="AD60" s="5">
        <v>110</v>
      </c>
      <c r="AE60" s="5">
        <v>145</v>
      </c>
      <c r="AF60" s="168">
        <v>-7412280.8300000001</v>
      </c>
      <c r="AG60" s="164"/>
    </row>
    <row r="61" spans="2:33">
      <c r="B61" s="129"/>
      <c r="C61" s="4">
        <v>45291</v>
      </c>
      <c r="D61" s="5" t="s">
        <v>22</v>
      </c>
      <c r="E61" s="5">
        <v>1101</v>
      </c>
      <c r="F61" s="5">
        <v>136</v>
      </c>
      <c r="G61" s="169" t="s">
        <v>148</v>
      </c>
      <c r="H61" s="169" t="s">
        <v>153</v>
      </c>
      <c r="I61" s="169"/>
      <c r="J61" s="169"/>
      <c r="K61" s="169"/>
      <c r="L61" s="169"/>
      <c r="M61" s="165"/>
      <c r="N61" s="165"/>
      <c r="O61" s="2" t="s">
        <v>122</v>
      </c>
      <c r="P61" s="2" t="s">
        <v>99</v>
      </c>
      <c r="Q61" s="2"/>
      <c r="R61" s="166">
        <v>45564</v>
      </c>
      <c r="S61" s="7">
        <v>45564</v>
      </c>
      <c r="T61" s="166"/>
      <c r="U61" s="166"/>
      <c r="V61" s="166"/>
      <c r="W61" s="167">
        <v>31865954.02</v>
      </c>
      <c r="X61" s="2" t="s">
        <v>25</v>
      </c>
      <c r="Y61" s="2" t="s">
        <v>26</v>
      </c>
      <c r="Z61" s="179">
        <v>5</v>
      </c>
      <c r="AA61" s="5" t="s">
        <v>31</v>
      </c>
      <c r="AB61" s="166">
        <v>45564</v>
      </c>
      <c r="AC61" s="5" t="s">
        <v>28</v>
      </c>
      <c r="AD61" s="5">
        <v>140</v>
      </c>
      <c r="AE61" s="5">
        <v>150</v>
      </c>
      <c r="AF61" s="168">
        <v>-50254.64</v>
      </c>
      <c r="AG61" s="164"/>
    </row>
    <row r="62" spans="2:33">
      <c r="B62" s="129"/>
      <c r="C62" s="4">
        <v>45291</v>
      </c>
      <c r="D62" s="5" t="s">
        <v>22</v>
      </c>
      <c r="E62" s="5">
        <v>1101</v>
      </c>
      <c r="F62" s="5">
        <v>137</v>
      </c>
      <c r="G62" s="169" t="s">
        <v>148</v>
      </c>
      <c r="H62" s="169" t="s">
        <v>153</v>
      </c>
      <c r="I62" s="169"/>
      <c r="J62" s="169"/>
      <c r="K62" s="169"/>
      <c r="L62" s="169"/>
      <c r="M62" s="165"/>
      <c r="N62" s="165"/>
      <c r="O62" s="2" t="s">
        <v>122</v>
      </c>
      <c r="P62" s="2" t="s">
        <v>99</v>
      </c>
      <c r="Q62" s="2"/>
      <c r="R62" s="166">
        <v>45564</v>
      </c>
      <c r="S62" s="7">
        <v>45564</v>
      </c>
      <c r="T62" s="166"/>
      <c r="U62" s="166"/>
      <c r="V62" s="166"/>
      <c r="W62" s="167">
        <v>10721913.01</v>
      </c>
      <c r="X62" s="2" t="s">
        <v>25</v>
      </c>
      <c r="Y62" s="2" t="s">
        <v>26</v>
      </c>
      <c r="Z62" s="179">
        <v>5</v>
      </c>
      <c r="AA62" s="5" t="s">
        <v>27</v>
      </c>
      <c r="AB62" s="166">
        <v>45564</v>
      </c>
      <c r="AC62" s="5" t="s">
        <v>29</v>
      </c>
      <c r="AD62" s="5">
        <v>155</v>
      </c>
      <c r="AE62" s="5">
        <v>120</v>
      </c>
      <c r="AF62" s="168">
        <v>1685083.41</v>
      </c>
      <c r="AG62" s="164"/>
    </row>
    <row r="63" spans="2:33">
      <c r="B63" s="129"/>
      <c r="C63" s="4">
        <v>45291</v>
      </c>
      <c r="D63" s="5" t="s">
        <v>22</v>
      </c>
      <c r="E63" s="5">
        <v>1101</v>
      </c>
      <c r="F63" s="5">
        <v>138</v>
      </c>
      <c r="G63" s="169" t="s">
        <v>148</v>
      </c>
      <c r="H63" s="169" t="s">
        <v>153</v>
      </c>
      <c r="I63" s="169"/>
      <c r="J63" s="169"/>
      <c r="K63" s="169"/>
      <c r="L63" s="169"/>
      <c r="M63" s="165"/>
      <c r="N63" s="165"/>
      <c r="O63" s="2" t="s">
        <v>123</v>
      </c>
      <c r="P63" s="2" t="s">
        <v>107</v>
      </c>
      <c r="Q63" s="2"/>
      <c r="R63" s="166">
        <v>45545</v>
      </c>
      <c r="S63" s="7">
        <v>45545</v>
      </c>
      <c r="T63" s="166"/>
      <c r="U63" s="166"/>
      <c r="V63" s="166"/>
      <c r="W63" s="167">
        <v>52841098.259999998</v>
      </c>
      <c r="X63" s="2" t="s">
        <v>25</v>
      </c>
      <c r="Y63" s="2" t="s">
        <v>26</v>
      </c>
      <c r="Z63" s="179">
        <v>5</v>
      </c>
      <c r="AA63" s="5" t="s">
        <v>27</v>
      </c>
      <c r="AB63" s="166">
        <v>45545</v>
      </c>
      <c r="AC63" s="5" t="s">
        <v>28</v>
      </c>
      <c r="AD63" s="5">
        <v>139</v>
      </c>
      <c r="AE63" s="5">
        <v>154</v>
      </c>
      <c r="AF63" s="168">
        <v>-149217.47</v>
      </c>
      <c r="AG63" s="164"/>
    </row>
    <row r="64" spans="2:33">
      <c r="B64" s="129"/>
      <c r="C64" s="4">
        <v>45291</v>
      </c>
      <c r="D64" s="5" t="s">
        <v>22</v>
      </c>
      <c r="E64" s="5">
        <v>1101</v>
      </c>
      <c r="F64" s="5">
        <v>139</v>
      </c>
      <c r="G64" s="169" t="s">
        <v>148</v>
      </c>
      <c r="H64" s="169" t="s">
        <v>153</v>
      </c>
      <c r="I64" s="169"/>
      <c r="J64" s="169"/>
      <c r="K64" s="169"/>
      <c r="L64" s="169"/>
      <c r="M64" s="165" t="s">
        <v>101</v>
      </c>
      <c r="N64" s="165"/>
      <c r="O64" s="2" t="s">
        <v>123</v>
      </c>
      <c r="P64" s="2" t="s">
        <v>107</v>
      </c>
      <c r="Q64" s="2"/>
      <c r="R64" s="166">
        <v>46734</v>
      </c>
      <c r="S64" s="7">
        <v>46734</v>
      </c>
      <c r="T64" s="166"/>
      <c r="U64" s="166"/>
      <c r="V64" s="166"/>
      <c r="W64" s="167">
        <v>58081208.090000004</v>
      </c>
      <c r="X64" s="2" t="s">
        <v>25</v>
      </c>
      <c r="Y64" s="2" t="s">
        <v>26</v>
      </c>
      <c r="Z64" s="179">
        <v>5</v>
      </c>
      <c r="AA64" s="5" t="s">
        <v>31</v>
      </c>
      <c r="AB64" s="5"/>
      <c r="AC64" s="5"/>
      <c r="AD64" s="5"/>
      <c r="AE64" s="5"/>
      <c r="AF64" s="168">
        <v>149754.81</v>
      </c>
      <c r="AG64" s="164"/>
    </row>
    <row r="65" spans="2:33">
      <c r="B65" s="129"/>
      <c r="C65" s="4">
        <v>45291</v>
      </c>
      <c r="D65" s="5" t="s">
        <v>22</v>
      </c>
      <c r="E65" s="5">
        <v>1101</v>
      </c>
      <c r="F65" s="5">
        <v>140</v>
      </c>
      <c r="G65" s="169" t="s">
        <v>148</v>
      </c>
      <c r="H65" s="169" t="s">
        <v>153</v>
      </c>
      <c r="I65" s="169"/>
      <c r="J65" s="169"/>
      <c r="K65" s="169"/>
      <c r="L65" s="169"/>
      <c r="M65" s="165" t="s">
        <v>101</v>
      </c>
      <c r="N65" s="165"/>
      <c r="O65" s="2" t="s">
        <v>124</v>
      </c>
      <c r="P65" s="2" t="s">
        <v>107</v>
      </c>
      <c r="Q65" s="2"/>
      <c r="R65" s="166">
        <v>45656</v>
      </c>
      <c r="S65" s="7">
        <v>45656</v>
      </c>
      <c r="T65" s="166"/>
      <c r="U65" s="166"/>
      <c r="V65" s="166"/>
      <c r="W65" s="167">
        <v>19225500</v>
      </c>
      <c r="X65" s="2" t="s">
        <v>25</v>
      </c>
      <c r="Y65" s="2" t="s">
        <v>26</v>
      </c>
      <c r="Z65" s="179">
        <v>5</v>
      </c>
      <c r="AA65" s="5" t="s">
        <v>27</v>
      </c>
      <c r="AB65" s="5"/>
      <c r="AC65" s="5"/>
      <c r="AD65" s="5"/>
      <c r="AE65" s="5"/>
      <c r="AF65" s="168">
        <v>24975.65</v>
      </c>
      <c r="AG65" s="164"/>
    </row>
    <row r="66" spans="2:33">
      <c r="B66" s="129"/>
      <c r="C66" s="4">
        <v>45291</v>
      </c>
      <c r="D66" s="5" t="s">
        <v>38</v>
      </c>
      <c r="E66" s="5">
        <v>1102</v>
      </c>
      <c r="F66" s="5">
        <v>141</v>
      </c>
      <c r="G66" s="169" t="s">
        <v>148</v>
      </c>
      <c r="H66" s="169" t="s">
        <v>153</v>
      </c>
      <c r="I66" s="169"/>
      <c r="J66" s="169"/>
      <c r="K66" s="169"/>
      <c r="L66" s="169"/>
      <c r="M66" s="165"/>
      <c r="N66" s="165"/>
      <c r="O66" s="2" t="s">
        <v>125</v>
      </c>
      <c r="P66" s="2" t="s">
        <v>99</v>
      </c>
      <c r="Q66" s="2"/>
      <c r="R66" s="166">
        <v>45656</v>
      </c>
      <c r="S66" s="7">
        <v>45656</v>
      </c>
      <c r="T66" s="166"/>
      <c r="U66" s="166"/>
      <c r="V66" s="166"/>
      <c r="W66" s="167">
        <v>25634000</v>
      </c>
      <c r="X66" s="2" t="s">
        <v>25</v>
      </c>
      <c r="Y66" s="2" t="s">
        <v>26</v>
      </c>
      <c r="Z66" s="179">
        <v>5</v>
      </c>
      <c r="AA66" s="5" t="s">
        <v>27</v>
      </c>
      <c r="AB66" s="5"/>
      <c r="AC66" s="5"/>
      <c r="AD66" s="5"/>
      <c r="AE66" s="5"/>
      <c r="AF66" s="168">
        <v>2876.32</v>
      </c>
      <c r="AG66" s="164"/>
    </row>
    <row r="67" spans="2:33">
      <c r="B67" s="129"/>
      <c r="C67" s="4">
        <v>45291</v>
      </c>
      <c r="D67" s="5" t="s">
        <v>38</v>
      </c>
      <c r="E67" s="5">
        <v>1102</v>
      </c>
      <c r="F67" s="5">
        <v>142</v>
      </c>
      <c r="G67" s="169" t="s">
        <v>148</v>
      </c>
      <c r="H67" s="169" t="s">
        <v>153</v>
      </c>
      <c r="I67" s="169"/>
      <c r="J67" s="169"/>
      <c r="K67" s="169"/>
      <c r="L67" s="169"/>
      <c r="M67" s="165"/>
      <c r="N67" s="165"/>
      <c r="O67" s="2" t="s">
        <v>125</v>
      </c>
      <c r="P67" s="2" t="s">
        <v>99</v>
      </c>
      <c r="Q67" s="2"/>
      <c r="R67" s="166">
        <v>45679</v>
      </c>
      <c r="S67" s="7">
        <v>45679</v>
      </c>
      <c r="T67" s="166"/>
      <c r="U67" s="166"/>
      <c r="V67" s="166"/>
      <c r="W67" s="167">
        <v>41014400</v>
      </c>
      <c r="X67" s="2" t="s">
        <v>25</v>
      </c>
      <c r="Y67" s="2" t="s">
        <v>26</v>
      </c>
      <c r="Z67" s="179">
        <v>5</v>
      </c>
      <c r="AA67" s="5" t="s">
        <v>31</v>
      </c>
      <c r="AB67" s="5"/>
      <c r="AC67" s="5"/>
      <c r="AD67" s="5"/>
      <c r="AE67" s="5"/>
      <c r="AF67" s="168">
        <v>-17348.28</v>
      </c>
      <c r="AG67" s="164"/>
    </row>
    <row r="68" spans="2:33">
      <c r="B68" s="129"/>
      <c r="C68" s="4">
        <v>45291</v>
      </c>
      <c r="D68" s="5" t="s">
        <v>38</v>
      </c>
      <c r="E68" s="5">
        <v>1102</v>
      </c>
      <c r="F68" s="5">
        <v>143</v>
      </c>
      <c r="G68" s="169" t="s">
        <v>148</v>
      </c>
      <c r="H68" s="169" t="s">
        <v>153</v>
      </c>
      <c r="I68" s="169"/>
      <c r="J68" s="169"/>
      <c r="K68" s="169"/>
      <c r="L68" s="169"/>
      <c r="M68" s="165"/>
      <c r="N68" s="165"/>
      <c r="O68" s="2" t="s">
        <v>125</v>
      </c>
      <c r="P68" s="2" t="s">
        <v>99</v>
      </c>
      <c r="Q68" s="2"/>
      <c r="R68" s="166">
        <v>47064</v>
      </c>
      <c r="S68" s="7">
        <v>47064</v>
      </c>
      <c r="T68" s="166"/>
      <c r="U68" s="166"/>
      <c r="V68" s="166"/>
      <c r="W68" s="167">
        <v>128170000</v>
      </c>
      <c r="X68" s="2" t="s">
        <v>25</v>
      </c>
      <c r="Y68" s="2" t="s">
        <v>26</v>
      </c>
      <c r="Z68" s="179">
        <v>10</v>
      </c>
      <c r="AA68" s="5" t="s">
        <v>27</v>
      </c>
      <c r="AB68" s="5"/>
      <c r="AC68" s="5"/>
      <c r="AD68" s="5"/>
      <c r="AE68" s="5"/>
      <c r="AF68" s="168">
        <v>-59015.1</v>
      </c>
      <c r="AG68" s="164"/>
    </row>
    <row r="69" spans="2:33">
      <c r="B69" s="129"/>
      <c r="C69" s="4">
        <v>45291</v>
      </c>
      <c r="D69" s="5" t="s">
        <v>38</v>
      </c>
      <c r="E69" s="5">
        <v>1102</v>
      </c>
      <c r="F69" s="5">
        <v>144</v>
      </c>
      <c r="G69" s="169" t="s">
        <v>148</v>
      </c>
      <c r="H69" s="169" t="s">
        <v>153</v>
      </c>
      <c r="I69" s="169"/>
      <c r="J69" s="169"/>
      <c r="K69" s="169"/>
      <c r="L69" s="169"/>
      <c r="M69" s="165"/>
      <c r="N69" s="165"/>
      <c r="O69" s="2" t="s">
        <v>126</v>
      </c>
      <c r="P69" s="2" t="s">
        <v>99</v>
      </c>
      <c r="Q69" s="2"/>
      <c r="R69" s="166">
        <v>47263</v>
      </c>
      <c r="S69" s="7">
        <v>47263</v>
      </c>
      <c r="T69" s="166"/>
      <c r="U69" s="166"/>
      <c r="V69" s="166"/>
      <c r="W69" s="167">
        <v>21788900</v>
      </c>
      <c r="X69" s="2" t="s">
        <v>25</v>
      </c>
      <c r="Y69" s="2" t="s">
        <v>26</v>
      </c>
      <c r="Z69" s="179">
        <v>10</v>
      </c>
      <c r="AA69" s="5" t="s">
        <v>31</v>
      </c>
      <c r="AB69" s="5"/>
      <c r="AC69" s="5"/>
      <c r="AD69" s="5"/>
      <c r="AE69" s="5"/>
      <c r="AF69" s="168">
        <v>12905.1</v>
      </c>
      <c r="AG69" s="164"/>
    </row>
    <row r="70" spans="2:33">
      <c r="B70" s="129"/>
      <c r="C70" s="4">
        <v>45291</v>
      </c>
      <c r="D70" s="5" t="s">
        <v>38</v>
      </c>
      <c r="E70" s="5">
        <v>1102</v>
      </c>
      <c r="F70" s="5">
        <v>145</v>
      </c>
      <c r="G70" s="169" t="s">
        <v>148</v>
      </c>
      <c r="H70" s="169" t="s">
        <v>153</v>
      </c>
      <c r="I70" s="169"/>
      <c r="J70" s="169"/>
      <c r="K70" s="169"/>
      <c r="L70" s="169"/>
      <c r="M70" s="165"/>
      <c r="N70" s="165"/>
      <c r="O70" s="2" t="s">
        <v>126</v>
      </c>
      <c r="P70" s="2" t="s">
        <v>99</v>
      </c>
      <c r="Q70" s="2"/>
      <c r="R70" s="166">
        <v>47260</v>
      </c>
      <c r="S70" s="7">
        <v>47260</v>
      </c>
      <c r="T70" s="166"/>
      <c r="U70" s="166"/>
      <c r="V70" s="166"/>
      <c r="W70" s="167">
        <v>233269400</v>
      </c>
      <c r="X70" s="2" t="s">
        <v>25</v>
      </c>
      <c r="Y70" s="2" t="s">
        <v>26</v>
      </c>
      <c r="Z70" s="179">
        <v>10</v>
      </c>
      <c r="AA70" s="5" t="s">
        <v>27</v>
      </c>
      <c r="AB70" s="5"/>
      <c r="AC70" s="5"/>
      <c r="AD70" s="5"/>
      <c r="AE70" s="5"/>
      <c r="AF70" s="168">
        <v>41385.839999999997</v>
      </c>
      <c r="AG70" s="164"/>
    </row>
    <row r="71" spans="2:33">
      <c r="B71" s="129"/>
      <c r="C71" s="4">
        <v>45291</v>
      </c>
      <c r="D71" s="5" t="s">
        <v>38</v>
      </c>
      <c r="E71" s="5">
        <v>1102</v>
      </c>
      <c r="F71" s="5">
        <v>146</v>
      </c>
      <c r="G71" s="169" t="s">
        <v>148</v>
      </c>
      <c r="H71" s="169" t="s">
        <v>153</v>
      </c>
      <c r="I71" s="169"/>
      <c r="J71" s="169"/>
      <c r="K71" s="169"/>
      <c r="L71" s="169"/>
      <c r="M71" s="165"/>
      <c r="N71" s="165"/>
      <c r="O71" s="2" t="s">
        <v>127</v>
      </c>
      <c r="P71" s="2" t="s">
        <v>99</v>
      </c>
      <c r="Q71" s="2"/>
      <c r="R71" s="166">
        <v>46191</v>
      </c>
      <c r="S71" s="7">
        <v>46191</v>
      </c>
      <c r="T71" s="166"/>
      <c r="U71" s="166"/>
      <c r="V71" s="166"/>
      <c r="W71" s="167">
        <v>32042500</v>
      </c>
      <c r="X71" s="2" t="s">
        <v>25</v>
      </c>
      <c r="Y71" s="2" t="s">
        <v>26</v>
      </c>
      <c r="Z71" s="179">
        <v>10</v>
      </c>
      <c r="AA71" s="5" t="s">
        <v>31</v>
      </c>
      <c r="AB71" s="5"/>
      <c r="AC71" s="5"/>
      <c r="AD71" s="5"/>
      <c r="AE71" s="5"/>
      <c r="AF71" s="168">
        <v>-17095.05</v>
      </c>
      <c r="AG71" s="164"/>
    </row>
    <row r="72" spans="2:33">
      <c r="B72" s="129"/>
      <c r="C72" s="4">
        <v>45291</v>
      </c>
      <c r="D72" s="5" t="s">
        <v>40</v>
      </c>
      <c r="E72" s="5">
        <v>1103</v>
      </c>
      <c r="F72" s="5">
        <v>147</v>
      </c>
      <c r="G72" s="169" t="s">
        <v>148</v>
      </c>
      <c r="H72" s="169" t="s">
        <v>153</v>
      </c>
      <c r="I72" s="169"/>
      <c r="J72" s="169"/>
      <c r="K72" s="169"/>
      <c r="L72" s="169"/>
      <c r="M72" s="165" t="s">
        <v>101</v>
      </c>
      <c r="N72" s="165"/>
      <c r="O72" s="2" t="s">
        <v>127</v>
      </c>
      <c r="P72" s="2" t="s">
        <v>99</v>
      </c>
      <c r="Q72" s="2"/>
      <c r="R72" s="166">
        <v>45797</v>
      </c>
      <c r="S72" s="7">
        <v>45797</v>
      </c>
      <c r="T72" s="166"/>
      <c r="U72" s="166"/>
      <c r="V72" s="166"/>
      <c r="W72" s="167">
        <v>79465400</v>
      </c>
      <c r="X72" s="2" t="s">
        <v>41</v>
      </c>
      <c r="Y72" s="2" t="s">
        <v>26</v>
      </c>
      <c r="Z72" s="179" t="s">
        <v>42</v>
      </c>
      <c r="AA72" s="5" t="s">
        <v>31</v>
      </c>
      <c r="AB72" s="5"/>
      <c r="AC72" s="5"/>
      <c r="AD72" s="5"/>
      <c r="AE72" s="5"/>
      <c r="AF72" s="168">
        <v>-41745.589999999997</v>
      </c>
      <c r="AG72" s="164"/>
    </row>
    <row r="73" spans="2:33">
      <c r="B73" s="129"/>
      <c r="C73" s="4">
        <v>45291</v>
      </c>
      <c r="D73" s="5" t="s">
        <v>40</v>
      </c>
      <c r="E73" s="5">
        <v>1103</v>
      </c>
      <c r="F73" s="5">
        <v>148</v>
      </c>
      <c r="G73" s="169" t="s">
        <v>148</v>
      </c>
      <c r="H73" s="169" t="s">
        <v>153</v>
      </c>
      <c r="I73" s="169"/>
      <c r="J73" s="169"/>
      <c r="K73" s="169"/>
      <c r="L73" s="169"/>
      <c r="M73" s="165" t="s">
        <v>101</v>
      </c>
      <c r="N73" s="165"/>
      <c r="O73" s="2" t="s">
        <v>127</v>
      </c>
      <c r="P73" s="2" t="s">
        <v>99</v>
      </c>
      <c r="Q73" s="2"/>
      <c r="R73" s="166">
        <v>46120</v>
      </c>
      <c r="S73" s="7">
        <v>46120</v>
      </c>
      <c r="T73" s="166"/>
      <c r="U73" s="166"/>
      <c r="V73" s="166"/>
      <c r="W73" s="167">
        <v>215325600</v>
      </c>
      <c r="X73" s="2" t="s">
        <v>41</v>
      </c>
      <c r="Y73" s="2" t="s">
        <v>26</v>
      </c>
      <c r="Z73" s="179" t="s">
        <v>42</v>
      </c>
      <c r="AA73" s="5" t="s">
        <v>31</v>
      </c>
      <c r="AB73" s="5"/>
      <c r="AC73" s="5"/>
      <c r="AD73" s="5"/>
      <c r="AE73" s="5"/>
      <c r="AF73" s="168">
        <v>-112000.33</v>
      </c>
      <c r="AG73" s="164"/>
    </row>
    <row r="74" spans="2:33">
      <c r="B74" s="129"/>
      <c r="C74" s="4">
        <v>45291</v>
      </c>
      <c r="D74" s="163" t="s">
        <v>22</v>
      </c>
      <c r="E74" s="5">
        <v>1101</v>
      </c>
      <c r="F74" s="5">
        <v>149</v>
      </c>
      <c r="G74" s="2" t="s">
        <v>129</v>
      </c>
      <c r="H74" s="169" t="s">
        <v>154</v>
      </c>
      <c r="I74" s="177" t="s">
        <v>130</v>
      </c>
      <c r="J74" s="169"/>
      <c r="K74" s="169"/>
      <c r="L74" s="169"/>
      <c r="M74" s="165"/>
      <c r="N74" s="165"/>
      <c r="O74" s="2"/>
      <c r="P74" s="2"/>
      <c r="Q74" s="2"/>
      <c r="R74" s="166">
        <v>46714</v>
      </c>
      <c r="S74" s="7"/>
      <c r="T74" s="166"/>
      <c r="U74" s="166"/>
      <c r="V74" s="166"/>
      <c r="W74" s="176">
        <v>98000000</v>
      </c>
      <c r="X74" s="5" t="s">
        <v>25</v>
      </c>
      <c r="Y74" s="2" t="s">
        <v>26</v>
      </c>
      <c r="Z74" s="5">
        <v>5</v>
      </c>
      <c r="AA74" s="5" t="s">
        <v>27</v>
      </c>
      <c r="AB74" s="166">
        <v>46714</v>
      </c>
      <c r="AC74" s="5" t="s">
        <v>28</v>
      </c>
      <c r="AD74" s="2">
        <v>110</v>
      </c>
      <c r="AE74" s="2">
        <v>120</v>
      </c>
      <c r="AF74" s="168">
        <v>424111.21</v>
      </c>
      <c r="AG74" s="164"/>
    </row>
    <row r="75" spans="2:33">
      <c r="B75" s="129"/>
      <c r="C75" s="4">
        <v>45291</v>
      </c>
      <c r="D75" s="163" t="s">
        <v>22</v>
      </c>
      <c r="E75" s="5">
        <v>1101</v>
      </c>
      <c r="F75" s="5">
        <v>150</v>
      </c>
      <c r="G75" s="2" t="s">
        <v>129</v>
      </c>
      <c r="H75" s="169" t="s">
        <v>154</v>
      </c>
      <c r="I75" s="177" t="s">
        <v>131</v>
      </c>
      <c r="J75" s="169"/>
      <c r="K75" s="169"/>
      <c r="L75" s="169"/>
      <c r="M75" s="165"/>
      <c r="N75" s="165"/>
      <c r="O75" s="2"/>
      <c r="P75" s="2"/>
      <c r="Q75" s="2"/>
      <c r="R75" s="166">
        <v>46334</v>
      </c>
      <c r="S75" s="7"/>
      <c r="T75" s="166"/>
      <c r="U75" s="166"/>
      <c r="V75" s="166"/>
      <c r="W75" s="176">
        <v>20000000</v>
      </c>
      <c r="X75" s="5" t="s">
        <v>25</v>
      </c>
      <c r="Y75" s="2" t="s">
        <v>26</v>
      </c>
      <c r="Z75" s="5">
        <v>5</v>
      </c>
      <c r="AA75" s="5" t="s">
        <v>27</v>
      </c>
      <c r="AB75" s="166">
        <v>46334</v>
      </c>
      <c r="AC75" s="5" t="s">
        <v>29</v>
      </c>
      <c r="AD75" s="2">
        <v>135</v>
      </c>
      <c r="AE75" s="2">
        <v>115</v>
      </c>
      <c r="AF75" s="168">
        <v>92740.51</v>
      </c>
      <c r="AG75" s="164"/>
    </row>
    <row r="76" spans="2:33">
      <c r="B76" s="129"/>
      <c r="C76" s="4">
        <v>45291</v>
      </c>
      <c r="D76" s="163" t="s">
        <v>22</v>
      </c>
      <c r="E76" s="5">
        <v>1101</v>
      </c>
      <c r="F76" s="5">
        <v>151</v>
      </c>
      <c r="G76" s="2" t="s">
        <v>132</v>
      </c>
      <c r="H76" s="169" t="s">
        <v>154</v>
      </c>
      <c r="I76" s="177" t="s">
        <v>133</v>
      </c>
      <c r="J76" s="169"/>
      <c r="K76" s="169"/>
      <c r="L76" s="169"/>
      <c r="M76" s="165"/>
      <c r="N76" s="165"/>
      <c r="O76" s="2"/>
      <c r="P76" s="2"/>
      <c r="Q76" s="2"/>
      <c r="R76" s="166">
        <v>46334</v>
      </c>
      <c r="S76" s="7"/>
      <c r="T76" s="166"/>
      <c r="U76" s="166"/>
      <c r="V76" s="166"/>
      <c r="W76" s="176">
        <v>31865739.02</v>
      </c>
      <c r="X76" s="5" t="s">
        <v>25</v>
      </c>
      <c r="Y76" s="2" t="s">
        <v>26</v>
      </c>
      <c r="Z76" s="5">
        <v>5</v>
      </c>
      <c r="AA76" s="5" t="s">
        <v>31</v>
      </c>
      <c r="AB76" s="166">
        <v>46334</v>
      </c>
      <c r="AC76" s="5" t="s">
        <v>29</v>
      </c>
      <c r="AD76" s="2">
        <v>115</v>
      </c>
      <c r="AE76" s="2">
        <v>145</v>
      </c>
      <c r="AF76" s="168">
        <v>7315525.8300000001</v>
      </c>
      <c r="AG76" s="164"/>
    </row>
    <row r="77" spans="2:33">
      <c r="B77" s="129"/>
      <c r="C77" s="4">
        <v>45291</v>
      </c>
      <c r="D77" s="163" t="s">
        <v>22</v>
      </c>
      <c r="E77" s="5">
        <v>1101</v>
      </c>
      <c r="F77" s="5">
        <v>152</v>
      </c>
      <c r="G77" s="2" t="s">
        <v>134</v>
      </c>
      <c r="H77" s="169" t="s">
        <v>154</v>
      </c>
      <c r="I77" s="177" t="s">
        <v>135</v>
      </c>
      <c r="J77" s="169"/>
      <c r="K77" s="169"/>
      <c r="L77" s="169"/>
      <c r="M77" s="165"/>
      <c r="N77" s="165"/>
      <c r="O77" s="2"/>
      <c r="P77" s="2"/>
      <c r="Q77" s="2"/>
      <c r="R77" s="166">
        <v>45564</v>
      </c>
      <c r="S77" s="7"/>
      <c r="T77" s="166"/>
      <c r="U77" s="166"/>
      <c r="V77" s="166"/>
      <c r="W77" s="176">
        <v>31865739.02</v>
      </c>
      <c r="X77" s="5" t="s">
        <v>25</v>
      </c>
      <c r="Y77" s="2" t="s">
        <v>26</v>
      </c>
      <c r="Z77" s="5">
        <v>5</v>
      </c>
      <c r="AA77" s="5" t="s">
        <v>31</v>
      </c>
      <c r="AB77" s="166">
        <v>45564</v>
      </c>
      <c r="AC77" s="5" t="s">
        <v>28</v>
      </c>
      <c r="AD77" s="2">
        <v>148</v>
      </c>
      <c r="AE77" s="2">
        <v>150</v>
      </c>
      <c r="AF77" s="168">
        <v>-39998.639999999999</v>
      </c>
      <c r="AG77" s="164"/>
    </row>
    <row r="78" spans="2:33">
      <c r="B78" s="129"/>
      <c r="C78" s="4">
        <v>45291</v>
      </c>
      <c r="D78" s="163" t="s">
        <v>22</v>
      </c>
      <c r="E78" s="5">
        <v>1101</v>
      </c>
      <c r="F78" s="5">
        <v>153</v>
      </c>
      <c r="G78" s="2" t="s">
        <v>132</v>
      </c>
      <c r="H78" s="169" t="s">
        <v>154</v>
      </c>
      <c r="I78" s="177" t="s">
        <v>133</v>
      </c>
      <c r="J78" s="169"/>
      <c r="K78" s="169"/>
      <c r="L78" s="169"/>
      <c r="M78" s="165"/>
      <c r="N78" s="165"/>
      <c r="O78" s="2"/>
      <c r="P78" s="2"/>
      <c r="Q78" s="2"/>
      <c r="R78" s="166">
        <v>45564</v>
      </c>
      <c r="S78" s="7"/>
      <c r="T78" s="166"/>
      <c r="U78" s="166"/>
      <c r="V78" s="166"/>
      <c r="W78" s="176">
        <v>106555902.01000001</v>
      </c>
      <c r="X78" s="5" t="s">
        <v>25</v>
      </c>
      <c r="Y78" s="2" t="s">
        <v>26</v>
      </c>
      <c r="Z78" s="5">
        <v>5</v>
      </c>
      <c r="AA78" s="5" t="s">
        <v>27</v>
      </c>
      <c r="AB78" s="166">
        <v>45564</v>
      </c>
      <c r="AC78" s="5" t="s">
        <v>29</v>
      </c>
      <c r="AD78" s="2">
        <v>145</v>
      </c>
      <c r="AE78" s="2">
        <v>120</v>
      </c>
      <c r="AF78" s="168">
        <v>1595083.41</v>
      </c>
      <c r="AG78" s="164"/>
    </row>
    <row r="79" spans="2:33">
      <c r="B79" s="129"/>
      <c r="C79" s="4">
        <v>45291</v>
      </c>
      <c r="D79" s="163" t="s">
        <v>22</v>
      </c>
      <c r="E79" s="5">
        <v>1101</v>
      </c>
      <c r="F79" s="5">
        <v>154</v>
      </c>
      <c r="G79" s="2" t="s">
        <v>134</v>
      </c>
      <c r="H79" s="169" t="s">
        <v>154</v>
      </c>
      <c r="I79" s="177" t="s">
        <v>136</v>
      </c>
      <c r="J79" s="169"/>
      <c r="K79" s="169"/>
      <c r="L79" s="169"/>
      <c r="M79" s="165"/>
      <c r="N79" s="165"/>
      <c r="O79" s="2"/>
      <c r="P79" s="2"/>
      <c r="Q79" s="2"/>
      <c r="R79" s="166">
        <v>45545</v>
      </c>
      <c r="S79" s="7"/>
      <c r="T79" s="166"/>
      <c r="U79" s="166"/>
      <c r="V79" s="166"/>
      <c r="W79" s="176">
        <v>52801098.259999998</v>
      </c>
      <c r="X79" s="5" t="s">
        <v>25</v>
      </c>
      <c r="Y79" s="2" t="s">
        <v>26</v>
      </c>
      <c r="Z79" s="5">
        <v>5</v>
      </c>
      <c r="AA79" s="5" t="s">
        <v>27</v>
      </c>
      <c r="AB79" s="166">
        <v>45545</v>
      </c>
      <c r="AC79" s="5" t="s">
        <v>28</v>
      </c>
      <c r="AD79" s="2">
        <v>142</v>
      </c>
      <c r="AE79" s="2">
        <v>154</v>
      </c>
      <c r="AF79" s="168">
        <v>-154917.47</v>
      </c>
      <c r="AG79" s="164"/>
    </row>
    <row r="80" spans="2:33">
      <c r="B80" s="129"/>
      <c r="C80" s="4">
        <v>45291</v>
      </c>
      <c r="D80" s="163" t="s">
        <v>22</v>
      </c>
      <c r="E80" s="5">
        <v>1101</v>
      </c>
      <c r="F80" s="5">
        <v>155</v>
      </c>
      <c r="G80" s="160" t="s">
        <v>137</v>
      </c>
      <c r="H80" s="169" t="s">
        <v>154</v>
      </c>
      <c r="I80" s="177" t="s">
        <v>138</v>
      </c>
      <c r="J80" s="169"/>
      <c r="K80" s="169"/>
      <c r="L80" s="169"/>
      <c r="M80" s="165"/>
      <c r="N80" s="165"/>
      <c r="O80" s="2"/>
      <c r="P80" s="2"/>
      <c r="Q80" s="2"/>
      <c r="R80" s="166">
        <v>46734</v>
      </c>
      <c r="S80" s="7"/>
      <c r="T80" s="166"/>
      <c r="U80" s="166"/>
      <c r="V80" s="166"/>
      <c r="W80" s="176">
        <v>58081208.090000004</v>
      </c>
      <c r="X80" s="5" t="s">
        <v>25</v>
      </c>
      <c r="Y80" s="2" t="s">
        <v>26</v>
      </c>
      <c r="Z80" s="5">
        <v>5</v>
      </c>
      <c r="AA80" s="5" t="s">
        <v>31</v>
      </c>
      <c r="AB80" s="5"/>
      <c r="AC80" s="5"/>
      <c r="AD80" s="5"/>
      <c r="AE80" s="5"/>
      <c r="AF80" s="168">
        <v>152175.81</v>
      </c>
      <c r="AG80" s="164"/>
    </row>
    <row r="81" spans="2:33">
      <c r="B81" s="129"/>
      <c r="C81" s="4">
        <v>45291</v>
      </c>
      <c r="D81" s="163" t="s">
        <v>22</v>
      </c>
      <c r="E81" s="5">
        <v>1101</v>
      </c>
      <c r="F81" s="5">
        <v>156</v>
      </c>
      <c r="G81" s="160" t="s">
        <v>137</v>
      </c>
      <c r="H81" s="169" t="s">
        <v>154</v>
      </c>
      <c r="I81" s="177" t="s">
        <v>138</v>
      </c>
      <c r="J81" s="169"/>
      <c r="K81" s="169"/>
      <c r="L81" s="169"/>
      <c r="M81" s="165"/>
      <c r="N81" s="165"/>
      <c r="O81" s="2"/>
      <c r="P81" s="2"/>
      <c r="Q81" s="2"/>
      <c r="R81" s="166">
        <v>45656</v>
      </c>
      <c r="S81" s="7"/>
      <c r="T81" s="166"/>
      <c r="U81" s="166"/>
      <c r="V81" s="166"/>
      <c r="W81" s="176">
        <v>19225500</v>
      </c>
      <c r="X81" s="5" t="s">
        <v>25</v>
      </c>
      <c r="Y81" s="2" t="s">
        <v>26</v>
      </c>
      <c r="Z81" s="5">
        <v>5</v>
      </c>
      <c r="AA81" s="5" t="s">
        <v>27</v>
      </c>
      <c r="AB81" s="5"/>
      <c r="AC81" s="5"/>
      <c r="AD81" s="5"/>
      <c r="AE81" s="5"/>
      <c r="AF81" s="168">
        <v>29675.65</v>
      </c>
      <c r="AG81" s="164"/>
    </row>
    <row r="82" spans="2:33">
      <c r="B82" s="129"/>
      <c r="C82" s="4">
        <v>45291</v>
      </c>
      <c r="D82" s="163" t="s">
        <v>38</v>
      </c>
      <c r="E82" s="5">
        <v>1102</v>
      </c>
      <c r="F82" s="5">
        <v>157</v>
      </c>
      <c r="G82" s="160" t="s">
        <v>139</v>
      </c>
      <c r="H82" s="169" t="s">
        <v>154</v>
      </c>
      <c r="I82" s="177" t="s">
        <v>140</v>
      </c>
      <c r="J82" s="169"/>
      <c r="K82" s="169"/>
      <c r="L82" s="169"/>
      <c r="M82" s="165"/>
      <c r="N82" s="165"/>
      <c r="O82" s="2"/>
      <c r="P82" s="2"/>
      <c r="Q82" s="2"/>
      <c r="R82" s="166">
        <v>45656</v>
      </c>
      <c r="S82" s="7"/>
      <c r="T82" s="166"/>
      <c r="U82" s="166"/>
      <c r="V82" s="166"/>
      <c r="W82" s="176">
        <v>25634000</v>
      </c>
      <c r="X82" s="5" t="s">
        <v>25</v>
      </c>
      <c r="Y82" s="2" t="s">
        <v>26</v>
      </c>
      <c r="Z82" s="5">
        <v>5</v>
      </c>
      <c r="AA82" s="5" t="s">
        <v>27</v>
      </c>
      <c r="AB82" s="5"/>
      <c r="AC82" s="5"/>
      <c r="AD82" s="5"/>
      <c r="AE82" s="5"/>
      <c r="AF82" s="168">
        <v>3452.32</v>
      </c>
      <c r="AG82" s="164"/>
    </row>
    <row r="83" spans="2:33">
      <c r="B83" s="129"/>
      <c r="C83" s="4">
        <v>45291</v>
      </c>
      <c r="D83" s="163" t="s">
        <v>38</v>
      </c>
      <c r="E83" s="5">
        <v>1102</v>
      </c>
      <c r="F83" s="5">
        <v>158</v>
      </c>
      <c r="G83" s="160" t="s">
        <v>139</v>
      </c>
      <c r="H83" s="169" t="s">
        <v>154</v>
      </c>
      <c r="I83" s="177" t="s">
        <v>140</v>
      </c>
      <c r="J83" s="169"/>
      <c r="K83" s="169"/>
      <c r="L83" s="169"/>
      <c r="M83" s="165"/>
      <c r="N83" s="165"/>
      <c r="O83" s="2"/>
      <c r="P83" s="2"/>
      <c r="Q83" s="2"/>
      <c r="R83" s="166">
        <v>45679</v>
      </c>
      <c r="S83" s="7"/>
      <c r="T83" s="166"/>
      <c r="U83" s="166"/>
      <c r="V83" s="166"/>
      <c r="W83" s="176">
        <v>41014400</v>
      </c>
      <c r="X83" s="5" t="s">
        <v>25</v>
      </c>
      <c r="Y83" s="2" t="s">
        <v>26</v>
      </c>
      <c r="Z83" s="5">
        <v>5</v>
      </c>
      <c r="AA83" s="5" t="s">
        <v>31</v>
      </c>
      <c r="AB83" s="5"/>
      <c r="AC83" s="5"/>
      <c r="AD83" s="5"/>
      <c r="AE83" s="5"/>
      <c r="AF83" s="168">
        <v>-18528.28</v>
      </c>
      <c r="AG83" s="164"/>
    </row>
    <row r="84" spans="2:33">
      <c r="B84" s="129"/>
      <c r="C84" s="4">
        <v>45291</v>
      </c>
      <c r="D84" s="163" t="s">
        <v>38</v>
      </c>
      <c r="E84" s="5">
        <v>1102</v>
      </c>
      <c r="F84" s="5">
        <v>159</v>
      </c>
      <c r="G84" s="2" t="s">
        <v>141</v>
      </c>
      <c r="H84" s="169" t="s">
        <v>154</v>
      </c>
      <c r="I84" s="177" t="s">
        <v>142</v>
      </c>
      <c r="J84" s="169"/>
      <c r="K84" s="169"/>
      <c r="L84" s="169"/>
      <c r="M84" s="165"/>
      <c r="N84" s="165"/>
      <c r="O84" s="2"/>
      <c r="P84" s="2"/>
      <c r="Q84" s="2"/>
      <c r="R84" s="166">
        <v>47064</v>
      </c>
      <c r="S84" s="7"/>
      <c r="T84" s="166"/>
      <c r="U84" s="166"/>
      <c r="V84" s="166"/>
      <c r="W84" s="176">
        <v>128170000</v>
      </c>
      <c r="X84" s="5" t="s">
        <v>25</v>
      </c>
      <c r="Y84" s="2" t="s">
        <v>26</v>
      </c>
      <c r="Z84" s="5">
        <v>10</v>
      </c>
      <c r="AA84" s="5" t="s">
        <v>27</v>
      </c>
      <c r="AB84" s="5"/>
      <c r="AC84" s="5"/>
      <c r="AD84" s="5"/>
      <c r="AE84" s="5"/>
      <c r="AF84" s="168">
        <v>-56974.1</v>
      </c>
      <c r="AG84" s="164"/>
    </row>
    <row r="85" spans="2:33">
      <c r="B85" s="129"/>
      <c r="C85" s="4">
        <v>45291</v>
      </c>
      <c r="D85" s="163" t="s">
        <v>38</v>
      </c>
      <c r="E85" s="5">
        <v>1102</v>
      </c>
      <c r="F85" s="5">
        <v>160</v>
      </c>
      <c r="G85" s="2" t="s">
        <v>141</v>
      </c>
      <c r="H85" s="169" t="s">
        <v>154</v>
      </c>
      <c r="I85" s="177" t="s">
        <v>142</v>
      </c>
      <c r="J85" s="169"/>
      <c r="K85" s="169"/>
      <c r="L85" s="169"/>
      <c r="M85" s="165"/>
      <c r="N85" s="165"/>
      <c r="O85" s="2"/>
      <c r="P85" s="2"/>
      <c r="Q85" s="2"/>
      <c r="R85" s="166">
        <v>47263</v>
      </c>
      <c r="S85" s="7"/>
      <c r="T85" s="166"/>
      <c r="U85" s="166"/>
      <c r="V85" s="166"/>
      <c r="W85" s="176">
        <v>21788900</v>
      </c>
      <c r="X85" s="5" t="s">
        <v>25</v>
      </c>
      <c r="Y85" s="2" t="s">
        <v>26</v>
      </c>
      <c r="Z85" s="5">
        <v>10</v>
      </c>
      <c r="AA85" s="5" t="s">
        <v>31</v>
      </c>
      <c r="AB85" s="5"/>
      <c r="AC85" s="5"/>
      <c r="AD85" s="5"/>
      <c r="AE85" s="5"/>
      <c r="AF85" s="168">
        <v>13442.1</v>
      </c>
      <c r="AG85" s="164"/>
    </row>
    <row r="86" spans="2:33">
      <c r="B86" s="129"/>
      <c r="C86" s="4">
        <v>45291</v>
      </c>
      <c r="D86" s="163" t="s">
        <v>38</v>
      </c>
      <c r="E86" s="5">
        <v>1102</v>
      </c>
      <c r="F86" s="5">
        <v>161</v>
      </c>
      <c r="G86" s="2" t="s">
        <v>143</v>
      </c>
      <c r="H86" s="169" t="s">
        <v>154</v>
      </c>
      <c r="I86" s="177" t="s">
        <v>135</v>
      </c>
      <c r="J86" s="169"/>
      <c r="K86" s="169"/>
      <c r="L86" s="169"/>
      <c r="M86" s="165"/>
      <c r="N86" s="165"/>
      <c r="O86" s="2"/>
      <c r="P86" s="2"/>
      <c r="Q86" s="2"/>
      <c r="R86" s="166">
        <v>47260</v>
      </c>
      <c r="S86" s="7"/>
      <c r="T86" s="166"/>
      <c r="U86" s="166"/>
      <c r="V86" s="166"/>
      <c r="W86" s="176">
        <v>233269400</v>
      </c>
      <c r="X86" s="5" t="s">
        <v>25</v>
      </c>
      <c r="Y86" s="2" t="s">
        <v>26</v>
      </c>
      <c r="Z86" s="5">
        <v>10</v>
      </c>
      <c r="AA86" s="5" t="s">
        <v>27</v>
      </c>
      <c r="AB86" s="5"/>
      <c r="AC86" s="5"/>
      <c r="AD86" s="5"/>
      <c r="AE86" s="5"/>
      <c r="AF86" s="168">
        <v>43757.84</v>
      </c>
      <c r="AG86" s="164"/>
    </row>
    <row r="87" spans="2:33">
      <c r="B87" s="129"/>
      <c r="C87" s="4">
        <v>45291</v>
      </c>
      <c r="D87" s="163" t="s">
        <v>38</v>
      </c>
      <c r="E87" s="5">
        <v>1102</v>
      </c>
      <c r="F87" s="5">
        <v>162</v>
      </c>
      <c r="G87" s="2" t="s">
        <v>144</v>
      </c>
      <c r="H87" s="169" t="s">
        <v>154</v>
      </c>
      <c r="I87" s="177" t="s">
        <v>145</v>
      </c>
      <c r="J87" s="169"/>
      <c r="K87" s="169"/>
      <c r="L87" s="169"/>
      <c r="M87" s="165"/>
      <c r="N87" s="165"/>
      <c r="O87" s="2"/>
      <c r="P87" s="2"/>
      <c r="Q87" s="2"/>
      <c r="R87" s="166">
        <v>46191</v>
      </c>
      <c r="S87" s="7"/>
      <c r="T87" s="166"/>
      <c r="U87" s="166"/>
      <c r="V87" s="166"/>
      <c r="W87" s="176">
        <v>32042500</v>
      </c>
      <c r="X87" s="5" t="s">
        <v>25</v>
      </c>
      <c r="Y87" s="2" t="s">
        <v>26</v>
      </c>
      <c r="Z87" s="5">
        <v>10</v>
      </c>
      <c r="AA87" s="5" t="s">
        <v>31</v>
      </c>
      <c r="AB87" s="5"/>
      <c r="AC87" s="5"/>
      <c r="AD87" s="5"/>
      <c r="AE87" s="5"/>
      <c r="AF87" s="168">
        <v>-18265.05</v>
      </c>
      <c r="AG87" s="164"/>
    </row>
    <row r="88" spans="2:33">
      <c r="B88" s="129"/>
      <c r="C88" s="4">
        <v>45291</v>
      </c>
      <c r="D88" s="5" t="s">
        <v>40</v>
      </c>
      <c r="E88" s="5">
        <v>1103</v>
      </c>
      <c r="F88" s="5">
        <v>163</v>
      </c>
      <c r="G88" s="2" t="s">
        <v>143</v>
      </c>
      <c r="H88" s="169" t="s">
        <v>154</v>
      </c>
      <c r="I88" s="177" t="s">
        <v>145</v>
      </c>
      <c r="J88" s="169"/>
      <c r="K88" s="169"/>
      <c r="L88" s="169"/>
      <c r="M88" s="165"/>
      <c r="N88" s="165"/>
      <c r="O88" s="2"/>
      <c r="P88" s="2"/>
      <c r="Q88" s="2"/>
      <c r="R88" s="166">
        <v>45235</v>
      </c>
      <c r="S88" s="7"/>
      <c r="T88" s="166"/>
      <c r="U88" s="166"/>
      <c r="V88" s="166"/>
      <c r="W88" s="176">
        <v>79465400</v>
      </c>
      <c r="X88" s="5" t="s">
        <v>41</v>
      </c>
      <c r="Y88" s="2" t="s">
        <v>26</v>
      </c>
      <c r="Z88" s="5" t="s">
        <v>42</v>
      </c>
      <c r="AA88" s="5" t="s">
        <v>31</v>
      </c>
      <c r="AB88" s="5"/>
      <c r="AC88" s="5"/>
      <c r="AD88" s="5"/>
      <c r="AE88" s="5"/>
      <c r="AF88" s="168">
        <v>-44895.59</v>
      </c>
      <c r="AG88" s="164"/>
    </row>
    <row r="89" spans="2:33" ht="15" thickBot="1">
      <c r="B89" s="129"/>
      <c r="C89" s="9">
        <v>45291</v>
      </c>
      <c r="D89" s="10" t="s">
        <v>40</v>
      </c>
      <c r="E89" s="10">
        <v>1103</v>
      </c>
      <c r="F89" s="10">
        <v>164</v>
      </c>
      <c r="G89" s="11" t="s">
        <v>144</v>
      </c>
      <c r="H89" s="170" t="s">
        <v>154</v>
      </c>
      <c r="I89" s="175" t="s">
        <v>135</v>
      </c>
      <c r="J89" s="170"/>
      <c r="K89" s="170"/>
      <c r="L89" s="170"/>
      <c r="M89" s="171"/>
      <c r="N89" s="171"/>
      <c r="O89" s="11"/>
      <c r="P89" s="11"/>
      <c r="Q89" s="11"/>
      <c r="R89" s="172">
        <v>45242</v>
      </c>
      <c r="S89" s="13"/>
      <c r="T89" s="172"/>
      <c r="U89" s="172"/>
      <c r="V89" s="172"/>
      <c r="W89" s="178">
        <v>215325600</v>
      </c>
      <c r="X89" s="10" t="s">
        <v>41</v>
      </c>
      <c r="Y89" s="11" t="s">
        <v>26</v>
      </c>
      <c r="Z89" s="10" t="s">
        <v>42</v>
      </c>
      <c r="AA89" s="10" t="s">
        <v>31</v>
      </c>
      <c r="AB89" s="10"/>
      <c r="AC89" s="10"/>
      <c r="AD89" s="10"/>
      <c r="AE89" s="10"/>
      <c r="AF89" s="173">
        <v>-114854.33</v>
      </c>
      <c r="AG89" s="164"/>
    </row>
    <row r="90" spans="2:33">
      <c r="B90" s="129"/>
      <c r="C90" s="4"/>
      <c r="D90" s="5"/>
      <c r="E90" s="5"/>
      <c r="F90" s="5"/>
      <c r="G90" s="169"/>
      <c r="H90" s="169"/>
      <c r="I90" s="169"/>
      <c r="J90" s="169"/>
      <c r="K90" s="169"/>
      <c r="L90" s="169"/>
      <c r="M90" s="165"/>
      <c r="N90" s="165"/>
      <c r="O90" s="2"/>
      <c r="P90" s="2"/>
      <c r="Q90" s="2"/>
      <c r="R90" s="166"/>
      <c r="S90" s="7"/>
      <c r="T90" s="166"/>
      <c r="U90" s="166"/>
      <c r="V90" s="166"/>
      <c r="W90" s="167"/>
      <c r="X90" s="2"/>
      <c r="Y90" s="2"/>
      <c r="Z90" s="179"/>
      <c r="AA90" s="5"/>
      <c r="AB90" s="5"/>
      <c r="AC90" s="5"/>
      <c r="AD90" s="5"/>
      <c r="AE90" s="5"/>
      <c r="AF90" s="168"/>
      <c r="AG90" s="164"/>
    </row>
    <row r="91" spans="2:33">
      <c r="B91" s="129"/>
      <c r="C91" s="4"/>
      <c r="D91" s="5"/>
      <c r="E91" s="5"/>
      <c r="F91" s="5"/>
      <c r="G91" s="169"/>
      <c r="H91" s="169"/>
      <c r="I91" s="169"/>
      <c r="J91" s="169"/>
      <c r="K91" s="169"/>
      <c r="L91" s="169"/>
      <c r="M91" s="165"/>
      <c r="N91" s="165"/>
      <c r="O91" s="2"/>
      <c r="P91" s="2"/>
      <c r="Q91" s="2"/>
      <c r="R91" s="166"/>
      <c r="S91" s="7"/>
      <c r="T91" s="166"/>
      <c r="U91" s="166"/>
      <c r="V91" s="166"/>
      <c r="W91" s="167"/>
      <c r="X91" s="2"/>
      <c r="Y91" s="2"/>
      <c r="Z91" s="179"/>
      <c r="AA91" s="5"/>
      <c r="AB91" s="5"/>
      <c r="AC91" s="5"/>
      <c r="AD91" s="5"/>
      <c r="AE91" s="5"/>
      <c r="AF91" s="168"/>
      <c r="AG91" s="164"/>
    </row>
    <row r="92" spans="2:33">
      <c r="B92" s="129"/>
      <c r="C92" s="4"/>
      <c r="D92" s="5"/>
      <c r="E92" s="5"/>
      <c r="F92" s="5"/>
      <c r="G92" s="169"/>
      <c r="H92" s="169"/>
      <c r="I92" s="169"/>
      <c r="J92" s="169"/>
      <c r="K92" s="169"/>
      <c r="L92" s="169"/>
      <c r="M92" s="165"/>
      <c r="N92" s="165"/>
      <c r="O92" s="2"/>
      <c r="P92" s="2"/>
      <c r="Q92" s="2"/>
      <c r="R92" s="166"/>
      <c r="S92" s="7"/>
      <c r="T92" s="166"/>
      <c r="U92" s="166"/>
      <c r="V92" s="166"/>
      <c r="W92" s="167"/>
      <c r="X92" s="2"/>
      <c r="Y92" s="2"/>
      <c r="Z92" s="179"/>
      <c r="AA92" s="5"/>
      <c r="AB92" s="5"/>
      <c r="AC92" s="5"/>
      <c r="AD92" s="5"/>
      <c r="AE92" s="5"/>
      <c r="AF92" s="168"/>
      <c r="AG92" s="164"/>
    </row>
    <row r="93" spans="2:33">
      <c r="B93" s="129"/>
      <c r="C93" s="4"/>
      <c r="D93" s="5"/>
      <c r="E93" s="5"/>
      <c r="F93" s="5"/>
      <c r="G93" s="169"/>
      <c r="H93" s="169"/>
      <c r="I93" s="169"/>
      <c r="J93" s="169"/>
      <c r="K93" s="169"/>
      <c r="L93" s="169"/>
      <c r="M93" s="165"/>
      <c r="N93" s="165"/>
      <c r="O93" s="2"/>
      <c r="P93" s="2"/>
      <c r="Q93" s="2"/>
      <c r="R93" s="166"/>
      <c r="S93" s="7"/>
      <c r="T93" s="166"/>
      <c r="U93" s="166"/>
      <c r="V93" s="166"/>
      <c r="W93" s="167"/>
      <c r="X93" s="2"/>
      <c r="Y93" s="2"/>
      <c r="Z93" s="179"/>
      <c r="AA93" s="5"/>
      <c r="AB93" s="5"/>
      <c r="AC93" s="5"/>
      <c r="AD93" s="5"/>
      <c r="AE93" s="5"/>
      <c r="AF93" s="168"/>
      <c r="AG93" s="164"/>
    </row>
    <row r="94" spans="2:33">
      <c r="B94" s="129"/>
      <c r="C94" s="4"/>
      <c r="D94" s="5"/>
      <c r="E94" s="5"/>
      <c r="F94" s="5"/>
      <c r="G94" s="169"/>
      <c r="H94" s="169"/>
      <c r="I94" s="169"/>
      <c r="J94" s="169"/>
      <c r="K94" s="169"/>
      <c r="L94" s="169"/>
      <c r="M94" s="165"/>
      <c r="N94" s="165"/>
      <c r="O94" s="2"/>
      <c r="P94" s="2"/>
      <c r="Q94" s="2"/>
      <c r="R94" s="166"/>
      <c r="S94" s="7"/>
      <c r="T94" s="166"/>
      <c r="U94" s="166"/>
      <c r="V94" s="166"/>
      <c r="W94" s="167"/>
      <c r="X94" s="2"/>
      <c r="Y94" s="2"/>
      <c r="Z94" s="179"/>
      <c r="AA94" s="5"/>
      <c r="AB94" s="5"/>
      <c r="AC94" s="5"/>
      <c r="AD94" s="5"/>
      <c r="AE94" s="5"/>
      <c r="AF94" s="168"/>
      <c r="AG94" s="164"/>
    </row>
    <row r="95" spans="2:33">
      <c r="B95" s="129"/>
      <c r="C95" s="4"/>
      <c r="D95" s="5"/>
      <c r="E95" s="5"/>
      <c r="F95" s="5"/>
      <c r="G95" s="169"/>
      <c r="H95" s="169"/>
      <c r="I95" s="169"/>
      <c r="J95" s="169"/>
      <c r="K95" s="169"/>
      <c r="L95" s="169"/>
      <c r="M95" s="165"/>
      <c r="N95" s="165"/>
      <c r="O95" s="2"/>
      <c r="P95" s="2"/>
      <c r="Q95" s="2"/>
      <c r="R95" s="166"/>
      <c r="S95" s="7"/>
      <c r="T95" s="166"/>
      <c r="U95" s="166"/>
      <c r="V95" s="166"/>
      <c r="W95" s="167"/>
      <c r="X95" s="2"/>
      <c r="Y95" s="2"/>
      <c r="Z95" s="179"/>
      <c r="AA95" s="5"/>
      <c r="AB95" s="5"/>
      <c r="AC95" s="5"/>
      <c r="AD95" s="5"/>
      <c r="AE95" s="5"/>
      <c r="AF95" s="168"/>
      <c r="AG95" s="164"/>
    </row>
    <row r="96" spans="2:33">
      <c r="B96" s="129"/>
      <c r="C96" s="4"/>
      <c r="D96" s="5"/>
      <c r="E96" s="5"/>
      <c r="F96" s="5"/>
      <c r="G96" s="169"/>
      <c r="H96" s="169"/>
      <c r="I96" s="169"/>
      <c r="J96" s="169"/>
      <c r="K96" s="169"/>
      <c r="L96" s="169"/>
      <c r="M96" s="165"/>
      <c r="N96" s="165"/>
      <c r="O96" s="2"/>
      <c r="P96" s="2"/>
      <c r="Q96" s="2"/>
      <c r="R96" s="166"/>
      <c r="S96" s="7"/>
      <c r="T96" s="166"/>
      <c r="U96" s="166"/>
      <c r="V96" s="166"/>
      <c r="W96" s="167"/>
      <c r="X96" s="2"/>
      <c r="Y96" s="2"/>
      <c r="Z96" s="179"/>
      <c r="AA96" s="5"/>
      <c r="AB96" s="5"/>
      <c r="AC96" s="5"/>
      <c r="AD96" s="5"/>
      <c r="AE96" s="5"/>
      <c r="AF96" s="168"/>
      <c r="AG96" s="164"/>
    </row>
    <row r="97" spans="2:33">
      <c r="B97" s="129"/>
      <c r="C97" s="4"/>
      <c r="D97" s="5"/>
      <c r="E97" s="5"/>
      <c r="F97" s="5"/>
      <c r="G97" s="169"/>
      <c r="H97" s="169"/>
      <c r="I97" s="169"/>
      <c r="J97" s="169"/>
      <c r="K97" s="169"/>
      <c r="L97" s="169"/>
      <c r="M97" s="165"/>
      <c r="N97" s="165"/>
      <c r="O97" s="2"/>
      <c r="P97" s="2"/>
      <c r="Q97" s="2"/>
      <c r="R97" s="166"/>
      <c r="S97" s="7"/>
      <c r="T97" s="166"/>
      <c r="U97" s="166"/>
      <c r="V97" s="166"/>
      <c r="W97" s="167"/>
      <c r="X97" s="2"/>
      <c r="Y97" s="2"/>
      <c r="Z97" s="179"/>
      <c r="AA97" s="5"/>
      <c r="AB97" s="5"/>
      <c r="AC97" s="5"/>
      <c r="AD97" s="5"/>
      <c r="AE97" s="5"/>
      <c r="AF97" s="168"/>
      <c r="AG97" s="164"/>
    </row>
    <row r="98" spans="2:33">
      <c r="B98" s="129"/>
      <c r="C98" s="4"/>
      <c r="D98" s="5"/>
      <c r="E98" s="5"/>
      <c r="F98" s="5"/>
      <c r="G98" s="169"/>
      <c r="H98" s="169"/>
      <c r="I98" s="169"/>
      <c r="J98" s="169"/>
      <c r="K98" s="169"/>
      <c r="L98" s="169"/>
      <c r="M98" s="165"/>
      <c r="N98" s="165"/>
      <c r="O98" s="2"/>
      <c r="P98" s="2"/>
      <c r="Q98" s="2"/>
      <c r="R98" s="166"/>
      <c r="S98" s="7"/>
      <c r="T98" s="166"/>
      <c r="U98" s="166"/>
      <c r="V98" s="166"/>
      <c r="W98" s="167"/>
      <c r="X98" s="2"/>
      <c r="Y98" s="2"/>
      <c r="Z98" s="179"/>
      <c r="AA98" s="5"/>
      <c r="AB98" s="5"/>
      <c r="AC98" s="5"/>
      <c r="AD98" s="5"/>
      <c r="AE98" s="5"/>
      <c r="AF98" s="168"/>
      <c r="AG98" s="164"/>
    </row>
    <row r="99" spans="2:33">
      <c r="B99" s="129"/>
      <c r="C99" s="4"/>
      <c r="D99" s="5"/>
      <c r="E99" s="5"/>
      <c r="F99" s="5"/>
      <c r="G99" s="169"/>
      <c r="H99" s="169"/>
      <c r="I99" s="169"/>
      <c r="J99" s="169"/>
      <c r="K99" s="169"/>
      <c r="L99" s="169"/>
      <c r="M99" s="165"/>
      <c r="N99" s="165"/>
      <c r="O99" s="2"/>
      <c r="P99" s="2"/>
      <c r="Q99" s="2"/>
      <c r="R99" s="166"/>
      <c r="S99" s="7"/>
      <c r="T99" s="166"/>
      <c r="U99" s="166"/>
      <c r="V99" s="166"/>
      <c r="W99" s="167"/>
      <c r="X99" s="2"/>
      <c r="Y99" s="2"/>
      <c r="Z99" s="179"/>
      <c r="AA99" s="5"/>
      <c r="AB99" s="5"/>
      <c r="AC99" s="5"/>
      <c r="AD99" s="5"/>
      <c r="AE99" s="5"/>
      <c r="AF99" s="168"/>
      <c r="AG99" s="164"/>
    </row>
    <row r="100" spans="2:33">
      <c r="B100" s="129"/>
      <c r="C100" s="4"/>
      <c r="D100" s="5"/>
      <c r="E100" s="5"/>
      <c r="F100" s="5"/>
      <c r="G100" s="169"/>
      <c r="H100" s="169"/>
      <c r="I100" s="169"/>
      <c r="J100" s="169"/>
      <c r="K100" s="169"/>
      <c r="L100" s="169"/>
      <c r="M100" s="165"/>
      <c r="N100" s="165"/>
      <c r="O100" s="2"/>
      <c r="P100" s="2"/>
      <c r="Q100" s="2"/>
      <c r="R100" s="166"/>
      <c r="S100" s="7"/>
      <c r="T100" s="166"/>
      <c r="U100" s="166"/>
      <c r="V100" s="166"/>
      <c r="W100" s="167"/>
      <c r="X100" s="2"/>
      <c r="Y100" s="2"/>
      <c r="Z100" s="179"/>
      <c r="AA100" s="5"/>
      <c r="AB100" s="5"/>
      <c r="AC100" s="5"/>
      <c r="AD100" s="5"/>
      <c r="AE100" s="5"/>
      <c r="AF100" s="168"/>
      <c r="AG100" s="164"/>
    </row>
    <row r="101" spans="2:33">
      <c r="B101" s="129"/>
      <c r="C101" s="4"/>
      <c r="D101" s="5"/>
      <c r="E101" s="5"/>
      <c r="F101" s="5"/>
      <c r="G101" s="169"/>
      <c r="H101" s="169"/>
      <c r="I101" s="169"/>
      <c r="J101" s="169"/>
      <c r="K101" s="169"/>
      <c r="L101" s="169"/>
      <c r="M101" s="165"/>
      <c r="N101" s="165"/>
      <c r="O101" s="2"/>
      <c r="P101" s="2"/>
      <c r="Q101" s="2"/>
      <c r="R101" s="166"/>
      <c r="S101" s="7"/>
      <c r="T101" s="166"/>
      <c r="U101" s="166"/>
      <c r="V101" s="166"/>
      <c r="W101" s="167"/>
      <c r="X101" s="2"/>
      <c r="Y101" s="2"/>
      <c r="Z101" s="179"/>
      <c r="AA101" s="5"/>
      <c r="AB101" s="5"/>
      <c r="AC101" s="5"/>
      <c r="AD101" s="5"/>
      <c r="AE101" s="5"/>
      <c r="AF101" s="168"/>
      <c r="AG101" s="164"/>
    </row>
    <row r="102" spans="2:33">
      <c r="B102" s="129"/>
      <c r="C102" s="4"/>
      <c r="D102" s="5"/>
      <c r="E102" s="5"/>
      <c r="F102" s="5"/>
      <c r="G102" s="169"/>
      <c r="H102" s="169"/>
      <c r="I102" s="169"/>
      <c r="J102" s="169"/>
      <c r="K102" s="169"/>
      <c r="L102" s="169"/>
      <c r="M102" s="165"/>
      <c r="N102" s="165"/>
      <c r="O102" s="2"/>
      <c r="P102" s="2"/>
      <c r="Q102" s="2"/>
      <c r="R102" s="166"/>
      <c r="S102" s="7"/>
      <c r="T102" s="166"/>
      <c r="U102" s="166"/>
      <c r="V102" s="166"/>
      <c r="W102" s="167"/>
      <c r="X102" s="2"/>
      <c r="Y102" s="2"/>
      <c r="Z102" s="179"/>
      <c r="AA102" s="5"/>
      <c r="AB102" s="5"/>
      <c r="AC102" s="5"/>
      <c r="AD102" s="5"/>
      <c r="AE102" s="5"/>
      <c r="AF102" s="168"/>
      <c r="AG102" s="164"/>
    </row>
    <row r="103" spans="2:33">
      <c r="B103" s="129"/>
      <c r="C103" s="4"/>
      <c r="D103" s="5"/>
      <c r="E103" s="5"/>
      <c r="F103" s="5"/>
      <c r="G103" s="169"/>
      <c r="H103" s="169"/>
      <c r="I103" s="169"/>
      <c r="J103" s="169"/>
      <c r="K103" s="169"/>
      <c r="L103" s="169"/>
      <c r="M103" s="165"/>
      <c r="N103" s="165"/>
      <c r="O103" s="2"/>
      <c r="P103" s="2"/>
      <c r="Q103" s="2"/>
      <c r="R103" s="166"/>
      <c r="S103" s="7"/>
      <c r="T103" s="166"/>
      <c r="U103" s="166"/>
      <c r="V103" s="166"/>
      <c r="W103" s="167"/>
      <c r="X103" s="2"/>
      <c r="Y103" s="2"/>
      <c r="Z103" s="179"/>
      <c r="AA103" s="5"/>
      <c r="AB103" s="5"/>
      <c r="AC103" s="5"/>
      <c r="AD103" s="5"/>
      <c r="AE103" s="5"/>
      <c r="AF103" s="168"/>
      <c r="AG103" s="164"/>
    </row>
    <row r="104" spans="2:33">
      <c r="B104" s="129"/>
      <c r="C104" s="4"/>
      <c r="D104" s="5"/>
      <c r="E104" s="5"/>
      <c r="F104" s="5"/>
      <c r="G104" s="169"/>
      <c r="H104" s="169"/>
      <c r="I104" s="169"/>
      <c r="J104" s="169"/>
      <c r="K104" s="169"/>
      <c r="L104" s="169"/>
      <c r="M104" s="165"/>
      <c r="N104" s="165"/>
      <c r="O104" s="2"/>
      <c r="P104" s="2"/>
      <c r="Q104" s="2"/>
      <c r="R104" s="166"/>
      <c r="S104" s="7"/>
      <c r="T104" s="166"/>
      <c r="U104" s="166"/>
      <c r="V104" s="166"/>
      <c r="W104" s="167"/>
      <c r="X104" s="2"/>
      <c r="Y104" s="2"/>
      <c r="Z104" s="179"/>
      <c r="AA104" s="5"/>
      <c r="AB104" s="5"/>
      <c r="AC104" s="5"/>
      <c r="AD104" s="5"/>
      <c r="AE104" s="5"/>
      <c r="AF104" s="168"/>
      <c r="AG104" s="164"/>
    </row>
    <row r="105" spans="2:33">
      <c r="B105" s="129"/>
      <c r="C105" s="4"/>
      <c r="D105" s="5"/>
      <c r="E105" s="5"/>
      <c r="F105" s="5"/>
      <c r="G105" s="169"/>
      <c r="H105" s="169"/>
      <c r="I105" s="169"/>
      <c r="J105" s="169"/>
      <c r="K105" s="169"/>
      <c r="L105" s="169"/>
      <c r="M105" s="165"/>
      <c r="N105" s="165"/>
      <c r="O105" s="2"/>
      <c r="P105" s="2"/>
      <c r="Q105" s="2"/>
      <c r="R105" s="166"/>
      <c r="S105" s="7"/>
      <c r="T105" s="166"/>
      <c r="U105" s="166"/>
      <c r="V105" s="166"/>
      <c r="W105" s="167"/>
      <c r="X105" s="2"/>
      <c r="Y105" s="2"/>
      <c r="Z105" s="179"/>
      <c r="AA105" s="5"/>
      <c r="AB105" s="5"/>
      <c r="AC105" s="5"/>
      <c r="AD105" s="5"/>
      <c r="AE105" s="5"/>
      <c r="AF105" s="168"/>
      <c r="AG105" s="164"/>
    </row>
    <row r="106" spans="2:33">
      <c r="B106" s="129"/>
      <c r="C106" s="4"/>
      <c r="D106" s="5"/>
      <c r="E106" s="5"/>
      <c r="F106" s="5"/>
      <c r="G106" s="169"/>
      <c r="H106" s="169"/>
      <c r="I106" s="169"/>
      <c r="J106" s="169"/>
      <c r="K106" s="169"/>
      <c r="L106" s="169"/>
      <c r="M106" s="165"/>
      <c r="N106" s="165"/>
      <c r="O106" s="2"/>
      <c r="P106" s="2"/>
      <c r="Q106" s="2"/>
      <c r="R106" s="166"/>
      <c r="S106" s="7"/>
      <c r="T106" s="166"/>
      <c r="U106" s="166"/>
      <c r="V106" s="166"/>
      <c r="W106" s="167"/>
      <c r="X106" s="2"/>
      <c r="Y106" s="2"/>
      <c r="Z106" s="179"/>
      <c r="AA106" s="5"/>
      <c r="AB106" s="5"/>
      <c r="AC106" s="5"/>
      <c r="AD106" s="5"/>
      <c r="AE106" s="5"/>
      <c r="AF106" s="168"/>
      <c r="AG106" s="164"/>
    </row>
    <row r="107" spans="2:33">
      <c r="B107" s="129"/>
      <c r="C107" s="4"/>
      <c r="D107" s="5"/>
      <c r="E107" s="5"/>
      <c r="F107" s="5"/>
      <c r="G107" s="169"/>
      <c r="H107" s="169"/>
      <c r="I107" s="169"/>
      <c r="J107" s="169"/>
      <c r="K107" s="169"/>
      <c r="L107" s="169"/>
      <c r="M107" s="165"/>
      <c r="N107" s="165"/>
      <c r="O107" s="2"/>
      <c r="P107" s="2"/>
      <c r="Q107" s="2"/>
      <c r="R107" s="166"/>
      <c r="S107" s="7"/>
      <c r="T107" s="166"/>
      <c r="U107" s="166"/>
      <c r="V107" s="166"/>
      <c r="W107" s="167"/>
      <c r="X107" s="2"/>
      <c r="Y107" s="2"/>
      <c r="Z107" s="179"/>
      <c r="AA107" s="5"/>
      <c r="AB107" s="5"/>
      <c r="AC107" s="5"/>
      <c r="AD107" s="5"/>
      <c r="AE107" s="5"/>
      <c r="AF107" s="168"/>
      <c r="AG107" s="164"/>
    </row>
    <row r="108" spans="2:33">
      <c r="B108" s="129"/>
      <c r="C108" s="4"/>
      <c r="D108" s="5"/>
      <c r="E108" s="5"/>
      <c r="F108" s="5"/>
      <c r="G108" s="169"/>
      <c r="H108" s="169"/>
      <c r="I108" s="169"/>
      <c r="J108" s="169"/>
      <c r="K108" s="169"/>
      <c r="L108" s="169"/>
      <c r="M108" s="165"/>
      <c r="N108" s="165"/>
      <c r="O108" s="2"/>
      <c r="P108" s="2"/>
      <c r="Q108" s="2"/>
      <c r="R108" s="166"/>
      <c r="S108" s="7"/>
      <c r="T108" s="166"/>
      <c r="U108" s="166"/>
      <c r="V108" s="166"/>
      <c r="W108" s="167"/>
      <c r="X108" s="2"/>
      <c r="Y108" s="2"/>
      <c r="Z108" s="179"/>
      <c r="AA108" s="5"/>
      <c r="AB108" s="5"/>
      <c r="AC108" s="5"/>
      <c r="AD108" s="5"/>
      <c r="AE108" s="5"/>
      <c r="AF108" s="168"/>
      <c r="AG108" s="164"/>
    </row>
    <row r="109" spans="2:33">
      <c r="B109" s="129"/>
      <c r="C109" s="4"/>
      <c r="D109" s="5"/>
      <c r="E109" s="5"/>
      <c r="F109" s="5"/>
      <c r="G109" s="169"/>
      <c r="H109" s="169"/>
      <c r="I109" s="169"/>
      <c r="J109" s="169"/>
      <c r="K109" s="169"/>
      <c r="L109" s="169"/>
      <c r="M109" s="165"/>
      <c r="N109" s="165"/>
      <c r="O109" s="2"/>
      <c r="P109" s="2"/>
      <c r="Q109" s="2"/>
      <c r="R109" s="166"/>
      <c r="S109" s="7"/>
      <c r="T109" s="166"/>
      <c r="U109" s="166"/>
      <c r="V109" s="166"/>
      <c r="W109" s="167"/>
      <c r="X109" s="2"/>
      <c r="Y109" s="2"/>
      <c r="Z109" s="179"/>
      <c r="AA109" s="5"/>
      <c r="AB109" s="5"/>
      <c r="AC109" s="5"/>
      <c r="AD109" s="5"/>
      <c r="AE109" s="5"/>
      <c r="AF109" s="168"/>
      <c r="AG109" s="164"/>
    </row>
    <row r="110" spans="2:33">
      <c r="B110" s="129"/>
      <c r="C110" s="4"/>
      <c r="D110" s="5"/>
      <c r="E110" s="5"/>
      <c r="F110" s="5"/>
      <c r="G110" s="169"/>
      <c r="H110" s="169"/>
      <c r="I110" s="169"/>
      <c r="J110" s="169"/>
      <c r="K110" s="169"/>
      <c r="L110" s="169"/>
      <c r="M110" s="165"/>
      <c r="N110" s="165"/>
      <c r="O110" s="2"/>
      <c r="P110" s="2"/>
      <c r="Q110" s="2"/>
      <c r="R110" s="166"/>
      <c r="S110" s="7"/>
      <c r="T110" s="166"/>
      <c r="U110" s="166"/>
      <c r="V110" s="166"/>
      <c r="W110" s="167"/>
      <c r="X110" s="2"/>
      <c r="Y110" s="2"/>
      <c r="Z110" s="179"/>
      <c r="AA110" s="5"/>
      <c r="AB110" s="5"/>
      <c r="AC110" s="5"/>
      <c r="AD110" s="5"/>
      <c r="AE110" s="5"/>
      <c r="AF110" s="168"/>
      <c r="AG110" s="164"/>
    </row>
    <row r="111" spans="2:33">
      <c r="B111" s="129"/>
      <c r="C111" s="4"/>
      <c r="D111" s="5"/>
      <c r="E111" s="5"/>
      <c r="F111" s="5"/>
      <c r="G111" s="169"/>
      <c r="H111" s="169"/>
      <c r="I111" s="169"/>
      <c r="J111" s="169"/>
      <c r="K111" s="169"/>
      <c r="L111" s="169"/>
      <c r="M111" s="165"/>
      <c r="N111" s="165"/>
      <c r="O111" s="2"/>
      <c r="P111" s="2"/>
      <c r="Q111" s="2"/>
      <c r="R111" s="166"/>
      <c r="S111" s="7"/>
      <c r="T111" s="166"/>
      <c r="U111" s="166"/>
      <c r="V111" s="166"/>
      <c r="W111" s="167"/>
      <c r="X111" s="2"/>
      <c r="Y111" s="2"/>
      <c r="Z111" s="179"/>
      <c r="AA111" s="5"/>
      <c r="AB111" s="5"/>
      <c r="AC111" s="5"/>
      <c r="AD111" s="5"/>
      <c r="AE111" s="5"/>
      <c r="AF111" s="168"/>
      <c r="AG111" s="164"/>
    </row>
    <row r="112" spans="2:33">
      <c r="B112" s="129"/>
      <c r="C112" s="4"/>
      <c r="D112" s="5"/>
      <c r="E112" s="5"/>
      <c r="F112" s="5"/>
      <c r="G112" s="169"/>
      <c r="H112" s="169"/>
      <c r="I112" s="169"/>
      <c r="J112" s="169"/>
      <c r="K112" s="169"/>
      <c r="L112" s="169"/>
      <c r="M112" s="165"/>
      <c r="N112" s="165"/>
      <c r="O112" s="2"/>
      <c r="P112" s="2"/>
      <c r="Q112" s="2"/>
      <c r="R112" s="166"/>
      <c r="S112" s="7"/>
      <c r="T112" s="166"/>
      <c r="U112" s="166"/>
      <c r="V112" s="166"/>
      <c r="W112" s="167"/>
      <c r="X112" s="2"/>
      <c r="Y112" s="2"/>
      <c r="Z112" s="179"/>
      <c r="AA112" s="5"/>
      <c r="AB112" s="5"/>
      <c r="AC112" s="5"/>
      <c r="AD112" s="5"/>
      <c r="AE112" s="5"/>
      <c r="AF112" s="168"/>
      <c r="AG112" s="164"/>
    </row>
    <row r="113" spans="2:33">
      <c r="B113" s="129"/>
      <c r="C113" s="4"/>
      <c r="D113" s="5"/>
      <c r="E113" s="5"/>
      <c r="F113" s="5"/>
      <c r="G113" s="169"/>
      <c r="H113" s="169"/>
      <c r="I113" s="169"/>
      <c r="J113" s="169"/>
      <c r="K113" s="169"/>
      <c r="L113" s="169"/>
      <c r="M113" s="165"/>
      <c r="N113" s="165"/>
      <c r="O113" s="2"/>
      <c r="P113" s="2"/>
      <c r="Q113" s="2"/>
      <c r="R113" s="166"/>
      <c r="S113" s="7"/>
      <c r="T113" s="166"/>
      <c r="U113" s="166"/>
      <c r="V113" s="166"/>
      <c r="W113" s="167"/>
      <c r="X113" s="2"/>
      <c r="Y113" s="2"/>
      <c r="Z113" s="179"/>
      <c r="AA113" s="5"/>
      <c r="AB113" s="5"/>
      <c r="AC113" s="5"/>
      <c r="AD113" s="5"/>
      <c r="AE113" s="5"/>
      <c r="AF113" s="168"/>
      <c r="AG113" s="164"/>
    </row>
    <row r="114" spans="2:33">
      <c r="B114" s="129"/>
      <c r="C114" s="4"/>
      <c r="D114" s="5"/>
      <c r="E114" s="5"/>
      <c r="F114" s="5"/>
      <c r="G114" s="169"/>
      <c r="H114" s="169"/>
      <c r="I114" s="169"/>
      <c r="J114" s="169"/>
      <c r="K114" s="169"/>
      <c r="L114" s="169"/>
      <c r="M114" s="165"/>
      <c r="N114" s="165"/>
      <c r="O114" s="2"/>
      <c r="P114" s="2"/>
      <c r="Q114" s="2"/>
      <c r="R114" s="166"/>
      <c r="S114" s="7"/>
      <c r="T114" s="166"/>
      <c r="U114" s="166"/>
      <c r="V114" s="166"/>
      <c r="W114" s="167"/>
      <c r="X114" s="2"/>
      <c r="Y114" s="2"/>
      <c r="Z114" s="179"/>
      <c r="AA114" s="5"/>
      <c r="AB114" s="5"/>
      <c r="AC114" s="5"/>
      <c r="AD114" s="5"/>
      <c r="AE114" s="5"/>
      <c r="AF114" s="168"/>
      <c r="AG114" s="164"/>
    </row>
  </sheetData>
  <mergeCells count="1">
    <mergeCell ref="AB8:AE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D1E1-D115-9F46-9DA7-1E2CDDBF2051}">
  <dimension ref="A1:AH63"/>
  <sheetViews>
    <sheetView tabSelected="1" workbookViewId="0">
      <selection activeCell="J11" sqref="J11"/>
    </sheetView>
  </sheetViews>
  <sheetFormatPr baseColWidth="10" defaultRowHeight="13"/>
  <cols>
    <col min="1" max="1" width="14.59765625" bestFit="1" customWidth="1"/>
    <col min="2" max="2" width="16.59765625" bestFit="1" customWidth="1"/>
    <col min="3" max="3" width="38.19921875" bestFit="1" customWidth="1"/>
    <col min="4" max="4" width="18.19921875" bestFit="1" customWidth="1"/>
    <col min="5" max="5" width="35.19921875" bestFit="1" customWidth="1"/>
    <col min="6" max="6" width="15.3984375" bestFit="1" customWidth="1"/>
    <col min="7" max="7" width="13.3984375" bestFit="1" customWidth="1"/>
    <col min="9" max="9" width="15.19921875" customWidth="1"/>
    <col min="10" max="10" width="16" customWidth="1"/>
    <col min="11" max="11" width="15.3984375" bestFit="1" customWidth="1"/>
    <col min="19" max="19" width="15.3984375" bestFit="1" customWidth="1"/>
    <col min="34" max="34" width="21.796875" customWidth="1"/>
  </cols>
  <sheetData>
    <row r="1" spans="1:34">
      <c r="A1" s="183">
        <f>Data_Input!C10</f>
        <v>45291</v>
      </c>
    </row>
    <row r="2" spans="1:34">
      <c r="A2" s="181" t="s">
        <v>146</v>
      </c>
      <c r="B2" t="s">
        <v>151</v>
      </c>
    </row>
    <row r="3" spans="1:34" ht="14" thickBot="1"/>
    <row r="4" spans="1:34" ht="15" thickBot="1">
      <c r="A4" s="181" t="s">
        <v>2</v>
      </c>
      <c r="B4" s="181" t="s">
        <v>3</v>
      </c>
      <c r="C4" s="181" t="s">
        <v>4</v>
      </c>
      <c r="D4" t="s">
        <v>156</v>
      </c>
      <c r="E4" t="s">
        <v>157</v>
      </c>
      <c r="F4" s="78" t="s">
        <v>5</v>
      </c>
      <c r="G4" s="79" t="s">
        <v>6</v>
      </c>
      <c r="H4" s="78" t="s">
        <v>7</v>
      </c>
      <c r="I4" s="78" t="s">
        <v>8</v>
      </c>
      <c r="J4" s="81" t="s">
        <v>52</v>
      </c>
      <c r="K4" s="79" t="s">
        <v>9</v>
      </c>
      <c r="L4" s="82" t="s">
        <v>53</v>
      </c>
      <c r="M4" s="81" t="s">
        <v>54</v>
      </c>
      <c r="N4" s="139" t="s">
        <v>10</v>
      </c>
      <c r="O4" s="140" t="s">
        <v>55</v>
      </c>
      <c r="P4" s="77" t="s">
        <v>11</v>
      </c>
      <c r="Q4" s="140" t="s">
        <v>56</v>
      </c>
      <c r="R4" s="147" t="s">
        <v>57</v>
      </c>
      <c r="S4" s="82" t="s">
        <v>58</v>
      </c>
      <c r="T4" s="79" t="s">
        <v>13</v>
      </c>
      <c r="U4" s="77" t="s">
        <v>14</v>
      </c>
      <c r="V4" s="78" t="s">
        <v>15</v>
      </c>
      <c r="W4" s="140" t="s">
        <v>59</v>
      </c>
      <c r="X4" s="147" t="s">
        <v>60</v>
      </c>
      <c r="Y4" s="79" t="s">
        <v>16</v>
      </c>
      <c r="Z4" s="77" t="s">
        <v>61</v>
      </c>
      <c r="AA4" s="82" t="s">
        <v>62</v>
      </c>
      <c r="AB4" s="77" t="s">
        <v>18</v>
      </c>
      <c r="AC4" s="77" t="s">
        <v>19</v>
      </c>
      <c r="AD4" s="77" t="s">
        <v>20</v>
      </c>
      <c r="AE4" s="140" t="s">
        <v>63</v>
      </c>
      <c r="AF4" s="82" t="s">
        <v>64</v>
      </c>
      <c r="AG4" s="81" t="s">
        <v>65</v>
      </c>
      <c r="AH4" s="82" t="s">
        <v>66</v>
      </c>
    </row>
    <row r="5" spans="1:34">
      <c r="A5" t="s">
        <v>22</v>
      </c>
      <c r="B5">
        <v>1101</v>
      </c>
      <c r="C5">
        <v>101</v>
      </c>
      <c r="D5" s="182">
        <v>413836.21</v>
      </c>
      <c r="E5" s="182">
        <v>100000000</v>
      </c>
      <c r="F5" t="str" cm="1">
        <f t="array" ref="F5">IF(ISBLANK(INDEX(Data_Input!$C$9:$AF$89,MATCH($A5&amp;$B5&amp;$C5&amp;$B$2,Data_Input!$D$9:$D$89&amp;Data_Input!$E$9:$E$89&amp;Data_Input!$F$9:$F$89&amp;Data_Input!$H$9:$H$89,0),MATCH(F$4,Data_Input!$C$9:$AF$9,0))),
"",
INDEX(Data_Input!$C$9:$AF$89,MATCH($A5&amp;$B5&amp;$C5&amp;$B$2,Data_Input!$D$9:$D$89&amp;Data_Input!$E$9:$E$89&amp;Data_Input!$F$9:$F$89&amp;Data_Input!$H$9:$H$89,0),MATCH(F$4,Data_Input!$C$9:$AF$9,0)))</f>
        <v>SWPTN</v>
      </c>
      <c r="G5" t="str" cm="1">
        <f t="array" ref="G5">IF(ISBLANK(INDEX(Data_Input!$C$9:$AF$89,MATCH($A5&amp;$B5&amp;$C5&amp;$B$2,Data_Input!$D$9:$D$89&amp;Data_Input!$E$9:$E$89&amp;Data_Input!$F$9:$F$89&amp;Data_Input!$H$9:$H$89,0),MATCH(G$4,Data_Input!$C$9:$AF$9,0))),
"",
INDEX(Data_Input!$C$9:$AF$89,MATCH($A5&amp;$B5&amp;$C5&amp;$B$2,Data_Input!$D$9:$D$89&amp;Data_Input!$E$9:$E$89&amp;Data_Input!$F$9:$F$89&amp;Data_Input!$H$9:$H$89,0),MATCH(G$4,Data_Input!$C$9:$AF$9,0)))</f>
        <v>USD</v>
      </c>
      <c r="H5" t="str" cm="1">
        <f t="array" ref="H5">IF(ISBLANK(INDEX(Data_Input!$C$9:$AF$89,MATCH($A5&amp;$B5&amp;$C5&amp;$B$2,Data_Input!$D$9:$D$89&amp;Data_Input!$E$9:$E$89&amp;Data_Input!$F$9:$F$89&amp;Data_Input!$H$9:$H$89,0),MATCH(H$4,Data_Input!$C$9:$AF$9,0))),
"",
INDEX(Data_Input!$C$9:$AF$89,MATCH($A5&amp;$B5&amp;$C5&amp;$B$2,Data_Input!$D$9:$D$89&amp;Data_Input!$E$9:$E$89&amp;Data_Input!$F$9:$F$89&amp;Data_Input!$H$9:$H$89,0),MATCH(H$4,Data_Input!$C$9:$AF$9,0)))</f>
        <v/>
      </c>
      <c r="I5" t="str" cm="1">
        <f t="array" ref="I5">IF(ISBLANK(INDEX(Data_Input!$C$9:$AF$89,MATCH($A5&amp;$B5&amp;$C5&amp;$B$2,Data_Input!$D$9:$D$89&amp;Data_Input!$E$9:$E$89&amp;Data_Input!$F$9:$F$89&amp;Data_Input!$H$9:$H$89,0),MATCH(I$4,Data_Input!$C$9:$AF$9,0))),
"",
INDEX(Data_Input!$C$9:$AF$89,MATCH($A5&amp;$B5&amp;$C5&amp;$B$2,Data_Input!$D$9:$D$89&amp;Data_Input!$E$9:$E$89&amp;Data_Input!$F$9:$F$89&amp;Data_Input!$H$9:$H$89,0),MATCH(I$4,Data_Input!$C$9:$AF$9,0)))</f>
        <v/>
      </c>
      <c r="J5" t="str">
        <f t="shared" ref="J5:J20" si="0">G5&amp;IF(H5="Volatility"," [Volatility]",IF(H5="Basis"," ["&amp;I5&amp;"]",""))</f>
        <v>USD</v>
      </c>
      <c r="K5" s="183" cm="1">
        <f t="array" ref="K5">IF(ISBLANK(INDEX(Data_Input!$C$9:$AF$89,MATCH($A5&amp;$B5&amp;$C5&amp;$B$2,Data_Input!$D$9:$D$89&amp;Data_Input!$E$9:$E$89&amp;Data_Input!$F$9:$F$89&amp;Data_Input!$H$9:$H$89,0),MATCH(K$4,Data_Input!$C$9:$AF$9,0))),
"",
INDEX(Data_Input!$C$9:$AF$89,MATCH($A5&amp;$B5&amp;$C5&amp;$B$2,Data_Input!$D$9:$D$89&amp;Data_Input!$E$9:$E$89&amp;Data_Input!$F$9:$F$89&amp;Data_Input!$H$9:$H$89,0),MATCH(K$4,Data_Input!$C$9:$AF$9,0)))</f>
        <v>46714</v>
      </c>
      <c r="L5">
        <f>YEARFRAC($A$1,K5,1)</f>
        <v>3.8964950711938666</v>
      </c>
      <c r="M5" s="186">
        <f>IF(L5&lt;1,1,IF(L5&gt;5,3,2))</f>
        <v>2</v>
      </c>
      <c r="N5" s="183" cm="1">
        <f t="array" ref="N5">IF(ISBLANK(INDEX(Data_Input!$C$9:$AF$89,MATCH($A5&amp;$B5&amp;$C5&amp;$B$2,Data_Input!$D$9:$D$89&amp;Data_Input!$E$9:$E$89&amp;Data_Input!$F$9:$F$89&amp;Data_Input!$H$9:$H$89,0),MATCH(N$4,Data_Input!$C$9:$AF$9,0))),
"",
INDEX(Data_Input!$C$9:$AF$89,MATCH($A5&amp;$B5&amp;$C5&amp;$B$2,Data_Input!$D$9:$D$89&amp;Data_Input!$E$9:$E$89&amp;Data_Input!$F$9:$F$89&amp;Data_Input!$H$9:$H$89,0),MATCH(N$4,Data_Input!$C$9:$AF$9,0)))</f>
        <v>41554</v>
      </c>
      <c r="O5">
        <f>IF(N5&gt;=$A$1,YEARFRAC($A$1,N5,1),0)</f>
        <v>0</v>
      </c>
      <c r="P5" s="183" cm="1">
        <f t="array" ref="P5">IF(ISBLANK(INDEX(Data_Input!$C$9:$AF$89,MATCH($A5&amp;$B5&amp;$C5&amp;$B$2,Data_Input!$D$9:$D$89&amp;Data_Input!$E$9:$E$89&amp;Data_Input!$F$9:$F$89&amp;Data_Input!$H$9:$H$89,0),MATCH(P$4,Data_Input!$C$9:$AF$9,0))),
"",
INDEX(Data_Input!$C$9:$AF$89,MATCH($A5&amp;$B5&amp;$C5&amp;$B$2,Data_Input!$D$9:$D$89&amp;Data_Input!$E$9:$E$89&amp;Data_Input!$F$9:$F$89&amp;Data_Input!$H$9:$H$89,0),MATCH(P$4,Data_Input!$C$9:$AF$9,0)))</f>
        <v>46714</v>
      </c>
      <c r="Q5">
        <f>YEARFRAC($A$1,P5,1)</f>
        <v>3.8964950711938666</v>
      </c>
      <c r="R5">
        <f>MAX((EXP(-0.05*O5)-EXP(-0.05*Q5))/0.05,10/250)</f>
        <v>3.5404226092658231</v>
      </c>
      <c r="S5" s="180">
        <f>R5*E5</f>
        <v>354042260.92658234</v>
      </c>
      <c r="T5" t="str" cm="1">
        <f t="array" ref="T5">IF(ISBLANK(INDEX(Data_Input!$C$9:$AF$89,MATCH($A5&amp;$B5&amp;$C5&amp;$B$2,Data_Input!$D$9:$D$89&amp;Data_Input!$E$9:$E$89&amp;Data_Input!$F$9:$F$89&amp;Data_Input!$H$9:$H$89,0),MATCH(T$4,Data_Input!$C$9:$AF$9,0))),
"",
INDEX(Data_Input!$C$9:$AF$89,MATCH($A5&amp;$B5&amp;$C5&amp;$B$2,Data_Input!$D$9:$D$89&amp;Data_Input!$E$9:$E$89&amp;Data_Input!$F$9:$F$89&amp;Data_Input!$H$9:$H$89,0),MATCH(T$4,Data_Input!$C$9:$AF$9,0)))</f>
        <v>M</v>
      </c>
      <c r="U5" t="str" cm="1">
        <f t="array" ref="U5">IF(ISBLANK(INDEX(Data_Input!$C$9:$AF$89,MATCH($A5&amp;$B5&amp;$C5&amp;$B$2,Data_Input!$D$9:$D$89&amp;Data_Input!$E$9:$E$89&amp;Data_Input!$F$9:$F$89&amp;Data_Input!$H$9:$H$89,0),MATCH(U$4,Data_Input!$C$9:$AF$9,0))),
"",
INDEX(Data_Input!$C$9:$AF$89,MATCH($A5&amp;$B5&amp;$C5&amp;$B$2,Data_Input!$D$9:$D$89&amp;Data_Input!$E$9:$E$89&amp;Data_Input!$F$9:$F$89&amp;Data_Input!$H$9:$H$89,0),MATCH(U$4,Data_Input!$C$9:$AF$9,0)))</f>
        <v>N</v>
      </c>
      <c r="V5" s="184" cm="1">
        <f t="array" ref="V5">IF(ISBLANK(INDEX(Data_Input!$C$9:$AF$89,MATCH($A5&amp;$B5&amp;$C5&amp;$B$2,Data_Input!$D$9:$D$89&amp;Data_Input!$E$9:$E$89&amp;Data_Input!$F$9:$F$89&amp;Data_Input!$H$9:$H$89,0),MATCH(V$4,Data_Input!$C$9:$AF$9,0))),
"",
INDEX(Data_Input!$C$9:$AF$89,MATCH($A5&amp;$B5&amp;$C5&amp;$B$2,Data_Input!$D$9:$D$89&amp;Data_Input!$E$9:$E$89&amp;Data_Input!$F$9:$F$89&amp;Data_Input!$H$9:$H$89,0),MATCH(V$4,Data_Input!$C$9:$AF$9,0)))</f>
        <v>5</v>
      </c>
      <c r="W5">
        <f>IF(T5="M",IF(U5="N",10,5)+V5-1,"NA")</f>
        <v>14</v>
      </c>
      <c r="X5">
        <f>IF(T5="M",(3/2)*SQRT(W5/250),SQRT(MIN(MAX(L5,(10/250)),1)))</f>
        <v>0.354964786985977</v>
      </c>
      <c r="Y5" s="184" t="str" cm="1">
        <f t="array" ref="Y5">IF(ISBLANK(INDEX(Data_Input!$C$9:$AF$89,MATCH($A5&amp;$B5&amp;$C5&amp;$B$2,Data_Input!$D$9:$D$89&amp;Data_Input!$E$9:$E$89&amp;Data_Input!$F$9:$F$89&amp;Data_Input!$H$9:$H$89,0),MATCH(Y$4,Data_Input!$C$9:$AF$9,0))),
"",
INDEX(Data_Input!$C$9:$AF$89,MATCH($A5&amp;$B5&amp;$C5&amp;$B$2,Data_Input!$D$9:$D$89&amp;Data_Input!$E$9:$E$89&amp;Data_Input!$F$9:$F$89&amp;Data_Input!$H$9:$H$89,0),MATCH(Y$4,Data_Input!$C$9:$AF$9,0)))</f>
        <v>B</v>
      </c>
      <c r="Z5" s="185" cm="1">
        <f t="array" ref="Z5">IF(ISBLANK(INDEX(Data_Input!$C$9:$AF$89,MATCH($A5&amp;$B5&amp;$C5&amp;$B$2,Data_Input!$D$9:$D$89&amp;Data_Input!$E$9:$E$89&amp;Data_Input!$F$9:$F$89&amp;Data_Input!$H$9:$H$89,0),MATCH(Z$4,Data_Input!$C$9:$AF$9,0))),
"",
INDEX(Data_Input!$C$9:$AF$89,MATCH($A5&amp;$B5&amp;$C5&amp;$B$2,Data_Input!$D$9:$D$89&amp;Data_Input!$E$9:$E$89&amp;Data_Input!$F$9:$F$89&amp;Data_Input!$H$9:$H$89,0),MATCH(Z$4,Data_Input!$C$9:$AF$9,0)))</f>
        <v>46714</v>
      </c>
      <c r="AA5">
        <f t="shared" ref="AA5:AA10" si="1">IF(Z5="","",YEARFRAC($A$1,Z5,1))</f>
        <v>3.8964950711938666</v>
      </c>
      <c r="AB5" s="184" t="str" cm="1">
        <f t="array" ref="AB5">IF(ISBLANK(INDEX(Data_Input!$C$9:$AF$89,MATCH($A5&amp;$B5&amp;$C5&amp;$B$2,Data_Input!$D$9:$D$89&amp;Data_Input!$E$9:$E$89&amp;Data_Input!$F$9:$F$89&amp;Data_Input!$H$9:$H$89,0),MATCH(AB$4,Data_Input!$C$9:$AF$9,0))),
"",
INDEX(Data_Input!$C$9:$AF$89,MATCH($A5&amp;$B5&amp;$C5&amp;$B$2,Data_Input!$D$9:$D$89&amp;Data_Input!$E$9:$E$89&amp;Data_Input!$F$9:$F$89&amp;Data_Input!$H$9:$H$89,0),MATCH(AB$4,Data_Input!$C$9:$AF$9,0)))</f>
        <v>C</v>
      </c>
      <c r="AC5" s="184" cm="1">
        <f t="array" ref="AC5">IF(ISBLANK(INDEX(Data_Input!$C$9:$AF$89,MATCH($A5&amp;$B5&amp;$C5&amp;$B$2,Data_Input!$D$9:$D$89&amp;Data_Input!$E$9:$E$89&amp;Data_Input!$F$9:$F$89&amp;Data_Input!$H$9:$H$89,0),MATCH(AC$4,Data_Input!$C$9:$AF$9,0))),
"",
INDEX(Data_Input!$C$9:$AF$89,MATCH($A5&amp;$B5&amp;$C5&amp;$B$2,Data_Input!$D$9:$D$89&amp;Data_Input!$E$9:$E$89&amp;Data_Input!$F$9:$F$89&amp;Data_Input!$H$9:$H$89,0),MATCH(AC$4,Data_Input!$C$9:$AF$9,0)))</f>
        <v>105</v>
      </c>
      <c r="AD5" s="184" cm="1">
        <f t="array" ref="AD5">IF(ISBLANK(INDEX(Data_Input!$C$9:$AF$89,MATCH($A5&amp;$B5&amp;$C5&amp;$B$2,Data_Input!$D$9:$D$89&amp;Data_Input!$E$9:$E$89&amp;Data_Input!$F$9:$F$89&amp;Data_Input!$H$9:$H$89,0),MATCH(AD$4,Data_Input!$C$9:$AF$9,0))),
"",
INDEX(Data_Input!$C$9:$AF$89,MATCH($A5&amp;$B5&amp;$C5&amp;$B$2,Data_Input!$D$9:$D$89&amp;Data_Input!$E$9:$E$89&amp;Data_Input!$F$9:$F$89&amp;Data_Input!$H$9:$H$89,0),MATCH(AD$4,Data_Input!$C$9:$AF$9,0)))</f>
        <v>120</v>
      </c>
      <c r="AE5">
        <v>0.5</v>
      </c>
      <c r="AF5">
        <f t="shared" ref="AF5:AF10" si="2">IF(AB5="C",1,-1)*IF(Y5="B",1,-1)*_xlfn.NORM.DIST(IF(AB5="C",1,-1)*((LN(AD5/AC5)+0.5*(AE5^2)*AA5)/(AE5*SQRT(AA5))),0,1,TRUE)</f>
        <v>0.73525405754567008</v>
      </c>
      <c r="AG5">
        <f t="shared" ref="AG5:AG20" si="3">IF(AF5="",IF(Y5="B",1,-1),AF5)</f>
        <v>0.73525405754567008</v>
      </c>
      <c r="AH5" s="180">
        <f>S5*X5*AG5</f>
        <v>92401241.820357606</v>
      </c>
    </row>
    <row r="6" spans="1:34">
      <c r="A6" t="s">
        <v>22</v>
      </c>
      <c r="B6">
        <v>1101</v>
      </c>
      <c r="C6">
        <v>102</v>
      </c>
      <c r="D6" s="182">
        <v>89840.51</v>
      </c>
      <c r="E6" s="182">
        <v>20000000</v>
      </c>
      <c r="F6" t="str" cm="1">
        <f t="array" ref="F6">IF(ISBLANK(INDEX(Data_Input!$C$9:$AF$89,MATCH($A6&amp;$B6&amp;$C6&amp;$B$2,Data_Input!$D$9:$D$89&amp;Data_Input!$E$9:$E$89&amp;Data_Input!$F$9:$F$89&amp;Data_Input!$H$9:$H$89,0),MATCH(F$4,Data_Input!$C$9:$AF$9,0))),
"",
INDEX(Data_Input!$C$9:$AF$89,MATCH($A6&amp;$B6&amp;$C6&amp;$B$2,Data_Input!$D$9:$D$89&amp;Data_Input!$E$9:$E$89&amp;Data_Input!$F$9:$F$89&amp;Data_Input!$H$9:$H$89,0),MATCH(F$4,Data_Input!$C$9:$AF$9,0)))</f>
        <v>SWPTN</v>
      </c>
      <c r="G6" t="str" cm="1">
        <f t="array" ref="G6">IF(ISBLANK(INDEX(Data_Input!$C$9:$AF$89,MATCH($A6&amp;$B6&amp;$C6&amp;$B$2,Data_Input!$D$9:$D$89&amp;Data_Input!$E$9:$E$89&amp;Data_Input!$F$9:$F$89&amp;Data_Input!$H$9:$H$89,0),MATCH(G$4,Data_Input!$C$9:$AF$9,0))),
"",
INDEX(Data_Input!$C$9:$AF$89,MATCH($A6&amp;$B6&amp;$C6&amp;$B$2,Data_Input!$D$9:$D$89&amp;Data_Input!$E$9:$E$89&amp;Data_Input!$F$9:$F$89&amp;Data_Input!$H$9:$H$89,0),MATCH(G$4,Data_Input!$C$9:$AF$9,0)))</f>
        <v>USD</v>
      </c>
      <c r="H6" t="str" cm="1">
        <f t="array" ref="H6">IF(ISBLANK(INDEX(Data_Input!$C$9:$AF$89,MATCH($A6&amp;$B6&amp;$C6&amp;$B$2,Data_Input!$D$9:$D$89&amp;Data_Input!$E$9:$E$89&amp;Data_Input!$F$9:$F$89&amp;Data_Input!$H$9:$H$89,0),MATCH(H$4,Data_Input!$C$9:$AF$9,0))),
"",
INDEX(Data_Input!$C$9:$AF$89,MATCH($A6&amp;$B6&amp;$C6&amp;$B$2,Data_Input!$D$9:$D$89&amp;Data_Input!$E$9:$E$89&amp;Data_Input!$F$9:$F$89&amp;Data_Input!$H$9:$H$89,0),MATCH(H$4,Data_Input!$C$9:$AF$9,0)))</f>
        <v/>
      </c>
      <c r="I6" t="str" cm="1">
        <f t="array" ref="I6">IF(ISBLANK(INDEX(Data_Input!$C$9:$AF$89,MATCH($A6&amp;$B6&amp;$C6&amp;$B$2,Data_Input!$D$9:$D$89&amp;Data_Input!$E$9:$E$89&amp;Data_Input!$F$9:$F$89&amp;Data_Input!$H$9:$H$89,0),MATCH(I$4,Data_Input!$C$9:$AF$9,0))),
"",
INDEX(Data_Input!$C$9:$AF$89,MATCH($A6&amp;$B6&amp;$C6&amp;$B$2,Data_Input!$D$9:$D$89&amp;Data_Input!$E$9:$E$89&amp;Data_Input!$F$9:$F$89&amp;Data_Input!$H$9:$H$89,0),MATCH(I$4,Data_Input!$C$9:$AF$9,0)))</f>
        <v/>
      </c>
      <c r="J6" t="str">
        <f t="shared" si="0"/>
        <v>USD</v>
      </c>
      <c r="K6" s="183" cm="1">
        <f t="array" ref="K6">IF(ISBLANK(INDEX(Data_Input!$C$9:$AF$89,MATCH($A6&amp;$B6&amp;$C6&amp;$B$2,Data_Input!$D$9:$D$89&amp;Data_Input!$E$9:$E$89&amp;Data_Input!$F$9:$F$89&amp;Data_Input!$H$9:$H$89,0),MATCH(K$4,Data_Input!$C$9:$AF$9,0))),
"",
INDEX(Data_Input!$C$9:$AF$89,MATCH($A6&amp;$B6&amp;$C6&amp;$B$2,Data_Input!$D$9:$D$89&amp;Data_Input!$E$9:$E$89&amp;Data_Input!$F$9:$F$89&amp;Data_Input!$H$9:$H$89,0),MATCH(K$4,Data_Input!$C$9:$AF$9,0)))</f>
        <v>46334</v>
      </c>
      <c r="L6">
        <f t="shared" ref="L6:L20" si="4">YEARFRAC($A$1,K6,1)</f>
        <v>2.8555783709787819</v>
      </c>
      <c r="M6" s="186">
        <f t="shared" ref="M6:M20" si="5">IF(L6&lt;1,1,IF(L6&gt;5,3,2))</f>
        <v>2</v>
      </c>
      <c r="N6" s="183" cm="1">
        <f t="array" ref="N6">IF(ISBLANK(INDEX(Data_Input!$C$9:$AF$89,MATCH($A6&amp;$B6&amp;$C6&amp;$B$2,Data_Input!$D$9:$D$89&amp;Data_Input!$E$9:$E$89&amp;Data_Input!$F$9:$F$89&amp;Data_Input!$H$9:$H$89,0),MATCH(N$4,Data_Input!$C$9:$AF$9,0))),
"",
INDEX(Data_Input!$C$9:$AF$89,MATCH($A6&amp;$B6&amp;$C6&amp;$B$2,Data_Input!$D$9:$D$89&amp;Data_Input!$E$9:$E$89&amp;Data_Input!$F$9:$F$89&amp;Data_Input!$H$9:$H$89,0),MATCH(N$4,Data_Input!$C$9:$AF$9,0)))</f>
        <v>41554</v>
      </c>
      <c r="O6">
        <f t="shared" ref="O6:O20" si="6">IF(N6&gt;=$A$1,YEARFRAC($A$1,N6,1),0)</f>
        <v>0</v>
      </c>
      <c r="P6" s="183" cm="1">
        <f t="array" ref="P6">IF(ISBLANK(INDEX(Data_Input!$C$9:$AF$89,MATCH($A6&amp;$B6&amp;$C6&amp;$B$2,Data_Input!$D$9:$D$89&amp;Data_Input!$E$9:$E$89&amp;Data_Input!$F$9:$F$89&amp;Data_Input!$H$9:$H$89,0),MATCH(P$4,Data_Input!$C$9:$AF$9,0))),
"",
INDEX(Data_Input!$C$9:$AF$89,MATCH($A6&amp;$B6&amp;$C6&amp;$B$2,Data_Input!$D$9:$D$89&amp;Data_Input!$E$9:$E$89&amp;Data_Input!$F$9:$F$89&amp;Data_Input!$H$9:$H$89,0),MATCH(P$4,Data_Input!$C$9:$AF$9,0)))</f>
        <v>46334</v>
      </c>
      <c r="Q6">
        <f t="shared" ref="Q6:Q20" si="7">YEARFRAC($A$1,P6,1)</f>
        <v>2.8555783709787819</v>
      </c>
      <c r="R6">
        <f t="shared" ref="R6:R20" si="8">MAX((EXP(-0.05*O6)-EXP(-0.05*Q6))/0.05,10/250)</f>
        <v>2.6610857334702565</v>
      </c>
      <c r="S6" s="180">
        <f t="shared" ref="S6:S20" si="9">R6*E6</f>
        <v>53221714.669405133</v>
      </c>
      <c r="T6" t="str" cm="1">
        <f t="array" ref="T6">IF(ISBLANK(INDEX(Data_Input!$C$9:$AF$89,MATCH($A6&amp;$B6&amp;$C6&amp;$B$2,Data_Input!$D$9:$D$89&amp;Data_Input!$E$9:$E$89&amp;Data_Input!$F$9:$F$89&amp;Data_Input!$H$9:$H$89,0),MATCH(T$4,Data_Input!$C$9:$AF$9,0))),
"",
INDEX(Data_Input!$C$9:$AF$89,MATCH($A6&amp;$B6&amp;$C6&amp;$B$2,Data_Input!$D$9:$D$89&amp;Data_Input!$E$9:$E$89&amp;Data_Input!$F$9:$F$89&amp;Data_Input!$H$9:$H$89,0),MATCH(T$4,Data_Input!$C$9:$AF$9,0)))</f>
        <v>M</v>
      </c>
      <c r="U6" t="str" cm="1">
        <f t="array" ref="U6">IF(ISBLANK(INDEX(Data_Input!$C$9:$AF$89,MATCH($A6&amp;$B6&amp;$C6&amp;$B$2,Data_Input!$D$9:$D$89&amp;Data_Input!$E$9:$E$89&amp;Data_Input!$F$9:$F$89&amp;Data_Input!$H$9:$H$89,0),MATCH(U$4,Data_Input!$C$9:$AF$9,0))),
"",
INDEX(Data_Input!$C$9:$AF$89,MATCH($A6&amp;$B6&amp;$C6&amp;$B$2,Data_Input!$D$9:$D$89&amp;Data_Input!$E$9:$E$89&amp;Data_Input!$F$9:$F$89&amp;Data_Input!$H$9:$H$89,0),MATCH(U$4,Data_Input!$C$9:$AF$9,0)))</f>
        <v>N</v>
      </c>
      <c r="V6" s="184" cm="1">
        <f t="array" ref="V6">IF(ISBLANK(INDEX(Data_Input!$C$9:$AF$89,MATCH($A6&amp;$B6&amp;$C6&amp;$B$2,Data_Input!$D$9:$D$89&amp;Data_Input!$E$9:$E$89&amp;Data_Input!$F$9:$F$89&amp;Data_Input!$H$9:$H$89,0),MATCH(V$4,Data_Input!$C$9:$AF$9,0))),
"",
INDEX(Data_Input!$C$9:$AF$89,MATCH($A6&amp;$B6&amp;$C6&amp;$B$2,Data_Input!$D$9:$D$89&amp;Data_Input!$E$9:$E$89&amp;Data_Input!$F$9:$F$89&amp;Data_Input!$H$9:$H$89,0),MATCH(V$4,Data_Input!$C$9:$AF$9,0)))</f>
        <v>5</v>
      </c>
      <c r="W6">
        <f t="shared" ref="W6:W20" si="10">IF(T6="M",IF(U6="N",10,5)+V6-1,"NA")</f>
        <v>14</v>
      </c>
      <c r="X6">
        <f t="shared" ref="X6:X20" si="11">IF(T6="M",(3/2)*SQRT(W6/250),SQRT(MIN(MAX(L6,(10/250)),1)))</f>
        <v>0.354964786985977</v>
      </c>
      <c r="Y6" s="184" t="str" cm="1">
        <f t="array" ref="Y6">IF(ISBLANK(INDEX(Data_Input!$C$9:$AF$89,MATCH($A6&amp;$B6&amp;$C6&amp;$B$2,Data_Input!$D$9:$D$89&amp;Data_Input!$E$9:$E$89&amp;Data_Input!$F$9:$F$89&amp;Data_Input!$H$9:$H$89,0),MATCH(Y$4,Data_Input!$C$9:$AF$9,0))),
"",
INDEX(Data_Input!$C$9:$AF$89,MATCH($A6&amp;$B6&amp;$C6&amp;$B$2,Data_Input!$D$9:$D$89&amp;Data_Input!$E$9:$E$89&amp;Data_Input!$F$9:$F$89&amp;Data_Input!$H$9:$H$89,0),MATCH(Y$4,Data_Input!$C$9:$AF$9,0)))</f>
        <v>B</v>
      </c>
      <c r="Z6" s="185" cm="1">
        <f t="array" ref="Z6">IF(ISBLANK(INDEX(Data_Input!$C$9:$AF$89,MATCH($A6&amp;$B6&amp;$C6&amp;$B$2,Data_Input!$D$9:$D$89&amp;Data_Input!$E$9:$E$89&amp;Data_Input!$F$9:$F$89&amp;Data_Input!$H$9:$H$89,0),MATCH(Z$4,Data_Input!$C$9:$AF$9,0))),
"",
INDEX(Data_Input!$C$9:$AF$89,MATCH($A6&amp;$B6&amp;$C6&amp;$B$2,Data_Input!$D$9:$D$89&amp;Data_Input!$E$9:$E$89&amp;Data_Input!$F$9:$F$89&amp;Data_Input!$H$9:$H$89,0),MATCH(Z$4,Data_Input!$C$9:$AF$9,0)))</f>
        <v>46334</v>
      </c>
      <c r="AA6">
        <f t="shared" si="1"/>
        <v>2.8555783709787819</v>
      </c>
      <c r="AB6" s="184" t="str" cm="1">
        <f t="array" ref="AB6">IF(ISBLANK(INDEX(Data_Input!$C$9:$AF$89,MATCH($A6&amp;$B6&amp;$C6&amp;$B$2,Data_Input!$D$9:$D$89&amp;Data_Input!$E$9:$E$89&amp;Data_Input!$F$9:$F$89&amp;Data_Input!$H$9:$H$89,0),MATCH(AB$4,Data_Input!$C$9:$AF$9,0))),
"",
INDEX(Data_Input!$C$9:$AF$89,MATCH($A6&amp;$B6&amp;$C6&amp;$B$2,Data_Input!$D$9:$D$89&amp;Data_Input!$E$9:$E$89&amp;Data_Input!$F$9:$F$89&amp;Data_Input!$H$9:$H$89,0),MATCH(AB$4,Data_Input!$C$9:$AF$9,0)))</f>
        <v>P</v>
      </c>
      <c r="AC6" s="184" cm="1">
        <f t="array" ref="AC6">IF(ISBLANK(INDEX(Data_Input!$C$9:$AF$89,MATCH($A6&amp;$B6&amp;$C6&amp;$B$2,Data_Input!$D$9:$D$89&amp;Data_Input!$E$9:$E$89&amp;Data_Input!$F$9:$F$89&amp;Data_Input!$H$9:$H$89,0),MATCH(AC$4,Data_Input!$C$9:$AF$9,0))),
"",
INDEX(Data_Input!$C$9:$AF$89,MATCH($A6&amp;$B6&amp;$C6&amp;$B$2,Data_Input!$D$9:$D$89&amp;Data_Input!$E$9:$E$89&amp;Data_Input!$F$9:$F$89&amp;Data_Input!$H$9:$H$89,0),MATCH(AC$4,Data_Input!$C$9:$AF$9,0)))</f>
        <v>125</v>
      </c>
      <c r="AD6" s="184" cm="1">
        <f t="array" ref="AD6">IF(ISBLANK(INDEX(Data_Input!$C$9:$AF$89,MATCH($A6&amp;$B6&amp;$C6&amp;$B$2,Data_Input!$D$9:$D$89&amp;Data_Input!$E$9:$E$89&amp;Data_Input!$F$9:$F$89&amp;Data_Input!$H$9:$H$89,0),MATCH(AD$4,Data_Input!$C$9:$AF$9,0))),
"",
INDEX(Data_Input!$C$9:$AF$89,MATCH($A6&amp;$B6&amp;$C6&amp;$B$2,Data_Input!$D$9:$D$89&amp;Data_Input!$E$9:$E$89&amp;Data_Input!$F$9:$F$89&amp;Data_Input!$H$9:$H$89,0),MATCH(AD$4,Data_Input!$C$9:$AF$9,0)))</f>
        <v>115</v>
      </c>
      <c r="AE6">
        <v>0.5</v>
      </c>
      <c r="AF6">
        <f t="shared" si="2"/>
        <v>-0.37305383505295286</v>
      </c>
      <c r="AG6">
        <f t="shared" si="3"/>
        <v>-0.37305383505295286</v>
      </c>
      <c r="AH6" s="180">
        <f t="shared" ref="AH6:AH20" si="12">S6*X6*AG6</f>
        <v>-7047671.3526905235</v>
      </c>
    </row>
    <row r="7" spans="1:34">
      <c r="A7" t="s">
        <v>22</v>
      </c>
      <c r="B7">
        <v>1101</v>
      </c>
      <c r="C7">
        <v>103</v>
      </c>
      <c r="D7" s="182">
        <v>7406680.8300000001</v>
      </c>
      <c r="E7" s="182">
        <v>31865739.02</v>
      </c>
      <c r="F7" t="str" cm="1">
        <f t="array" ref="F7">IF(ISBLANK(INDEX(Data_Input!$C$9:$AF$89,MATCH($A7&amp;$B7&amp;$C7&amp;$B$2,Data_Input!$D$9:$D$89&amp;Data_Input!$E$9:$E$89&amp;Data_Input!$F$9:$F$89&amp;Data_Input!$H$9:$H$89,0),MATCH(F$4,Data_Input!$C$9:$AF$9,0))),
"",
INDEX(Data_Input!$C$9:$AF$89,MATCH($A7&amp;$B7&amp;$C7&amp;$B$2,Data_Input!$D$9:$D$89&amp;Data_Input!$E$9:$E$89&amp;Data_Input!$F$9:$F$89&amp;Data_Input!$H$9:$H$89,0),MATCH(F$4,Data_Input!$C$9:$AF$9,0)))</f>
        <v>SWPTN</v>
      </c>
      <c r="G7" t="str" cm="1">
        <f t="array" ref="G7">IF(ISBLANK(INDEX(Data_Input!$C$9:$AF$89,MATCH($A7&amp;$B7&amp;$C7&amp;$B$2,Data_Input!$D$9:$D$89&amp;Data_Input!$E$9:$E$89&amp;Data_Input!$F$9:$F$89&amp;Data_Input!$H$9:$H$89,0),MATCH(G$4,Data_Input!$C$9:$AF$9,0))),
"",
INDEX(Data_Input!$C$9:$AF$89,MATCH($A7&amp;$B7&amp;$C7&amp;$B$2,Data_Input!$D$9:$D$89&amp;Data_Input!$E$9:$E$89&amp;Data_Input!$F$9:$F$89&amp;Data_Input!$H$9:$H$89,0),MATCH(G$4,Data_Input!$C$9:$AF$9,0)))</f>
        <v>JPY</v>
      </c>
      <c r="H7" t="str" cm="1">
        <f t="array" ref="H7">IF(ISBLANK(INDEX(Data_Input!$C$9:$AF$89,MATCH($A7&amp;$B7&amp;$C7&amp;$B$2,Data_Input!$D$9:$D$89&amp;Data_Input!$E$9:$E$89&amp;Data_Input!$F$9:$F$89&amp;Data_Input!$H$9:$H$89,0),MATCH(H$4,Data_Input!$C$9:$AF$9,0))),
"",
INDEX(Data_Input!$C$9:$AF$89,MATCH($A7&amp;$B7&amp;$C7&amp;$B$2,Data_Input!$D$9:$D$89&amp;Data_Input!$E$9:$E$89&amp;Data_Input!$F$9:$F$89&amp;Data_Input!$H$9:$H$89,0),MATCH(H$4,Data_Input!$C$9:$AF$9,0)))</f>
        <v/>
      </c>
      <c r="I7" t="str" cm="1">
        <f t="array" ref="I7">IF(ISBLANK(INDEX(Data_Input!$C$9:$AF$89,MATCH($A7&amp;$B7&amp;$C7&amp;$B$2,Data_Input!$D$9:$D$89&amp;Data_Input!$E$9:$E$89&amp;Data_Input!$F$9:$F$89&amp;Data_Input!$H$9:$H$89,0),MATCH(I$4,Data_Input!$C$9:$AF$9,0))),
"",
INDEX(Data_Input!$C$9:$AF$89,MATCH($A7&amp;$B7&amp;$C7&amp;$B$2,Data_Input!$D$9:$D$89&amp;Data_Input!$E$9:$E$89&amp;Data_Input!$F$9:$F$89&amp;Data_Input!$H$9:$H$89,0),MATCH(I$4,Data_Input!$C$9:$AF$9,0)))</f>
        <v/>
      </c>
      <c r="J7" t="str">
        <f t="shared" si="0"/>
        <v>JPY</v>
      </c>
      <c r="K7" s="183" cm="1">
        <f t="array" ref="K7">IF(ISBLANK(INDEX(Data_Input!$C$9:$AF$89,MATCH($A7&amp;$B7&amp;$C7&amp;$B$2,Data_Input!$D$9:$D$89&amp;Data_Input!$E$9:$E$89&amp;Data_Input!$F$9:$F$89&amp;Data_Input!$H$9:$H$89,0),MATCH(K$4,Data_Input!$C$9:$AF$9,0))),
"",
INDEX(Data_Input!$C$9:$AF$89,MATCH($A7&amp;$B7&amp;$C7&amp;$B$2,Data_Input!$D$9:$D$89&amp;Data_Input!$E$9:$E$89&amp;Data_Input!$F$9:$F$89&amp;Data_Input!$H$9:$H$89,0),MATCH(K$4,Data_Input!$C$9:$AF$9,0)))</f>
        <v>46334</v>
      </c>
      <c r="L7">
        <f t="shared" si="4"/>
        <v>2.8555783709787819</v>
      </c>
      <c r="M7" s="186">
        <f t="shared" si="5"/>
        <v>2</v>
      </c>
      <c r="N7" s="183" cm="1">
        <f t="array" ref="N7">IF(ISBLANK(INDEX(Data_Input!$C$9:$AF$89,MATCH($A7&amp;$B7&amp;$C7&amp;$B$2,Data_Input!$D$9:$D$89&amp;Data_Input!$E$9:$E$89&amp;Data_Input!$F$9:$F$89&amp;Data_Input!$H$9:$H$89,0),MATCH(N$4,Data_Input!$C$9:$AF$9,0))),
"",
INDEX(Data_Input!$C$9:$AF$89,MATCH($A7&amp;$B7&amp;$C7&amp;$B$2,Data_Input!$D$9:$D$89&amp;Data_Input!$E$9:$E$89&amp;Data_Input!$F$9:$F$89&amp;Data_Input!$H$9:$H$89,0),MATCH(N$4,Data_Input!$C$9:$AF$9,0)))</f>
        <v>41554</v>
      </c>
      <c r="O7">
        <f t="shared" si="6"/>
        <v>0</v>
      </c>
      <c r="P7" s="183" cm="1">
        <f t="array" ref="P7">IF(ISBLANK(INDEX(Data_Input!$C$9:$AF$89,MATCH($A7&amp;$B7&amp;$C7&amp;$B$2,Data_Input!$D$9:$D$89&amp;Data_Input!$E$9:$E$89&amp;Data_Input!$F$9:$F$89&amp;Data_Input!$H$9:$H$89,0),MATCH(P$4,Data_Input!$C$9:$AF$9,0))),
"",
INDEX(Data_Input!$C$9:$AF$89,MATCH($A7&amp;$B7&amp;$C7&amp;$B$2,Data_Input!$D$9:$D$89&amp;Data_Input!$E$9:$E$89&amp;Data_Input!$F$9:$F$89&amp;Data_Input!$H$9:$H$89,0),MATCH(P$4,Data_Input!$C$9:$AF$9,0)))</f>
        <v>46334</v>
      </c>
      <c r="Q7">
        <f t="shared" si="7"/>
        <v>2.8555783709787819</v>
      </c>
      <c r="R7">
        <f t="shared" si="8"/>
        <v>2.6610857334702565</v>
      </c>
      <c r="S7" s="180">
        <f t="shared" si="9"/>
        <v>84797463.492608473</v>
      </c>
      <c r="T7" t="str" cm="1">
        <f t="array" ref="T7">IF(ISBLANK(INDEX(Data_Input!$C$9:$AF$89,MATCH($A7&amp;$B7&amp;$C7&amp;$B$2,Data_Input!$D$9:$D$89&amp;Data_Input!$E$9:$E$89&amp;Data_Input!$F$9:$F$89&amp;Data_Input!$H$9:$H$89,0),MATCH(T$4,Data_Input!$C$9:$AF$9,0))),
"",
INDEX(Data_Input!$C$9:$AF$89,MATCH($A7&amp;$B7&amp;$C7&amp;$B$2,Data_Input!$D$9:$D$89&amp;Data_Input!$E$9:$E$89&amp;Data_Input!$F$9:$F$89&amp;Data_Input!$H$9:$H$89,0),MATCH(T$4,Data_Input!$C$9:$AF$9,0)))</f>
        <v>M</v>
      </c>
      <c r="U7" t="str" cm="1">
        <f t="array" ref="U7">IF(ISBLANK(INDEX(Data_Input!$C$9:$AF$89,MATCH($A7&amp;$B7&amp;$C7&amp;$B$2,Data_Input!$D$9:$D$89&amp;Data_Input!$E$9:$E$89&amp;Data_Input!$F$9:$F$89&amp;Data_Input!$H$9:$H$89,0),MATCH(U$4,Data_Input!$C$9:$AF$9,0))),
"",
INDEX(Data_Input!$C$9:$AF$89,MATCH($A7&amp;$B7&amp;$C7&amp;$B$2,Data_Input!$D$9:$D$89&amp;Data_Input!$E$9:$E$89&amp;Data_Input!$F$9:$F$89&amp;Data_Input!$H$9:$H$89,0),MATCH(U$4,Data_Input!$C$9:$AF$9,0)))</f>
        <v>N</v>
      </c>
      <c r="V7" s="184" cm="1">
        <f t="array" ref="V7">IF(ISBLANK(INDEX(Data_Input!$C$9:$AF$89,MATCH($A7&amp;$B7&amp;$C7&amp;$B$2,Data_Input!$D$9:$D$89&amp;Data_Input!$E$9:$E$89&amp;Data_Input!$F$9:$F$89&amp;Data_Input!$H$9:$H$89,0),MATCH(V$4,Data_Input!$C$9:$AF$9,0))),
"",
INDEX(Data_Input!$C$9:$AF$89,MATCH($A7&amp;$B7&amp;$C7&amp;$B$2,Data_Input!$D$9:$D$89&amp;Data_Input!$E$9:$E$89&amp;Data_Input!$F$9:$F$89&amp;Data_Input!$H$9:$H$89,0),MATCH(V$4,Data_Input!$C$9:$AF$9,0)))</f>
        <v>5</v>
      </c>
      <c r="W7">
        <f t="shared" si="10"/>
        <v>14</v>
      </c>
      <c r="X7">
        <f t="shared" si="11"/>
        <v>0.354964786985977</v>
      </c>
      <c r="Y7" s="184" t="str" cm="1">
        <f t="array" ref="Y7">IF(ISBLANK(INDEX(Data_Input!$C$9:$AF$89,MATCH($A7&amp;$B7&amp;$C7&amp;$B$2,Data_Input!$D$9:$D$89&amp;Data_Input!$E$9:$E$89&amp;Data_Input!$F$9:$F$89&amp;Data_Input!$H$9:$H$89,0),MATCH(Y$4,Data_Input!$C$9:$AF$9,0))),
"",
INDEX(Data_Input!$C$9:$AF$89,MATCH($A7&amp;$B7&amp;$C7&amp;$B$2,Data_Input!$D$9:$D$89&amp;Data_Input!$E$9:$E$89&amp;Data_Input!$F$9:$F$89&amp;Data_Input!$H$9:$H$89,0),MATCH(Y$4,Data_Input!$C$9:$AF$9,0)))</f>
        <v>S</v>
      </c>
      <c r="Z7" s="185" cm="1">
        <f t="array" ref="Z7">IF(ISBLANK(INDEX(Data_Input!$C$9:$AF$89,MATCH($A7&amp;$B7&amp;$C7&amp;$B$2,Data_Input!$D$9:$D$89&amp;Data_Input!$E$9:$E$89&amp;Data_Input!$F$9:$F$89&amp;Data_Input!$H$9:$H$89,0),MATCH(Z$4,Data_Input!$C$9:$AF$9,0))),
"",
INDEX(Data_Input!$C$9:$AF$89,MATCH($A7&amp;$B7&amp;$C7&amp;$B$2,Data_Input!$D$9:$D$89&amp;Data_Input!$E$9:$E$89&amp;Data_Input!$F$9:$F$89&amp;Data_Input!$H$9:$H$89,0),MATCH(Z$4,Data_Input!$C$9:$AF$9,0)))</f>
        <v>46334</v>
      </c>
      <c r="AA7">
        <f t="shared" si="1"/>
        <v>2.8555783709787819</v>
      </c>
      <c r="AB7" s="184" t="str" cm="1">
        <f t="array" ref="AB7">IF(ISBLANK(INDEX(Data_Input!$C$9:$AF$89,MATCH($A7&amp;$B7&amp;$C7&amp;$B$2,Data_Input!$D$9:$D$89&amp;Data_Input!$E$9:$E$89&amp;Data_Input!$F$9:$F$89&amp;Data_Input!$H$9:$H$89,0),MATCH(AB$4,Data_Input!$C$9:$AF$9,0))),
"",
INDEX(Data_Input!$C$9:$AF$89,MATCH($A7&amp;$B7&amp;$C7&amp;$B$2,Data_Input!$D$9:$D$89&amp;Data_Input!$E$9:$E$89&amp;Data_Input!$F$9:$F$89&amp;Data_Input!$H$9:$H$89,0),MATCH(AB$4,Data_Input!$C$9:$AF$9,0)))</f>
        <v>P</v>
      </c>
      <c r="AC7" s="184" cm="1">
        <f t="array" ref="AC7">IF(ISBLANK(INDEX(Data_Input!$C$9:$AF$89,MATCH($A7&amp;$B7&amp;$C7&amp;$B$2,Data_Input!$D$9:$D$89&amp;Data_Input!$E$9:$E$89&amp;Data_Input!$F$9:$F$89&amp;Data_Input!$H$9:$H$89,0),MATCH(AC$4,Data_Input!$C$9:$AF$9,0))),
"",
INDEX(Data_Input!$C$9:$AF$89,MATCH($A7&amp;$B7&amp;$C7&amp;$B$2,Data_Input!$D$9:$D$89&amp;Data_Input!$E$9:$E$89&amp;Data_Input!$F$9:$F$89&amp;Data_Input!$H$9:$H$89,0),MATCH(AC$4,Data_Input!$C$9:$AF$9,0)))</f>
        <v>123</v>
      </c>
      <c r="AD7" s="184" cm="1">
        <f t="array" ref="AD7">IF(ISBLANK(INDEX(Data_Input!$C$9:$AF$89,MATCH($A7&amp;$B7&amp;$C7&amp;$B$2,Data_Input!$D$9:$D$89&amp;Data_Input!$E$9:$E$89&amp;Data_Input!$F$9:$F$89&amp;Data_Input!$H$9:$H$89,0),MATCH(AD$4,Data_Input!$C$9:$AF$9,0))),
"",
INDEX(Data_Input!$C$9:$AF$89,MATCH($A7&amp;$B7&amp;$C7&amp;$B$2,Data_Input!$D$9:$D$89&amp;Data_Input!$E$9:$E$89&amp;Data_Input!$F$9:$F$89&amp;Data_Input!$H$9:$H$89,0),MATCH(AD$4,Data_Input!$C$9:$AF$9,0)))</f>
        <v>145</v>
      </c>
      <c r="AE7">
        <v>0.5</v>
      </c>
      <c r="AF7">
        <f t="shared" si="2"/>
        <v>0.26854738362787123</v>
      </c>
      <c r="AG7">
        <f t="shared" si="3"/>
        <v>0.26854738362787123</v>
      </c>
      <c r="AH7" s="180">
        <f t="shared" si="12"/>
        <v>8083306.7449449981</v>
      </c>
    </row>
    <row r="8" spans="1:34">
      <c r="A8" t="s">
        <v>22</v>
      </c>
      <c r="B8">
        <v>1101</v>
      </c>
      <c r="C8">
        <v>104</v>
      </c>
      <c r="D8" s="182">
        <v>-40774.639999999999</v>
      </c>
      <c r="E8" s="182">
        <v>31865739.02</v>
      </c>
      <c r="F8" t="str" cm="1">
        <f t="array" ref="F8">IF(ISBLANK(INDEX(Data_Input!$C$9:$AF$89,MATCH($A8&amp;$B8&amp;$C8&amp;$B$2,Data_Input!$D$9:$D$89&amp;Data_Input!$E$9:$E$89&amp;Data_Input!$F$9:$F$89&amp;Data_Input!$H$9:$H$89,0),MATCH(F$4,Data_Input!$C$9:$AF$9,0))),
"",
INDEX(Data_Input!$C$9:$AF$89,MATCH($A8&amp;$B8&amp;$C8&amp;$B$2,Data_Input!$D$9:$D$89&amp;Data_Input!$E$9:$E$89&amp;Data_Input!$F$9:$F$89&amp;Data_Input!$H$9:$H$89,0),MATCH(F$4,Data_Input!$C$9:$AF$9,0)))</f>
        <v>SWPTN</v>
      </c>
      <c r="G8" t="str" cm="1">
        <f t="array" ref="G8">IF(ISBLANK(INDEX(Data_Input!$C$9:$AF$89,MATCH($A8&amp;$B8&amp;$C8&amp;$B$2,Data_Input!$D$9:$D$89&amp;Data_Input!$E$9:$E$89&amp;Data_Input!$F$9:$F$89&amp;Data_Input!$H$9:$H$89,0),MATCH(G$4,Data_Input!$C$9:$AF$9,0))),
"",
INDEX(Data_Input!$C$9:$AF$89,MATCH($A8&amp;$B8&amp;$C8&amp;$B$2,Data_Input!$D$9:$D$89&amp;Data_Input!$E$9:$E$89&amp;Data_Input!$F$9:$F$89&amp;Data_Input!$H$9:$H$89,0),MATCH(G$4,Data_Input!$C$9:$AF$9,0)))</f>
        <v>JPY</v>
      </c>
      <c r="H8" t="str" cm="1">
        <f t="array" ref="H8">IF(ISBLANK(INDEX(Data_Input!$C$9:$AF$89,MATCH($A8&amp;$B8&amp;$C8&amp;$B$2,Data_Input!$D$9:$D$89&amp;Data_Input!$E$9:$E$89&amp;Data_Input!$F$9:$F$89&amp;Data_Input!$H$9:$H$89,0),MATCH(H$4,Data_Input!$C$9:$AF$9,0))),
"",
INDEX(Data_Input!$C$9:$AF$89,MATCH($A8&amp;$B8&amp;$C8&amp;$B$2,Data_Input!$D$9:$D$89&amp;Data_Input!$E$9:$E$89&amp;Data_Input!$F$9:$F$89&amp;Data_Input!$H$9:$H$89,0),MATCH(H$4,Data_Input!$C$9:$AF$9,0)))</f>
        <v/>
      </c>
      <c r="I8" t="str" cm="1">
        <f t="array" ref="I8">IF(ISBLANK(INDEX(Data_Input!$C$9:$AF$89,MATCH($A8&amp;$B8&amp;$C8&amp;$B$2,Data_Input!$D$9:$D$89&amp;Data_Input!$E$9:$E$89&amp;Data_Input!$F$9:$F$89&amp;Data_Input!$H$9:$H$89,0),MATCH(I$4,Data_Input!$C$9:$AF$9,0))),
"",
INDEX(Data_Input!$C$9:$AF$89,MATCH($A8&amp;$B8&amp;$C8&amp;$B$2,Data_Input!$D$9:$D$89&amp;Data_Input!$E$9:$E$89&amp;Data_Input!$F$9:$F$89&amp;Data_Input!$H$9:$H$89,0),MATCH(I$4,Data_Input!$C$9:$AF$9,0)))</f>
        <v/>
      </c>
      <c r="J8" t="str">
        <f t="shared" si="0"/>
        <v>JPY</v>
      </c>
      <c r="K8" s="183" cm="1">
        <f t="array" ref="K8">IF(ISBLANK(INDEX(Data_Input!$C$9:$AF$89,MATCH($A8&amp;$B8&amp;$C8&amp;$B$2,Data_Input!$D$9:$D$89&amp;Data_Input!$E$9:$E$89&amp;Data_Input!$F$9:$F$89&amp;Data_Input!$H$9:$H$89,0),MATCH(K$4,Data_Input!$C$9:$AF$9,0))),
"",
INDEX(Data_Input!$C$9:$AF$89,MATCH($A8&amp;$B8&amp;$C8&amp;$B$2,Data_Input!$D$9:$D$89&amp;Data_Input!$E$9:$E$89&amp;Data_Input!$F$9:$F$89&amp;Data_Input!$H$9:$H$89,0),MATCH(K$4,Data_Input!$C$9:$AF$9,0)))</f>
        <v>45564</v>
      </c>
      <c r="L8">
        <f t="shared" si="4"/>
        <v>0.74590163934426235</v>
      </c>
      <c r="M8" s="186">
        <f t="shared" si="5"/>
        <v>1</v>
      </c>
      <c r="N8" s="183" cm="1">
        <f t="array" ref="N8">IF(ISBLANK(INDEX(Data_Input!$C$9:$AF$89,MATCH($A8&amp;$B8&amp;$C8&amp;$B$2,Data_Input!$D$9:$D$89&amp;Data_Input!$E$9:$E$89&amp;Data_Input!$F$9:$F$89&amp;Data_Input!$H$9:$H$89,0),MATCH(N$4,Data_Input!$C$9:$AF$9,0))),
"",
INDEX(Data_Input!$C$9:$AF$89,MATCH($A8&amp;$B8&amp;$C8&amp;$B$2,Data_Input!$D$9:$D$89&amp;Data_Input!$E$9:$E$89&amp;Data_Input!$F$9:$F$89&amp;Data_Input!$H$9:$H$89,0),MATCH(N$4,Data_Input!$C$9:$AF$9,0)))</f>
        <v>41588</v>
      </c>
      <c r="O8">
        <f t="shared" si="6"/>
        <v>0</v>
      </c>
      <c r="P8" s="183" cm="1">
        <f t="array" ref="P8">IF(ISBLANK(INDEX(Data_Input!$C$9:$AF$89,MATCH($A8&amp;$B8&amp;$C8&amp;$B$2,Data_Input!$D$9:$D$89&amp;Data_Input!$E$9:$E$89&amp;Data_Input!$F$9:$F$89&amp;Data_Input!$H$9:$H$89,0),MATCH(P$4,Data_Input!$C$9:$AF$9,0))),
"",
INDEX(Data_Input!$C$9:$AF$89,MATCH($A8&amp;$B8&amp;$C8&amp;$B$2,Data_Input!$D$9:$D$89&amp;Data_Input!$E$9:$E$89&amp;Data_Input!$F$9:$F$89&amp;Data_Input!$H$9:$H$89,0),MATCH(P$4,Data_Input!$C$9:$AF$9,0)))</f>
        <v>45564</v>
      </c>
      <c r="Q8">
        <f t="shared" si="7"/>
        <v>0.74590163934426235</v>
      </c>
      <c r="R8">
        <f t="shared" si="8"/>
        <v>0.73216372299170107</v>
      </c>
      <c r="S8" s="180">
        <f t="shared" si="9"/>
        <v>23330938.116765119</v>
      </c>
      <c r="T8" t="str" cm="1">
        <f t="array" ref="T8">IF(ISBLANK(INDEX(Data_Input!$C$9:$AF$89,MATCH($A8&amp;$B8&amp;$C8&amp;$B$2,Data_Input!$D$9:$D$89&amp;Data_Input!$E$9:$E$89&amp;Data_Input!$F$9:$F$89&amp;Data_Input!$H$9:$H$89,0),MATCH(T$4,Data_Input!$C$9:$AF$9,0))),
"",
INDEX(Data_Input!$C$9:$AF$89,MATCH($A8&amp;$B8&amp;$C8&amp;$B$2,Data_Input!$D$9:$D$89&amp;Data_Input!$E$9:$E$89&amp;Data_Input!$F$9:$F$89&amp;Data_Input!$H$9:$H$89,0),MATCH(T$4,Data_Input!$C$9:$AF$9,0)))</f>
        <v>M</v>
      </c>
      <c r="U8" t="str" cm="1">
        <f t="array" ref="U8">IF(ISBLANK(INDEX(Data_Input!$C$9:$AF$89,MATCH($A8&amp;$B8&amp;$C8&amp;$B$2,Data_Input!$D$9:$D$89&amp;Data_Input!$E$9:$E$89&amp;Data_Input!$F$9:$F$89&amp;Data_Input!$H$9:$H$89,0),MATCH(U$4,Data_Input!$C$9:$AF$9,0))),
"",
INDEX(Data_Input!$C$9:$AF$89,MATCH($A8&amp;$B8&amp;$C8&amp;$B$2,Data_Input!$D$9:$D$89&amp;Data_Input!$E$9:$E$89&amp;Data_Input!$F$9:$F$89&amp;Data_Input!$H$9:$H$89,0),MATCH(U$4,Data_Input!$C$9:$AF$9,0)))</f>
        <v>N</v>
      </c>
      <c r="V8" s="184" cm="1">
        <f t="array" ref="V8">IF(ISBLANK(INDEX(Data_Input!$C$9:$AF$89,MATCH($A8&amp;$B8&amp;$C8&amp;$B$2,Data_Input!$D$9:$D$89&amp;Data_Input!$E$9:$E$89&amp;Data_Input!$F$9:$F$89&amp;Data_Input!$H$9:$H$89,0),MATCH(V$4,Data_Input!$C$9:$AF$9,0))),
"",
INDEX(Data_Input!$C$9:$AF$89,MATCH($A8&amp;$B8&amp;$C8&amp;$B$2,Data_Input!$D$9:$D$89&amp;Data_Input!$E$9:$E$89&amp;Data_Input!$F$9:$F$89&amp;Data_Input!$H$9:$H$89,0),MATCH(V$4,Data_Input!$C$9:$AF$9,0)))</f>
        <v>5</v>
      </c>
      <c r="W8">
        <f t="shared" si="10"/>
        <v>14</v>
      </c>
      <c r="X8">
        <f t="shared" si="11"/>
        <v>0.354964786985977</v>
      </c>
      <c r="Y8" s="184" t="str" cm="1">
        <f t="array" ref="Y8">IF(ISBLANK(INDEX(Data_Input!$C$9:$AF$89,MATCH($A8&amp;$B8&amp;$C8&amp;$B$2,Data_Input!$D$9:$D$89&amp;Data_Input!$E$9:$E$89&amp;Data_Input!$F$9:$F$89&amp;Data_Input!$H$9:$H$89,0),MATCH(Y$4,Data_Input!$C$9:$AF$9,0))),
"",
INDEX(Data_Input!$C$9:$AF$89,MATCH($A8&amp;$B8&amp;$C8&amp;$B$2,Data_Input!$D$9:$D$89&amp;Data_Input!$E$9:$E$89&amp;Data_Input!$F$9:$F$89&amp;Data_Input!$H$9:$H$89,0),MATCH(Y$4,Data_Input!$C$9:$AF$9,0)))</f>
        <v>S</v>
      </c>
      <c r="Z8" s="185" cm="1">
        <f t="array" ref="Z8">IF(ISBLANK(INDEX(Data_Input!$C$9:$AF$89,MATCH($A8&amp;$B8&amp;$C8&amp;$B$2,Data_Input!$D$9:$D$89&amp;Data_Input!$E$9:$E$89&amp;Data_Input!$F$9:$F$89&amp;Data_Input!$H$9:$H$89,0),MATCH(Z$4,Data_Input!$C$9:$AF$9,0))),
"",
INDEX(Data_Input!$C$9:$AF$89,MATCH($A8&amp;$B8&amp;$C8&amp;$B$2,Data_Input!$D$9:$D$89&amp;Data_Input!$E$9:$E$89&amp;Data_Input!$F$9:$F$89&amp;Data_Input!$H$9:$H$89,0),MATCH(Z$4,Data_Input!$C$9:$AF$9,0)))</f>
        <v>45564</v>
      </c>
      <c r="AA8">
        <f t="shared" si="1"/>
        <v>0.74590163934426235</v>
      </c>
      <c r="AB8" s="184" t="str" cm="1">
        <f t="array" ref="AB8">IF(ISBLANK(INDEX(Data_Input!$C$9:$AF$89,MATCH($A8&amp;$B8&amp;$C8&amp;$B$2,Data_Input!$D$9:$D$89&amp;Data_Input!$E$9:$E$89&amp;Data_Input!$F$9:$F$89&amp;Data_Input!$H$9:$H$89,0),MATCH(AB$4,Data_Input!$C$9:$AF$9,0))),
"",
INDEX(Data_Input!$C$9:$AF$89,MATCH($A8&amp;$B8&amp;$C8&amp;$B$2,Data_Input!$D$9:$D$89&amp;Data_Input!$E$9:$E$89&amp;Data_Input!$F$9:$F$89&amp;Data_Input!$H$9:$H$89,0),MATCH(AB$4,Data_Input!$C$9:$AF$9,0)))</f>
        <v>C</v>
      </c>
      <c r="AC8" s="184" cm="1">
        <f t="array" ref="AC8">IF(ISBLANK(INDEX(Data_Input!$C$9:$AF$89,MATCH($A8&amp;$B8&amp;$C8&amp;$B$2,Data_Input!$D$9:$D$89&amp;Data_Input!$E$9:$E$89&amp;Data_Input!$F$9:$F$89&amp;Data_Input!$H$9:$H$89,0),MATCH(AC$4,Data_Input!$C$9:$AF$9,0))),
"",
INDEX(Data_Input!$C$9:$AF$89,MATCH($A8&amp;$B8&amp;$C8&amp;$B$2,Data_Input!$D$9:$D$89&amp;Data_Input!$E$9:$E$89&amp;Data_Input!$F$9:$F$89&amp;Data_Input!$H$9:$H$89,0),MATCH(AC$4,Data_Input!$C$9:$AF$9,0)))</f>
        <v>132</v>
      </c>
      <c r="AD8" s="184" cm="1">
        <f t="array" ref="AD8">IF(ISBLANK(INDEX(Data_Input!$C$9:$AF$89,MATCH($A8&amp;$B8&amp;$C8&amp;$B$2,Data_Input!$D$9:$D$89&amp;Data_Input!$E$9:$E$89&amp;Data_Input!$F$9:$F$89&amp;Data_Input!$H$9:$H$89,0),MATCH(AD$4,Data_Input!$C$9:$AF$9,0))),
"",
INDEX(Data_Input!$C$9:$AF$89,MATCH($A8&amp;$B8&amp;$C8&amp;$B$2,Data_Input!$D$9:$D$89&amp;Data_Input!$E$9:$E$89&amp;Data_Input!$F$9:$F$89&amp;Data_Input!$H$9:$H$89,0),MATCH(AD$4,Data_Input!$C$9:$AF$9,0)))</f>
        <v>150</v>
      </c>
      <c r="AE8">
        <v>0.5</v>
      </c>
      <c r="AF8">
        <f t="shared" si="2"/>
        <v>-0.69565435547969345</v>
      </c>
      <c r="AG8">
        <f t="shared" si="3"/>
        <v>-0.69565435547969345</v>
      </c>
      <c r="AH8" s="180">
        <f t="shared" si="12"/>
        <v>-5761173.8783359956</v>
      </c>
    </row>
    <row r="9" spans="1:34">
      <c r="A9" t="s">
        <v>22</v>
      </c>
      <c r="B9">
        <v>1101</v>
      </c>
      <c r="C9">
        <v>105</v>
      </c>
      <c r="D9" s="182">
        <v>1671083.41</v>
      </c>
      <c r="E9" s="182">
        <v>10621913.01</v>
      </c>
      <c r="F9" t="str" cm="1">
        <f t="array" ref="F9">IF(ISBLANK(INDEX(Data_Input!$C$9:$AF$89,MATCH($A9&amp;$B9&amp;$C9&amp;$B$2,Data_Input!$D$9:$D$89&amp;Data_Input!$E$9:$E$89&amp;Data_Input!$F$9:$F$89&amp;Data_Input!$H$9:$H$89,0),MATCH(F$4,Data_Input!$C$9:$AF$9,0))),
"",
INDEX(Data_Input!$C$9:$AF$89,MATCH($A9&amp;$B9&amp;$C9&amp;$B$2,Data_Input!$D$9:$D$89&amp;Data_Input!$E$9:$E$89&amp;Data_Input!$F$9:$F$89&amp;Data_Input!$H$9:$H$89,0),MATCH(F$4,Data_Input!$C$9:$AF$9,0)))</f>
        <v>SWPTN</v>
      </c>
      <c r="G9" t="str" cm="1">
        <f t="array" ref="G9">IF(ISBLANK(INDEX(Data_Input!$C$9:$AF$89,MATCH($A9&amp;$B9&amp;$C9&amp;$B$2,Data_Input!$D$9:$D$89&amp;Data_Input!$E$9:$E$89&amp;Data_Input!$F$9:$F$89&amp;Data_Input!$H$9:$H$89,0),MATCH(G$4,Data_Input!$C$9:$AF$9,0))),
"",
INDEX(Data_Input!$C$9:$AF$89,MATCH($A9&amp;$B9&amp;$C9&amp;$B$2,Data_Input!$D$9:$D$89&amp;Data_Input!$E$9:$E$89&amp;Data_Input!$F$9:$F$89&amp;Data_Input!$H$9:$H$89,0),MATCH(G$4,Data_Input!$C$9:$AF$9,0)))</f>
        <v>JPY</v>
      </c>
      <c r="H9" t="str" cm="1">
        <f t="array" ref="H9">IF(ISBLANK(INDEX(Data_Input!$C$9:$AF$89,MATCH($A9&amp;$B9&amp;$C9&amp;$B$2,Data_Input!$D$9:$D$89&amp;Data_Input!$E$9:$E$89&amp;Data_Input!$F$9:$F$89&amp;Data_Input!$H$9:$H$89,0),MATCH(H$4,Data_Input!$C$9:$AF$9,0))),
"",
INDEX(Data_Input!$C$9:$AF$89,MATCH($A9&amp;$B9&amp;$C9&amp;$B$2,Data_Input!$D$9:$D$89&amp;Data_Input!$E$9:$E$89&amp;Data_Input!$F$9:$F$89&amp;Data_Input!$H$9:$H$89,0),MATCH(H$4,Data_Input!$C$9:$AF$9,0)))</f>
        <v/>
      </c>
      <c r="I9" t="str" cm="1">
        <f t="array" ref="I9">IF(ISBLANK(INDEX(Data_Input!$C$9:$AF$89,MATCH($A9&amp;$B9&amp;$C9&amp;$B$2,Data_Input!$D$9:$D$89&amp;Data_Input!$E$9:$E$89&amp;Data_Input!$F$9:$F$89&amp;Data_Input!$H$9:$H$89,0),MATCH(I$4,Data_Input!$C$9:$AF$9,0))),
"",
INDEX(Data_Input!$C$9:$AF$89,MATCH($A9&amp;$B9&amp;$C9&amp;$B$2,Data_Input!$D$9:$D$89&amp;Data_Input!$E$9:$E$89&amp;Data_Input!$F$9:$F$89&amp;Data_Input!$H$9:$H$89,0),MATCH(I$4,Data_Input!$C$9:$AF$9,0)))</f>
        <v/>
      </c>
      <c r="J9" t="str">
        <f t="shared" si="0"/>
        <v>JPY</v>
      </c>
      <c r="K9" s="183" cm="1">
        <f t="array" ref="K9">IF(ISBLANK(INDEX(Data_Input!$C$9:$AF$89,MATCH($A9&amp;$B9&amp;$C9&amp;$B$2,Data_Input!$D$9:$D$89&amp;Data_Input!$E$9:$E$89&amp;Data_Input!$F$9:$F$89&amp;Data_Input!$H$9:$H$89,0),MATCH(K$4,Data_Input!$C$9:$AF$9,0))),
"",
INDEX(Data_Input!$C$9:$AF$89,MATCH($A9&amp;$B9&amp;$C9&amp;$B$2,Data_Input!$D$9:$D$89&amp;Data_Input!$E$9:$E$89&amp;Data_Input!$F$9:$F$89&amp;Data_Input!$H$9:$H$89,0),MATCH(K$4,Data_Input!$C$9:$AF$9,0)))</f>
        <v>45564</v>
      </c>
      <c r="L9">
        <f t="shared" si="4"/>
        <v>0.74590163934426235</v>
      </c>
      <c r="M9" s="186">
        <f t="shared" si="5"/>
        <v>1</v>
      </c>
      <c r="N9" s="183" cm="1">
        <f t="array" ref="N9">IF(ISBLANK(INDEX(Data_Input!$C$9:$AF$89,MATCH($A9&amp;$B9&amp;$C9&amp;$B$2,Data_Input!$D$9:$D$89&amp;Data_Input!$E$9:$E$89&amp;Data_Input!$F$9:$F$89&amp;Data_Input!$H$9:$H$89,0),MATCH(N$4,Data_Input!$C$9:$AF$9,0))),
"",
INDEX(Data_Input!$C$9:$AF$89,MATCH($A9&amp;$B9&amp;$C9&amp;$B$2,Data_Input!$D$9:$D$89&amp;Data_Input!$E$9:$E$89&amp;Data_Input!$F$9:$F$89&amp;Data_Input!$H$9:$H$89,0),MATCH(N$4,Data_Input!$C$9:$AF$9,0)))</f>
        <v>41593</v>
      </c>
      <c r="O9">
        <f t="shared" si="6"/>
        <v>0</v>
      </c>
      <c r="P9" s="183" cm="1">
        <f t="array" ref="P9">IF(ISBLANK(INDEX(Data_Input!$C$9:$AF$89,MATCH($A9&amp;$B9&amp;$C9&amp;$B$2,Data_Input!$D$9:$D$89&amp;Data_Input!$E$9:$E$89&amp;Data_Input!$F$9:$F$89&amp;Data_Input!$H$9:$H$89,0),MATCH(P$4,Data_Input!$C$9:$AF$9,0))),
"",
INDEX(Data_Input!$C$9:$AF$89,MATCH($A9&amp;$B9&amp;$C9&amp;$B$2,Data_Input!$D$9:$D$89&amp;Data_Input!$E$9:$E$89&amp;Data_Input!$F$9:$F$89&amp;Data_Input!$H$9:$H$89,0),MATCH(P$4,Data_Input!$C$9:$AF$9,0)))</f>
        <v>45564</v>
      </c>
      <c r="Q9">
        <f t="shared" si="7"/>
        <v>0.74590163934426235</v>
      </c>
      <c r="R9">
        <f t="shared" si="8"/>
        <v>0.73216372299170107</v>
      </c>
      <c r="S9" s="180">
        <f t="shared" si="9"/>
        <v>7776979.3746955851</v>
      </c>
      <c r="T9" t="str" cm="1">
        <f t="array" ref="T9">IF(ISBLANK(INDEX(Data_Input!$C$9:$AF$89,MATCH($A9&amp;$B9&amp;$C9&amp;$B$2,Data_Input!$D$9:$D$89&amp;Data_Input!$E$9:$E$89&amp;Data_Input!$F$9:$F$89&amp;Data_Input!$H$9:$H$89,0),MATCH(T$4,Data_Input!$C$9:$AF$9,0))),
"",
INDEX(Data_Input!$C$9:$AF$89,MATCH($A9&amp;$B9&amp;$C9&amp;$B$2,Data_Input!$D$9:$D$89&amp;Data_Input!$E$9:$E$89&amp;Data_Input!$F$9:$F$89&amp;Data_Input!$H$9:$H$89,0),MATCH(T$4,Data_Input!$C$9:$AF$9,0)))</f>
        <v>M</v>
      </c>
      <c r="U9" t="str" cm="1">
        <f t="array" ref="U9">IF(ISBLANK(INDEX(Data_Input!$C$9:$AF$89,MATCH($A9&amp;$B9&amp;$C9&amp;$B$2,Data_Input!$D$9:$D$89&amp;Data_Input!$E$9:$E$89&amp;Data_Input!$F$9:$F$89&amp;Data_Input!$H$9:$H$89,0),MATCH(U$4,Data_Input!$C$9:$AF$9,0))),
"",
INDEX(Data_Input!$C$9:$AF$89,MATCH($A9&amp;$B9&amp;$C9&amp;$B$2,Data_Input!$D$9:$D$89&amp;Data_Input!$E$9:$E$89&amp;Data_Input!$F$9:$F$89&amp;Data_Input!$H$9:$H$89,0),MATCH(U$4,Data_Input!$C$9:$AF$9,0)))</f>
        <v>N</v>
      </c>
      <c r="V9" s="184" cm="1">
        <f t="array" ref="V9">IF(ISBLANK(INDEX(Data_Input!$C$9:$AF$89,MATCH($A9&amp;$B9&amp;$C9&amp;$B$2,Data_Input!$D$9:$D$89&amp;Data_Input!$E$9:$E$89&amp;Data_Input!$F$9:$F$89&amp;Data_Input!$H$9:$H$89,0),MATCH(V$4,Data_Input!$C$9:$AF$9,0))),
"",
INDEX(Data_Input!$C$9:$AF$89,MATCH($A9&amp;$B9&amp;$C9&amp;$B$2,Data_Input!$D$9:$D$89&amp;Data_Input!$E$9:$E$89&amp;Data_Input!$F$9:$F$89&amp;Data_Input!$H$9:$H$89,0),MATCH(V$4,Data_Input!$C$9:$AF$9,0)))</f>
        <v>5</v>
      </c>
      <c r="W9">
        <f t="shared" si="10"/>
        <v>14</v>
      </c>
      <c r="X9">
        <f t="shared" si="11"/>
        <v>0.354964786985977</v>
      </c>
      <c r="Y9" s="184" t="str" cm="1">
        <f t="array" ref="Y9">IF(ISBLANK(INDEX(Data_Input!$C$9:$AF$89,MATCH($A9&amp;$B9&amp;$C9&amp;$B$2,Data_Input!$D$9:$D$89&amp;Data_Input!$E$9:$E$89&amp;Data_Input!$F$9:$F$89&amp;Data_Input!$H$9:$H$89,0),MATCH(Y$4,Data_Input!$C$9:$AF$9,0))),
"",
INDEX(Data_Input!$C$9:$AF$89,MATCH($A9&amp;$B9&amp;$C9&amp;$B$2,Data_Input!$D$9:$D$89&amp;Data_Input!$E$9:$E$89&amp;Data_Input!$F$9:$F$89&amp;Data_Input!$H$9:$H$89,0),MATCH(Y$4,Data_Input!$C$9:$AF$9,0)))</f>
        <v>B</v>
      </c>
      <c r="Z9" s="185" cm="1">
        <f t="array" ref="Z9">IF(ISBLANK(INDEX(Data_Input!$C$9:$AF$89,MATCH($A9&amp;$B9&amp;$C9&amp;$B$2,Data_Input!$D$9:$D$89&amp;Data_Input!$E$9:$E$89&amp;Data_Input!$F$9:$F$89&amp;Data_Input!$H$9:$H$89,0),MATCH(Z$4,Data_Input!$C$9:$AF$9,0))),
"",
INDEX(Data_Input!$C$9:$AF$89,MATCH($A9&amp;$B9&amp;$C9&amp;$B$2,Data_Input!$D$9:$D$89&amp;Data_Input!$E$9:$E$89&amp;Data_Input!$F$9:$F$89&amp;Data_Input!$H$9:$H$89,0),MATCH(Z$4,Data_Input!$C$9:$AF$9,0)))</f>
        <v>45564</v>
      </c>
      <c r="AA9">
        <f t="shared" si="1"/>
        <v>0.74590163934426235</v>
      </c>
      <c r="AB9" s="184" t="str" cm="1">
        <f t="array" ref="AB9">IF(ISBLANK(INDEX(Data_Input!$C$9:$AF$89,MATCH($A9&amp;$B9&amp;$C9&amp;$B$2,Data_Input!$D$9:$D$89&amp;Data_Input!$E$9:$E$89&amp;Data_Input!$F$9:$F$89&amp;Data_Input!$H$9:$H$89,0),MATCH(AB$4,Data_Input!$C$9:$AF$9,0))),
"",
INDEX(Data_Input!$C$9:$AF$89,MATCH($A9&amp;$B9&amp;$C9&amp;$B$2,Data_Input!$D$9:$D$89&amp;Data_Input!$E$9:$E$89&amp;Data_Input!$F$9:$F$89&amp;Data_Input!$H$9:$H$89,0),MATCH(AB$4,Data_Input!$C$9:$AF$9,0)))</f>
        <v>P</v>
      </c>
      <c r="AC9" s="184" cm="1">
        <f t="array" ref="AC9">IF(ISBLANK(INDEX(Data_Input!$C$9:$AF$89,MATCH($A9&amp;$B9&amp;$C9&amp;$B$2,Data_Input!$D$9:$D$89&amp;Data_Input!$E$9:$E$89&amp;Data_Input!$F$9:$F$89&amp;Data_Input!$H$9:$H$89,0),MATCH(AC$4,Data_Input!$C$9:$AF$9,0))),
"",
INDEX(Data_Input!$C$9:$AF$89,MATCH($A9&amp;$B9&amp;$C9&amp;$B$2,Data_Input!$D$9:$D$89&amp;Data_Input!$E$9:$E$89&amp;Data_Input!$F$9:$F$89&amp;Data_Input!$H$9:$H$89,0),MATCH(AC$4,Data_Input!$C$9:$AF$9,0)))</f>
        <v>127</v>
      </c>
      <c r="AD9" s="184" cm="1">
        <f t="array" ref="AD9">IF(ISBLANK(INDEX(Data_Input!$C$9:$AF$89,MATCH($A9&amp;$B9&amp;$C9&amp;$B$2,Data_Input!$D$9:$D$89&amp;Data_Input!$E$9:$E$89&amp;Data_Input!$F$9:$F$89&amp;Data_Input!$H$9:$H$89,0),MATCH(AD$4,Data_Input!$C$9:$AF$9,0))),
"",
INDEX(Data_Input!$C$9:$AF$89,MATCH($A9&amp;$B9&amp;$C9&amp;$B$2,Data_Input!$D$9:$D$89&amp;Data_Input!$E$9:$E$89&amp;Data_Input!$F$9:$F$89&amp;Data_Input!$H$9:$H$89,0),MATCH(AD$4,Data_Input!$C$9:$AF$9,0)))</f>
        <v>120</v>
      </c>
      <c r="AE9">
        <v>0.5</v>
      </c>
      <c r="AF9">
        <f t="shared" si="2"/>
        <v>-0.46628075774241684</v>
      </c>
      <c r="AG9">
        <f t="shared" si="3"/>
        <v>-0.46628075774241684</v>
      </c>
      <c r="AH9" s="180">
        <f t="shared" si="12"/>
        <v>-1287193.1303043764</v>
      </c>
    </row>
    <row r="10" spans="1:34">
      <c r="A10" t="s">
        <v>22</v>
      </c>
      <c r="B10">
        <v>1101</v>
      </c>
      <c r="C10">
        <v>106</v>
      </c>
      <c r="D10" s="182">
        <v>-149917.47</v>
      </c>
      <c r="E10" s="182">
        <v>52801098.259999998</v>
      </c>
      <c r="F10" t="str" cm="1">
        <f t="array" ref="F10">IF(ISBLANK(INDEX(Data_Input!$C$9:$AF$89,MATCH($A10&amp;$B10&amp;$C10&amp;$B$2,Data_Input!$D$9:$D$89&amp;Data_Input!$E$9:$E$89&amp;Data_Input!$F$9:$F$89&amp;Data_Input!$H$9:$H$89,0),MATCH(F$4,Data_Input!$C$9:$AF$9,0))),
"",
INDEX(Data_Input!$C$9:$AF$89,MATCH($A10&amp;$B10&amp;$C10&amp;$B$2,Data_Input!$D$9:$D$89&amp;Data_Input!$E$9:$E$89&amp;Data_Input!$F$9:$F$89&amp;Data_Input!$H$9:$H$89,0),MATCH(F$4,Data_Input!$C$9:$AF$9,0)))</f>
        <v>CPFLR</v>
      </c>
      <c r="G10" t="str" cm="1">
        <f t="array" ref="G10">IF(ISBLANK(INDEX(Data_Input!$C$9:$AF$89,MATCH($A10&amp;$B10&amp;$C10&amp;$B$2,Data_Input!$D$9:$D$89&amp;Data_Input!$E$9:$E$89&amp;Data_Input!$F$9:$F$89&amp;Data_Input!$H$9:$H$89,0),MATCH(G$4,Data_Input!$C$9:$AF$9,0))),
"",
INDEX(Data_Input!$C$9:$AF$89,MATCH($A10&amp;$B10&amp;$C10&amp;$B$2,Data_Input!$D$9:$D$89&amp;Data_Input!$E$9:$E$89&amp;Data_Input!$F$9:$F$89&amp;Data_Input!$H$9:$H$89,0),MATCH(G$4,Data_Input!$C$9:$AF$9,0)))</f>
        <v>JPY</v>
      </c>
      <c r="H10" t="str" cm="1">
        <f t="array" ref="H10">IF(ISBLANK(INDEX(Data_Input!$C$9:$AF$89,MATCH($A10&amp;$B10&amp;$C10&amp;$B$2,Data_Input!$D$9:$D$89&amp;Data_Input!$E$9:$E$89&amp;Data_Input!$F$9:$F$89&amp;Data_Input!$H$9:$H$89,0),MATCH(H$4,Data_Input!$C$9:$AF$9,0))),
"",
INDEX(Data_Input!$C$9:$AF$89,MATCH($A10&amp;$B10&amp;$C10&amp;$B$2,Data_Input!$D$9:$D$89&amp;Data_Input!$E$9:$E$89&amp;Data_Input!$F$9:$F$89&amp;Data_Input!$H$9:$H$89,0),MATCH(H$4,Data_Input!$C$9:$AF$9,0)))</f>
        <v/>
      </c>
      <c r="I10" t="str" cm="1">
        <f t="array" ref="I10">IF(ISBLANK(INDEX(Data_Input!$C$9:$AF$89,MATCH($A10&amp;$B10&amp;$C10&amp;$B$2,Data_Input!$D$9:$D$89&amp;Data_Input!$E$9:$E$89&amp;Data_Input!$F$9:$F$89&amp;Data_Input!$H$9:$H$89,0),MATCH(I$4,Data_Input!$C$9:$AF$9,0))),
"",
INDEX(Data_Input!$C$9:$AF$89,MATCH($A10&amp;$B10&amp;$C10&amp;$B$2,Data_Input!$D$9:$D$89&amp;Data_Input!$E$9:$E$89&amp;Data_Input!$F$9:$F$89&amp;Data_Input!$H$9:$H$89,0),MATCH(I$4,Data_Input!$C$9:$AF$9,0)))</f>
        <v/>
      </c>
      <c r="J10" t="str">
        <f t="shared" si="0"/>
        <v>JPY</v>
      </c>
      <c r="K10" s="183" cm="1">
        <f t="array" ref="K10">IF(ISBLANK(INDEX(Data_Input!$C$9:$AF$89,MATCH($A10&amp;$B10&amp;$C10&amp;$B$2,Data_Input!$D$9:$D$89&amp;Data_Input!$E$9:$E$89&amp;Data_Input!$F$9:$F$89&amp;Data_Input!$H$9:$H$89,0),MATCH(K$4,Data_Input!$C$9:$AF$9,0))),
"",
INDEX(Data_Input!$C$9:$AF$89,MATCH($A10&amp;$B10&amp;$C10&amp;$B$2,Data_Input!$D$9:$D$89&amp;Data_Input!$E$9:$E$89&amp;Data_Input!$F$9:$F$89&amp;Data_Input!$H$9:$H$89,0),MATCH(K$4,Data_Input!$C$9:$AF$9,0)))</f>
        <v>45545</v>
      </c>
      <c r="L10">
        <f t="shared" si="4"/>
        <v>0.69398907103825136</v>
      </c>
      <c r="M10" s="186">
        <f t="shared" si="5"/>
        <v>1</v>
      </c>
      <c r="N10" s="183" cm="1">
        <f t="array" ref="N10">IF(ISBLANK(INDEX(Data_Input!$C$9:$AF$89,MATCH($A10&amp;$B10&amp;$C10&amp;$B$2,Data_Input!$D$9:$D$89&amp;Data_Input!$E$9:$E$89&amp;Data_Input!$F$9:$F$89&amp;Data_Input!$H$9:$H$89,0),MATCH(N$4,Data_Input!$C$9:$AF$9,0))),
"",
INDEX(Data_Input!$C$9:$AF$89,MATCH($A10&amp;$B10&amp;$C10&amp;$B$2,Data_Input!$D$9:$D$89&amp;Data_Input!$E$9:$E$89&amp;Data_Input!$F$9:$F$89&amp;Data_Input!$H$9:$H$89,0),MATCH(N$4,Data_Input!$C$9:$AF$9,0)))</f>
        <v>41593</v>
      </c>
      <c r="O10">
        <f t="shared" si="6"/>
        <v>0</v>
      </c>
      <c r="P10" s="183" cm="1">
        <f t="array" ref="P10">IF(ISBLANK(INDEX(Data_Input!$C$9:$AF$89,MATCH($A10&amp;$B10&amp;$C10&amp;$B$2,Data_Input!$D$9:$D$89&amp;Data_Input!$E$9:$E$89&amp;Data_Input!$F$9:$F$89&amp;Data_Input!$H$9:$H$89,0),MATCH(P$4,Data_Input!$C$9:$AF$9,0))),
"",
INDEX(Data_Input!$C$9:$AF$89,MATCH($A10&amp;$B10&amp;$C10&amp;$B$2,Data_Input!$D$9:$D$89&amp;Data_Input!$E$9:$E$89&amp;Data_Input!$F$9:$F$89&amp;Data_Input!$H$9:$H$89,0),MATCH(P$4,Data_Input!$C$9:$AF$9,0)))</f>
        <v>45545</v>
      </c>
      <c r="Q10">
        <f t="shared" si="7"/>
        <v>0.69398907103825136</v>
      </c>
      <c r="R10">
        <f t="shared" si="8"/>
        <v>0.68208661698540229</v>
      </c>
      <c r="S10" s="180">
        <f t="shared" si="9"/>
        <v>36014922.485277213</v>
      </c>
      <c r="T10" t="str" cm="1">
        <f t="array" ref="T10">IF(ISBLANK(INDEX(Data_Input!$C$9:$AF$89,MATCH($A10&amp;$B10&amp;$C10&amp;$B$2,Data_Input!$D$9:$D$89&amp;Data_Input!$E$9:$E$89&amp;Data_Input!$F$9:$F$89&amp;Data_Input!$H$9:$H$89,0),MATCH(T$4,Data_Input!$C$9:$AF$9,0))),
"",
INDEX(Data_Input!$C$9:$AF$89,MATCH($A10&amp;$B10&amp;$C10&amp;$B$2,Data_Input!$D$9:$D$89&amp;Data_Input!$E$9:$E$89&amp;Data_Input!$F$9:$F$89&amp;Data_Input!$H$9:$H$89,0),MATCH(T$4,Data_Input!$C$9:$AF$9,0)))</f>
        <v>M</v>
      </c>
      <c r="U10" t="str" cm="1">
        <f t="array" ref="U10">IF(ISBLANK(INDEX(Data_Input!$C$9:$AF$89,MATCH($A10&amp;$B10&amp;$C10&amp;$B$2,Data_Input!$D$9:$D$89&amp;Data_Input!$E$9:$E$89&amp;Data_Input!$F$9:$F$89&amp;Data_Input!$H$9:$H$89,0),MATCH(U$4,Data_Input!$C$9:$AF$9,0))),
"",
INDEX(Data_Input!$C$9:$AF$89,MATCH($A10&amp;$B10&amp;$C10&amp;$B$2,Data_Input!$D$9:$D$89&amp;Data_Input!$E$9:$E$89&amp;Data_Input!$F$9:$F$89&amp;Data_Input!$H$9:$H$89,0),MATCH(U$4,Data_Input!$C$9:$AF$9,0)))</f>
        <v>N</v>
      </c>
      <c r="V10" s="184" cm="1">
        <f t="array" ref="V10">IF(ISBLANK(INDEX(Data_Input!$C$9:$AF$89,MATCH($A10&amp;$B10&amp;$C10&amp;$B$2,Data_Input!$D$9:$D$89&amp;Data_Input!$E$9:$E$89&amp;Data_Input!$F$9:$F$89&amp;Data_Input!$H$9:$H$89,0),MATCH(V$4,Data_Input!$C$9:$AF$9,0))),
"",
INDEX(Data_Input!$C$9:$AF$89,MATCH($A10&amp;$B10&amp;$C10&amp;$B$2,Data_Input!$D$9:$D$89&amp;Data_Input!$E$9:$E$89&amp;Data_Input!$F$9:$F$89&amp;Data_Input!$H$9:$H$89,0),MATCH(V$4,Data_Input!$C$9:$AF$9,0)))</f>
        <v>5</v>
      </c>
      <c r="W10">
        <f t="shared" si="10"/>
        <v>14</v>
      </c>
      <c r="X10">
        <f t="shared" si="11"/>
        <v>0.354964786985977</v>
      </c>
      <c r="Y10" s="184" t="str" cm="1">
        <f t="array" ref="Y10">IF(ISBLANK(INDEX(Data_Input!$C$9:$AF$89,MATCH($A10&amp;$B10&amp;$C10&amp;$B$2,Data_Input!$D$9:$D$89&amp;Data_Input!$E$9:$E$89&amp;Data_Input!$F$9:$F$89&amp;Data_Input!$H$9:$H$89,0),MATCH(Y$4,Data_Input!$C$9:$AF$9,0))),
"",
INDEX(Data_Input!$C$9:$AF$89,MATCH($A10&amp;$B10&amp;$C10&amp;$B$2,Data_Input!$D$9:$D$89&amp;Data_Input!$E$9:$E$89&amp;Data_Input!$F$9:$F$89&amp;Data_Input!$H$9:$H$89,0),MATCH(Y$4,Data_Input!$C$9:$AF$9,0)))</f>
        <v>B</v>
      </c>
      <c r="Z10" s="185" cm="1">
        <f t="array" ref="Z10">IF(ISBLANK(INDEX(Data_Input!$C$9:$AF$89,MATCH($A10&amp;$B10&amp;$C10&amp;$B$2,Data_Input!$D$9:$D$89&amp;Data_Input!$E$9:$E$89&amp;Data_Input!$F$9:$F$89&amp;Data_Input!$H$9:$H$89,0),MATCH(Z$4,Data_Input!$C$9:$AF$9,0))),
"",
INDEX(Data_Input!$C$9:$AF$89,MATCH($A10&amp;$B10&amp;$C10&amp;$B$2,Data_Input!$D$9:$D$89&amp;Data_Input!$E$9:$E$89&amp;Data_Input!$F$9:$F$89&amp;Data_Input!$H$9:$H$89,0),MATCH(Z$4,Data_Input!$C$9:$AF$9,0)))</f>
        <v>45545</v>
      </c>
      <c r="AA10">
        <f t="shared" si="1"/>
        <v>0.69398907103825136</v>
      </c>
      <c r="AB10" s="184" t="str" cm="1">
        <f t="array" ref="AB10">IF(ISBLANK(INDEX(Data_Input!$C$9:$AF$89,MATCH($A10&amp;$B10&amp;$C10&amp;$B$2,Data_Input!$D$9:$D$89&amp;Data_Input!$E$9:$E$89&amp;Data_Input!$F$9:$F$89&amp;Data_Input!$H$9:$H$89,0),MATCH(AB$4,Data_Input!$C$9:$AF$9,0))),
"",
INDEX(Data_Input!$C$9:$AF$89,MATCH($A10&amp;$B10&amp;$C10&amp;$B$2,Data_Input!$D$9:$D$89&amp;Data_Input!$E$9:$E$89&amp;Data_Input!$F$9:$F$89&amp;Data_Input!$H$9:$H$89,0),MATCH(AB$4,Data_Input!$C$9:$AF$9,0)))</f>
        <v>C</v>
      </c>
      <c r="AC10" s="184" cm="1">
        <f t="array" ref="AC10">IF(ISBLANK(INDEX(Data_Input!$C$9:$AF$89,MATCH($A10&amp;$B10&amp;$C10&amp;$B$2,Data_Input!$D$9:$D$89&amp;Data_Input!$E$9:$E$89&amp;Data_Input!$F$9:$F$89&amp;Data_Input!$H$9:$H$89,0),MATCH(AC$4,Data_Input!$C$9:$AF$9,0))),
"",
INDEX(Data_Input!$C$9:$AF$89,MATCH($A10&amp;$B10&amp;$C10&amp;$B$2,Data_Input!$D$9:$D$89&amp;Data_Input!$E$9:$E$89&amp;Data_Input!$F$9:$F$89&amp;Data_Input!$H$9:$H$89,0),MATCH(AC$4,Data_Input!$C$9:$AF$9,0)))</f>
        <v>135</v>
      </c>
      <c r="AD10" s="184" cm="1">
        <f t="array" ref="AD10">IF(ISBLANK(INDEX(Data_Input!$C$9:$AF$89,MATCH($A10&amp;$B10&amp;$C10&amp;$B$2,Data_Input!$D$9:$D$89&amp;Data_Input!$E$9:$E$89&amp;Data_Input!$F$9:$F$89&amp;Data_Input!$H$9:$H$89,0),MATCH(AD$4,Data_Input!$C$9:$AF$9,0))),
"",
INDEX(Data_Input!$C$9:$AF$89,MATCH($A10&amp;$B10&amp;$C10&amp;$B$2,Data_Input!$D$9:$D$89&amp;Data_Input!$E$9:$E$89&amp;Data_Input!$F$9:$F$89&amp;Data_Input!$H$9:$H$89,0),MATCH(AD$4,Data_Input!$C$9:$AF$9,0)))</f>
        <v>154</v>
      </c>
      <c r="AE10">
        <v>0.5</v>
      </c>
      <c r="AF10">
        <f t="shared" si="2"/>
        <v>0.69999824320306014</v>
      </c>
      <c r="AG10">
        <f t="shared" si="3"/>
        <v>0.69999824320306014</v>
      </c>
      <c r="AH10" s="180">
        <f t="shared" si="12"/>
        <v>8948798.0428684969</v>
      </c>
    </row>
    <row r="11" spans="1:34">
      <c r="A11" t="s">
        <v>22</v>
      </c>
      <c r="B11">
        <v>1101</v>
      </c>
      <c r="C11">
        <v>107</v>
      </c>
      <c r="D11" s="182">
        <v>149515.81</v>
      </c>
      <c r="E11" s="182">
        <v>58081208.090000004</v>
      </c>
      <c r="F11" t="str" cm="1">
        <f t="array" ref="F11">IF(ISBLANK(INDEX(Data_Input!$C$9:$AF$89,MATCH($A11&amp;$B11&amp;$C11&amp;$B$2,Data_Input!$D$9:$D$89&amp;Data_Input!$E$9:$E$89&amp;Data_Input!$F$9:$F$89&amp;Data_Input!$H$9:$H$89,0),MATCH(F$4,Data_Input!$C$9:$AF$9,0))),
"",
INDEX(Data_Input!$C$9:$AF$89,MATCH($A11&amp;$B11&amp;$C11&amp;$B$2,Data_Input!$D$9:$D$89&amp;Data_Input!$E$9:$E$89&amp;Data_Input!$F$9:$F$89&amp;Data_Input!$H$9:$H$89,0),MATCH(F$4,Data_Input!$C$9:$AF$9,0)))</f>
        <v>IRSWP</v>
      </c>
      <c r="G11" t="str" cm="1">
        <f t="array" ref="G11">IF(ISBLANK(INDEX(Data_Input!$C$9:$AF$89,MATCH($A11&amp;$B11&amp;$C11&amp;$B$2,Data_Input!$D$9:$D$89&amp;Data_Input!$E$9:$E$89&amp;Data_Input!$F$9:$F$89&amp;Data_Input!$H$9:$H$89,0),MATCH(G$4,Data_Input!$C$9:$AF$9,0))),
"",
INDEX(Data_Input!$C$9:$AF$89,MATCH($A11&amp;$B11&amp;$C11&amp;$B$2,Data_Input!$D$9:$D$89&amp;Data_Input!$E$9:$E$89&amp;Data_Input!$F$9:$F$89&amp;Data_Input!$H$9:$H$89,0),MATCH(G$4,Data_Input!$C$9:$AF$9,0)))</f>
        <v>AUD</v>
      </c>
      <c r="H11" t="str" cm="1">
        <f t="array" ref="H11">IF(ISBLANK(INDEX(Data_Input!$C$9:$AF$89,MATCH($A11&amp;$B11&amp;$C11&amp;$B$2,Data_Input!$D$9:$D$89&amp;Data_Input!$E$9:$E$89&amp;Data_Input!$F$9:$F$89&amp;Data_Input!$H$9:$H$89,0),MATCH(H$4,Data_Input!$C$9:$AF$9,0))),
"",
INDEX(Data_Input!$C$9:$AF$89,MATCH($A11&amp;$B11&amp;$C11&amp;$B$2,Data_Input!$D$9:$D$89&amp;Data_Input!$E$9:$E$89&amp;Data_Input!$F$9:$F$89&amp;Data_Input!$H$9:$H$89,0),MATCH(H$4,Data_Input!$C$9:$AF$9,0)))</f>
        <v>Basis</v>
      </c>
      <c r="I11" t="str" cm="1">
        <f t="array" ref="I11">IF(ISBLANK(INDEX(Data_Input!$C$9:$AF$89,MATCH($A11&amp;$B11&amp;$C11&amp;$B$2,Data_Input!$D$9:$D$89&amp;Data_Input!$E$9:$E$89&amp;Data_Input!$F$9:$F$89&amp;Data_Input!$H$9:$H$89,0),MATCH(I$4,Data_Input!$C$9:$AF$9,0))),
"",
INDEX(Data_Input!$C$9:$AF$89,MATCH($A11&amp;$B11&amp;$C11&amp;$B$2,Data_Input!$D$9:$D$89&amp;Data_Input!$E$9:$E$89&amp;Data_Input!$F$9:$F$89&amp;Data_Input!$H$9:$H$89,0),MATCH(I$4,Data_Input!$C$9:$AF$9,0)))</f>
        <v>3 month LIBOR vs 6 month LIBOR</v>
      </c>
      <c r="J11" t="str">
        <f t="shared" si="0"/>
        <v>AUD [3 month LIBOR vs 6 month LIBOR]</v>
      </c>
      <c r="K11" s="183" cm="1">
        <f t="array" ref="K11">IF(ISBLANK(INDEX(Data_Input!$C$9:$AF$89,MATCH($A11&amp;$B11&amp;$C11&amp;$B$2,Data_Input!$D$9:$D$89&amp;Data_Input!$E$9:$E$89&amp;Data_Input!$F$9:$F$89&amp;Data_Input!$H$9:$H$89,0),MATCH(K$4,Data_Input!$C$9:$AF$9,0))),
"",
INDEX(Data_Input!$C$9:$AF$89,MATCH($A11&amp;$B11&amp;$C11&amp;$B$2,Data_Input!$D$9:$D$89&amp;Data_Input!$E$9:$E$89&amp;Data_Input!$F$9:$F$89&amp;Data_Input!$H$9:$H$89,0),MATCH(K$4,Data_Input!$C$9:$AF$9,0)))</f>
        <v>46734</v>
      </c>
      <c r="L11">
        <f t="shared" si="4"/>
        <v>3.9512595837897044</v>
      </c>
      <c r="M11" s="186">
        <f t="shared" si="5"/>
        <v>2</v>
      </c>
      <c r="N11" s="183" cm="1">
        <f t="array" ref="N11">IF(ISBLANK(INDEX(Data_Input!$C$9:$AF$89,MATCH($A11&amp;$B11&amp;$C11&amp;$B$2,Data_Input!$D$9:$D$89&amp;Data_Input!$E$9:$E$89&amp;Data_Input!$F$9:$F$89&amp;Data_Input!$H$9:$H$89,0),MATCH(N$4,Data_Input!$C$9:$AF$9,0))),
"",
INDEX(Data_Input!$C$9:$AF$89,MATCH($A11&amp;$B11&amp;$C11&amp;$B$2,Data_Input!$D$9:$D$89&amp;Data_Input!$E$9:$E$89&amp;Data_Input!$F$9:$F$89&amp;Data_Input!$H$9:$H$89,0),MATCH(N$4,Data_Input!$C$9:$AF$9,0)))</f>
        <v>41491</v>
      </c>
      <c r="O11">
        <f t="shared" si="6"/>
        <v>0</v>
      </c>
      <c r="P11" s="183" cm="1">
        <f t="array" ref="P11">IF(ISBLANK(INDEX(Data_Input!$C$9:$AF$89,MATCH($A11&amp;$B11&amp;$C11&amp;$B$2,Data_Input!$D$9:$D$89&amp;Data_Input!$E$9:$E$89&amp;Data_Input!$F$9:$F$89&amp;Data_Input!$H$9:$H$89,0),MATCH(P$4,Data_Input!$C$9:$AF$9,0))),
"",
INDEX(Data_Input!$C$9:$AF$89,MATCH($A11&amp;$B11&amp;$C11&amp;$B$2,Data_Input!$D$9:$D$89&amp;Data_Input!$E$9:$E$89&amp;Data_Input!$F$9:$F$89&amp;Data_Input!$H$9:$H$89,0),MATCH(P$4,Data_Input!$C$9:$AF$9,0)))</f>
        <v>46734</v>
      </c>
      <c r="Q11">
        <f t="shared" si="7"/>
        <v>3.9512595837897044</v>
      </c>
      <c r="R11">
        <f t="shared" si="8"/>
        <v>3.5854309962509889</v>
      </c>
      <c r="S11" s="180">
        <f t="shared" si="9"/>
        <v>208246163.78558972</v>
      </c>
      <c r="T11" t="str" cm="1">
        <f t="array" ref="T11">IF(ISBLANK(INDEX(Data_Input!$C$9:$AF$89,MATCH($A11&amp;$B11&amp;$C11&amp;$B$2,Data_Input!$D$9:$D$89&amp;Data_Input!$E$9:$E$89&amp;Data_Input!$F$9:$F$89&amp;Data_Input!$H$9:$H$89,0),MATCH(T$4,Data_Input!$C$9:$AF$9,0))),
"",
INDEX(Data_Input!$C$9:$AF$89,MATCH($A11&amp;$B11&amp;$C11&amp;$B$2,Data_Input!$D$9:$D$89&amp;Data_Input!$E$9:$E$89&amp;Data_Input!$F$9:$F$89&amp;Data_Input!$H$9:$H$89,0),MATCH(T$4,Data_Input!$C$9:$AF$9,0)))</f>
        <v>M</v>
      </c>
      <c r="U11" t="str" cm="1">
        <f t="array" ref="U11">IF(ISBLANK(INDEX(Data_Input!$C$9:$AF$89,MATCH($A11&amp;$B11&amp;$C11&amp;$B$2,Data_Input!$D$9:$D$89&amp;Data_Input!$E$9:$E$89&amp;Data_Input!$F$9:$F$89&amp;Data_Input!$H$9:$H$89,0),MATCH(U$4,Data_Input!$C$9:$AF$9,0))),
"",
INDEX(Data_Input!$C$9:$AF$89,MATCH($A11&amp;$B11&amp;$C11&amp;$B$2,Data_Input!$D$9:$D$89&amp;Data_Input!$E$9:$E$89&amp;Data_Input!$F$9:$F$89&amp;Data_Input!$H$9:$H$89,0),MATCH(U$4,Data_Input!$C$9:$AF$9,0)))</f>
        <v>N</v>
      </c>
      <c r="V11" s="184" cm="1">
        <f t="array" ref="V11">IF(ISBLANK(INDEX(Data_Input!$C$9:$AF$89,MATCH($A11&amp;$B11&amp;$C11&amp;$B$2,Data_Input!$D$9:$D$89&amp;Data_Input!$E$9:$E$89&amp;Data_Input!$F$9:$F$89&amp;Data_Input!$H$9:$H$89,0),MATCH(V$4,Data_Input!$C$9:$AF$9,0))),
"",
INDEX(Data_Input!$C$9:$AF$89,MATCH($A11&amp;$B11&amp;$C11&amp;$B$2,Data_Input!$D$9:$D$89&amp;Data_Input!$E$9:$E$89&amp;Data_Input!$F$9:$F$89&amp;Data_Input!$H$9:$H$89,0),MATCH(V$4,Data_Input!$C$9:$AF$9,0)))</f>
        <v>5</v>
      </c>
      <c r="W11">
        <f t="shared" si="10"/>
        <v>14</v>
      </c>
      <c r="X11">
        <f t="shared" si="11"/>
        <v>0.354964786985977</v>
      </c>
      <c r="Y11" s="184" t="str" cm="1">
        <f t="array" ref="Y11">IF(ISBLANK(INDEX(Data_Input!$C$9:$AF$89,MATCH($A11&amp;$B11&amp;$C11&amp;$B$2,Data_Input!$D$9:$D$89&amp;Data_Input!$E$9:$E$89&amp;Data_Input!$F$9:$F$89&amp;Data_Input!$H$9:$H$89,0),MATCH(Y$4,Data_Input!$C$9:$AF$9,0))),
"",
INDEX(Data_Input!$C$9:$AF$89,MATCH($A11&amp;$B11&amp;$C11&amp;$B$2,Data_Input!$D$9:$D$89&amp;Data_Input!$E$9:$E$89&amp;Data_Input!$F$9:$F$89&amp;Data_Input!$H$9:$H$89,0),MATCH(Y$4,Data_Input!$C$9:$AF$9,0)))</f>
        <v>S</v>
      </c>
      <c r="Z11" s="185" t="str" cm="1">
        <f t="array" ref="Z11">IF(ISBLANK(INDEX(Data_Input!$C$9:$AF$89,MATCH($A11&amp;$B11&amp;$C11&amp;$B$2,Data_Input!$D$9:$D$89&amp;Data_Input!$E$9:$E$89&amp;Data_Input!$F$9:$F$89&amp;Data_Input!$H$9:$H$89,0),MATCH(Z$4,Data_Input!$C$9:$AF$9,0))),
"",
INDEX(Data_Input!$C$9:$AF$89,MATCH($A11&amp;$B11&amp;$C11&amp;$B$2,Data_Input!$D$9:$D$89&amp;Data_Input!$E$9:$E$89&amp;Data_Input!$F$9:$F$89&amp;Data_Input!$H$9:$H$89,0),MATCH(Z$4,Data_Input!$C$9:$AF$9,0)))</f>
        <v/>
      </c>
      <c r="AA11" t="str">
        <f>IF(Z11="","",YEARFRAC($A$1,Z11,1))</f>
        <v/>
      </c>
      <c r="AB11" s="184" t="str" cm="1">
        <f t="array" ref="AB11">IF(ISBLANK(INDEX(Data_Input!$C$9:$AF$89,MATCH($A11&amp;$B11&amp;$C11&amp;$B$2,Data_Input!$D$9:$D$89&amp;Data_Input!$E$9:$E$89&amp;Data_Input!$F$9:$F$89&amp;Data_Input!$H$9:$H$89,0),MATCH(AB$4,Data_Input!$C$9:$AF$9,0))),
"",
INDEX(Data_Input!$C$9:$AF$89,MATCH($A11&amp;$B11&amp;$C11&amp;$B$2,Data_Input!$D$9:$D$89&amp;Data_Input!$E$9:$E$89&amp;Data_Input!$F$9:$F$89&amp;Data_Input!$H$9:$H$89,0),MATCH(AB$4,Data_Input!$C$9:$AF$9,0)))</f>
        <v/>
      </c>
      <c r="AC11" s="184" t="str" cm="1">
        <f t="array" ref="AC11">IF(ISBLANK(INDEX(Data_Input!$C$9:$AF$89,MATCH($A11&amp;$B11&amp;$C11&amp;$B$2,Data_Input!$D$9:$D$89&amp;Data_Input!$E$9:$E$89&amp;Data_Input!$F$9:$F$89&amp;Data_Input!$H$9:$H$89,0),MATCH(AC$4,Data_Input!$C$9:$AF$9,0))),
"",
INDEX(Data_Input!$C$9:$AF$89,MATCH($A11&amp;$B11&amp;$C11&amp;$B$2,Data_Input!$D$9:$D$89&amp;Data_Input!$E$9:$E$89&amp;Data_Input!$F$9:$F$89&amp;Data_Input!$H$9:$H$89,0),MATCH(AC$4,Data_Input!$C$9:$AF$9,0)))</f>
        <v/>
      </c>
      <c r="AD11" s="184" t="str" cm="1">
        <f t="array" ref="AD11">IF(ISBLANK(INDEX(Data_Input!$C$9:$AF$89,MATCH($A11&amp;$B11&amp;$C11&amp;$B$2,Data_Input!$D$9:$D$89&amp;Data_Input!$E$9:$E$89&amp;Data_Input!$F$9:$F$89&amp;Data_Input!$H$9:$H$89,0),MATCH(AD$4,Data_Input!$C$9:$AF$9,0))),
"",
INDEX(Data_Input!$C$9:$AF$89,MATCH($A11&amp;$B11&amp;$C11&amp;$B$2,Data_Input!$D$9:$D$89&amp;Data_Input!$E$9:$E$89&amp;Data_Input!$F$9:$F$89&amp;Data_Input!$H$9:$H$89,0),MATCH(AD$4,Data_Input!$C$9:$AF$9,0)))</f>
        <v/>
      </c>
      <c r="AG11">
        <f t="shared" si="3"/>
        <v>-1</v>
      </c>
      <c r="AH11" s="180">
        <f t="shared" si="12"/>
        <v>-73920055.16879873</v>
      </c>
    </row>
    <row r="12" spans="1:34">
      <c r="A12" t="s">
        <v>22</v>
      </c>
      <c r="B12">
        <v>1101</v>
      </c>
      <c r="C12">
        <v>108</v>
      </c>
      <c r="D12" s="182">
        <v>23975.65</v>
      </c>
      <c r="E12" s="182">
        <v>19225500</v>
      </c>
      <c r="F12" t="str" cm="1">
        <f t="array" ref="F12">IF(ISBLANK(INDEX(Data_Input!$C$9:$AF$89,MATCH($A12&amp;$B12&amp;$C12&amp;$B$2,Data_Input!$D$9:$D$89&amp;Data_Input!$E$9:$E$89&amp;Data_Input!$F$9:$F$89&amp;Data_Input!$H$9:$H$89,0),MATCH(F$4,Data_Input!$C$9:$AF$9,0))),
"",
INDEX(Data_Input!$C$9:$AF$89,MATCH($A12&amp;$B12&amp;$C12&amp;$B$2,Data_Input!$D$9:$D$89&amp;Data_Input!$E$9:$E$89&amp;Data_Input!$F$9:$F$89&amp;Data_Input!$H$9:$H$89,0),MATCH(F$4,Data_Input!$C$9:$AF$9,0)))</f>
        <v>IRSWP</v>
      </c>
      <c r="G12" t="str" cm="1">
        <f t="array" ref="G12">IF(ISBLANK(INDEX(Data_Input!$C$9:$AF$89,MATCH($A12&amp;$B12&amp;$C12&amp;$B$2,Data_Input!$D$9:$D$89&amp;Data_Input!$E$9:$E$89&amp;Data_Input!$F$9:$F$89&amp;Data_Input!$H$9:$H$89,0),MATCH(G$4,Data_Input!$C$9:$AF$9,0))),
"",
INDEX(Data_Input!$C$9:$AF$89,MATCH($A12&amp;$B12&amp;$C12&amp;$B$2,Data_Input!$D$9:$D$89&amp;Data_Input!$E$9:$E$89&amp;Data_Input!$F$9:$F$89&amp;Data_Input!$H$9:$H$89,0),MATCH(G$4,Data_Input!$C$9:$AF$9,0)))</f>
        <v>AUD</v>
      </c>
      <c r="H12" t="str" cm="1">
        <f t="array" ref="H12">IF(ISBLANK(INDEX(Data_Input!$C$9:$AF$89,MATCH($A12&amp;$B12&amp;$C12&amp;$B$2,Data_Input!$D$9:$D$89&amp;Data_Input!$E$9:$E$89&amp;Data_Input!$F$9:$F$89&amp;Data_Input!$H$9:$H$89,0),MATCH(H$4,Data_Input!$C$9:$AF$9,0))),
"",
INDEX(Data_Input!$C$9:$AF$89,MATCH($A12&amp;$B12&amp;$C12&amp;$B$2,Data_Input!$D$9:$D$89&amp;Data_Input!$E$9:$E$89&amp;Data_Input!$F$9:$F$89&amp;Data_Input!$H$9:$H$89,0),MATCH(H$4,Data_Input!$C$9:$AF$9,0)))</f>
        <v>Basis</v>
      </c>
      <c r="I12" t="str" cm="1">
        <f t="array" ref="I12">IF(ISBLANK(INDEX(Data_Input!$C$9:$AF$89,MATCH($A12&amp;$B12&amp;$C12&amp;$B$2,Data_Input!$D$9:$D$89&amp;Data_Input!$E$9:$E$89&amp;Data_Input!$F$9:$F$89&amp;Data_Input!$H$9:$H$89,0),MATCH(I$4,Data_Input!$C$9:$AF$9,0))),
"",
INDEX(Data_Input!$C$9:$AF$89,MATCH($A12&amp;$B12&amp;$C12&amp;$B$2,Data_Input!$D$9:$D$89&amp;Data_Input!$E$9:$E$89&amp;Data_Input!$F$9:$F$89&amp;Data_Input!$H$9:$H$89,0),MATCH(I$4,Data_Input!$C$9:$AF$9,0)))</f>
        <v>1 month LIBOR vs OIS Rate</v>
      </c>
      <c r="J12" t="str">
        <f t="shared" si="0"/>
        <v>AUD [1 month LIBOR vs OIS Rate]</v>
      </c>
      <c r="K12" s="183" cm="1">
        <f t="array" ref="K12">IF(ISBLANK(INDEX(Data_Input!$C$9:$AF$89,MATCH($A12&amp;$B12&amp;$C12&amp;$B$2,Data_Input!$D$9:$D$89&amp;Data_Input!$E$9:$E$89&amp;Data_Input!$F$9:$F$89&amp;Data_Input!$H$9:$H$89,0),MATCH(K$4,Data_Input!$C$9:$AF$9,0))),
"",
INDEX(Data_Input!$C$9:$AF$89,MATCH($A12&amp;$B12&amp;$C12&amp;$B$2,Data_Input!$D$9:$D$89&amp;Data_Input!$E$9:$E$89&amp;Data_Input!$F$9:$F$89&amp;Data_Input!$H$9:$H$89,0),MATCH(K$4,Data_Input!$C$9:$AF$9,0)))</f>
        <v>45656</v>
      </c>
      <c r="L12">
        <f t="shared" si="4"/>
        <v>0.99726775956284153</v>
      </c>
      <c r="M12" s="186">
        <f t="shared" si="5"/>
        <v>1</v>
      </c>
      <c r="N12" s="183" cm="1">
        <f t="array" ref="N12">IF(ISBLANK(INDEX(Data_Input!$C$9:$AF$89,MATCH($A12&amp;$B12&amp;$C12&amp;$B$2,Data_Input!$D$9:$D$89&amp;Data_Input!$E$9:$E$89&amp;Data_Input!$F$9:$F$89&amp;Data_Input!$H$9:$H$89,0),MATCH(N$4,Data_Input!$C$9:$AF$9,0))),
"",
INDEX(Data_Input!$C$9:$AF$89,MATCH($A12&amp;$B12&amp;$C12&amp;$B$2,Data_Input!$D$9:$D$89&amp;Data_Input!$E$9:$E$89&amp;Data_Input!$F$9:$F$89&amp;Data_Input!$H$9:$H$89,0),MATCH(N$4,Data_Input!$C$9:$AF$9,0)))</f>
        <v>41491</v>
      </c>
      <c r="O12">
        <f t="shared" si="6"/>
        <v>0</v>
      </c>
      <c r="P12" s="183" cm="1">
        <f t="array" ref="P12">IF(ISBLANK(INDEX(Data_Input!$C$9:$AF$89,MATCH($A12&amp;$B12&amp;$C12&amp;$B$2,Data_Input!$D$9:$D$89&amp;Data_Input!$E$9:$E$89&amp;Data_Input!$F$9:$F$89&amp;Data_Input!$H$9:$H$89,0),MATCH(P$4,Data_Input!$C$9:$AF$9,0))),
"",
INDEX(Data_Input!$C$9:$AF$89,MATCH($A12&amp;$B12&amp;$C12&amp;$B$2,Data_Input!$D$9:$D$89&amp;Data_Input!$E$9:$E$89&amp;Data_Input!$F$9:$F$89&amp;Data_Input!$H$9:$H$89,0),MATCH(P$4,Data_Input!$C$9:$AF$9,0)))</f>
        <v>45656</v>
      </c>
      <c r="Q12">
        <f t="shared" si="7"/>
        <v>0.99726775956284153</v>
      </c>
      <c r="R12">
        <f t="shared" si="8"/>
        <v>0.97281234495253166</v>
      </c>
      <c r="S12" s="180">
        <f t="shared" si="9"/>
        <v>18702803.737884898</v>
      </c>
      <c r="T12" t="str" cm="1">
        <f t="array" ref="T12">IF(ISBLANK(INDEX(Data_Input!$C$9:$AF$89,MATCH($A12&amp;$B12&amp;$C12&amp;$B$2,Data_Input!$D$9:$D$89&amp;Data_Input!$E$9:$E$89&amp;Data_Input!$F$9:$F$89&amp;Data_Input!$H$9:$H$89,0),MATCH(T$4,Data_Input!$C$9:$AF$9,0))),
"",
INDEX(Data_Input!$C$9:$AF$89,MATCH($A12&amp;$B12&amp;$C12&amp;$B$2,Data_Input!$D$9:$D$89&amp;Data_Input!$E$9:$E$89&amp;Data_Input!$F$9:$F$89&amp;Data_Input!$H$9:$H$89,0),MATCH(T$4,Data_Input!$C$9:$AF$9,0)))</f>
        <v>M</v>
      </c>
      <c r="U12" t="str" cm="1">
        <f t="array" ref="U12">IF(ISBLANK(INDEX(Data_Input!$C$9:$AF$89,MATCH($A12&amp;$B12&amp;$C12&amp;$B$2,Data_Input!$D$9:$D$89&amp;Data_Input!$E$9:$E$89&amp;Data_Input!$F$9:$F$89&amp;Data_Input!$H$9:$H$89,0),MATCH(U$4,Data_Input!$C$9:$AF$9,0))),
"",
INDEX(Data_Input!$C$9:$AF$89,MATCH($A12&amp;$B12&amp;$C12&amp;$B$2,Data_Input!$D$9:$D$89&amp;Data_Input!$E$9:$E$89&amp;Data_Input!$F$9:$F$89&amp;Data_Input!$H$9:$H$89,0),MATCH(U$4,Data_Input!$C$9:$AF$9,0)))</f>
        <v>N</v>
      </c>
      <c r="V12" s="184" cm="1">
        <f t="array" ref="V12">IF(ISBLANK(INDEX(Data_Input!$C$9:$AF$89,MATCH($A12&amp;$B12&amp;$C12&amp;$B$2,Data_Input!$D$9:$D$89&amp;Data_Input!$E$9:$E$89&amp;Data_Input!$F$9:$F$89&amp;Data_Input!$H$9:$H$89,0),MATCH(V$4,Data_Input!$C$9:$AF$9,0))),
"",
INDEX(Data_Input!$C$9:$AF$89,MATCH($A12&amp;$B12&amp;$C12&amp;$B$2,Data_Input!$D$9:$D$89&amp;Data_Input!$E$9:$E$89&amp;Data_Input!$F$9:$F$89&amp;Data_Input!$H$9:$H$89,0),MATCH(V$4,Data_Input!$C$9:$AF$9,0)))</f>
        <v>5</v>
      </c>
      <c r="W12">
        <f t="shared" si="10"/>
        <v>14</v>
      </c>
      <c r="X12">
        <f t="shared" si="11"/>
        <v>0.354964786985977</v>
      </c>
      <c r="Y12" s="184" t="str" cm="1">
        <f t="array" ref="Y12">IF(ISBLANK(INDEX(Data_Input!$C$9:$AF$89,MATCH($A12&amp;$B12&amp;$C12&amp;$B$2,Data_Input!$D$9:$D$89&amp;Data_Input!$E$9:$E$89&amp;Data_Input!$F$9:$F$89&amp;Data_Input!$H$9:$H$89,0),MATCH(Y$4,Data_Input!$C$9:$AF$9,0))),
"",
INDEX(Data_Input!$C$9:$AF$89,MATCH($A12&amp;$B12&amp;$C12&amp;$B$2,Data_Input!$D$9:$D$89&amp;Data_Input!$E$9:$E$89&amp;Data_Input!$F$9:$F$89&amp;Data_Input!$H$9:$H$89,0),MATCH(Y$4,Data_Input!$C$9:$AF$9,0)))</f>
        <v>B</v>
      </c>
      <c r="Z12" s="185" t="str" cm="1">
        <f t="array" ref="Z12">IF(ISBLANK(INDEX(Data_Input!$C$9:$AF$89,MATCH($A12&amp;$B12&amp;$C12&amp;$B$2,Data_Input!$D$9:$D$89&amp;Data_Input!$E$9:$E$89&amp;Data_Input!$F$9:$F$89&amp;Data_Input!$H$9:$H$89,0),MATCH(Z$4,Data_Input!$C$9:$AF$9,0))),
"",
INDEX(Data_Input!$C$9:$AF$89,MATCH($A12&amp;$B12&amp;$C12&amp;$B$2,Data_Input!$D$9:$D$89&amp;Data_Input!$E$9:$E$89&amp;Data_Input!$F$9:$F$89&amp;Data_Input!$H$9:$H$89,0),MATCH(Z$4,Data_Input!$C$9:$AF$9,0)))</f>
        <v/>
      </c>
      <c r="AA12" t="str">
        <f t="shared" ref="AA12:AA20" si="13">IF(Z12="","",YEARFRAC($A$1,Z12,1))</f>
        <v/>
      </c>
      <c r="AB12" s="184" t="str" cm="1">
        <f t="array" ref="AB12">IF(ISBLANK(INDEX(Data_Input!$C$9:$AF$89,MATCH($A12&amp;$B12&amp;$C12&amp;$B$2,Data_Input!$D$9:$D$89&amp;Data_Input!$E$9:$E$89&amp;Data_Input!$F$9:$F$89&amp;Data_Input!$H$9:$H$89,0),MATCH(AB$4,Data_Input!$C$9:$AF$9,0))),
"",
INDEX(Data_Input!$C$9:$AF$89,MATCH($A12&amp;$B12&amp;$C12&amp;$B$2,Data_Input!$D$9:$D$89&amp;Data_Input!$E$9:$E$89&amp;Data_Input!$F$9:$F$89&amp;Data_Input!$H$9:$H$89,0),MATCH(AB$4,Data_Input!$C$9:$AF$9,0)))</f>
        <v/>
      </c>
      <c r="AC12" s="184" t="str" cm="1">
        <f t="array" ref="AC12">IF(ISBLANK(INDEX(Data_Input!$C$9:$AF$89,MATCH($A12&amp;$B12&amp;$C12&amp;$B$2,Data_Input!$D$9:$D$89&amp;Data_Input!$E$9:$E$89&amp;Data_Input!$F$9:$F$89&amp;Data_Input!$H$9:$H$89,0),MATCH(AC$4,Data_Input!$C$9:$AF$9,0))),
"",
INDEX(Data_Input!$C$9:$AF$89,MATCH($A12&amp;$B12&amp;$C12&amp;$B$2,Data_Input!$D$9:$D$89&amp;Data_Input!$E$9:$E$89&amp;Data_Input!$F$9:$F$89&amp;Data_Input!$H$9:$H$89,0),MATCH(AC$4,Data_Input!$C$9:$AF$9,0)))</f>
        <v/>
      </c>
      <c r="AD12" s="184" t="str" cm="1">
        <f t="array" ref="AD12">IF(ISBLANK(INDEX(Data_Input!$C$9:$AF$89,MATCH($A12&amp;$B12&amp;$C12&amp;$B$2,Data_Input!$D$9:$D$89&amp;Data_Input!$E$9:$E$89&amp;Data_Input!$F$9:$F$89&amp;Data_Input!$H$9:$H$89,0),MATCH(AD$4,Data_Input!$C$9:$AF$9,0))),
"",
INDEX(Data_Input!$C$9:$AF$89,MATCH($A12&amp;$B12&amp;$C12&amp;$B$2,Data_Input!$D$9:$D$89&amp;Data_Input!$E$9:$E$89&amp;Data_Input!$F$9:$F$89&amp;Data_Input!$H$9:$H$89,0),MATCH(AD$4,Data_Input!$C$9:$AF$9,0)))</f>
        <v/>
      </c>
      <c r="AG12">
        <f t="shared" si="3"/>
        <v>1</v>
      </c>
      <c r="AH12" s="180">
        <f t="shared" si="12"/>
        <v>6638836.744858847</v>
      </c>
    </row>
    <row r="13" spans="1:34">
      <c r="A13" t="s">
        <v>40</v>
      </c>
      <c r="B13">
        <v>1103</v>
      </c>
      <c r="C13">
        <v>115</v>
      </c>
      <c r="D13" s="182">
        <v>-40581.589999999997</v>
      </c>
      <c r="E13" s="182">
        <v>79465400</v>
      </c>
      <c r="F13" t="str" cm="1">
        <f t="array" ref="F13">IF(ISBLANK(INDEX(Data_Input!$C$9:$AF$89,MATCH($A13&amp;$B13&amp;$C13&amp;$B$2,Data_Input!$D$9:$D$89&amp;Data_Input!$E$9:$E$89&amp;Data_Input!$F$9:$F$89&amp;Data_Input!$H$9:$H$89,0),MATCH(F$4,Data_Input!$C$9:$AF$9,0))),
"",
INDEX(Data_Input!$C$9:$AF$89,MATCH($A13&amp;$B13&amp;$C13&amp;$B$2,Data_Input!$D$9:$D$89&amp;Data_Input!$E$9:$E$89&amp;Data_Input!$F$9:$F$89&amp;Data_Input!$H$9:$H$89,0),MATCH(F$4,Data_Input!$C$9:$AF$9,0)))</f>
        <v>FRA</v>
      </c>
      <c r="G13" t="str" cm="1">
        <f t="array" ref="G13">IF(ISBLANK(INDEX(Data_Input!$C$9:$AF$89,MATCH($A13&amp;$B13&amp;$C13&amp;$B$2,Data_Input!$D$9:$D$89&amp;Data_Input!$E$9:$E$89&amp;Data_Input!$F$9:$F$89&amp;Data_Input!$H$9:$H$89,0),MATCH(G$4,Data_Input!$C$9:$AF$9,0))),
"",
INDEX(Data_Input!$C$9:$AF$89,MATCH($A13&amp;$B13&amp;$C13&amp;$B$2,Data_Input!$D$9:$D$89&amp;Data_Input!$E$9:$E$89&amp;Data_Input!$F$9:$F$89&amp;Data_Input!$H$9:$H$89,0),MATCH(G$4,Data_Input!$C$9:$AF$9,0)))</f>
        <v>JPY</v>
      </c>
      <c r="H13" t="str" cm="1">
        <f t="array" ref="H13">IF(ISBLANK(INDEX(Data_Input!$C$9:$AF$89,MATCH($A13&amp;$B13&amp;$C13&amp;$B$2,Data_Input!$D$9:$D$89&amp;Data_Input!$E$9:$E$89&amp;Data_Input!$F$9:$F$89&amp;Data_Input!$H$9:$H$89,0),MATCH(H$4,Data_Input!$C$9:$AF$9,0))),
"",
INDEX(Data_Input!$C$9:$AF$89,MATCH($A13&amp;$B13&amp;$C13&amp;$B$2,Data_Input!$D$9:$D$89&amp;Data_Input!$E$9:$E$89&amp;Data_Input!$F$9:$F$89&amp;Data_Input!$H$9:$H$89,0),MATCH(H$4,Data_Input!$C$9:$AF$9,0)))</f>
        <v/>
      </c>
      <c r="I13" t="str" cm="1">
        <f t="array" ref="I13">IF(ISBLANK(INDEX(Data_Input!$C$9:$AF$89,MATCH($A13&amp;$B13&amp;$C13&amp;$B$2,Data_Input!$D$9:$D$89&amp;Data_Input!$E$9:$E$89&amp;Data_Input!$F$9:$F$89&amp;Data_Input!$H$9:$H$89,0),MATCH(I$4,Data_Input!$C$9:$AF$9,0))),
"",
INDEX(Data_Input!$C$9:$AF$89,MATCH($A13&amp;$B13&amp;$C13&amp;$B$2,Data_Input!$D$9:$D$89&amp;Data_Input!$E$9:$E$89&amp;Data_Input!$F$9:$F$89&amp;Data_Input!$H$9:$H$89,0),MATCH(I$4,Data_Input!$C$9:$AF$9,0)))</f>
        <v/>
      </c>
      <c r="J13" t="str">
        <f t="shared" si="0"/>
        <v>JPY</v>
      </c>
      <c r="K13" s="183" cm="1">
        <f t="array" ref="K13">IF(ISBLANK(INDEX(Data_Input!$C$9:$AF$89,MATCH($A13&amp;$B13&amp;$C13&amp;$B$2,Data_Input!$D$9:$D$89&amp;Data_Input!$E$9:$E$89&amp;Data_Input!$F$9:$F$89&amp;Data_Input!$H$9:$H$89,0),MATCH(K$4,Data_Input!$C$9:$AF$9,0))),
"",
INDEX(Data_Input!$C$9:$AF$89,MATCH($A13&amp;$B13&amp;$C13&amp;$B$2,Data_Input!$D$9:$D$89&amp;Data_Input!$E$9:$E$89&amp;Data_Input!$F$9:$F$89&amp;Data_Input!$H$9:$H$89,0),MATCH(K$4,Data_Input!$C$9:$AF$9,0)))</f>
        <v>45432</v>
      </c>
      <c r="L13">
        <f t="shared" si="4"/>
        <v>0.38524590163934425</v>
      </c>
      <c r="M13" s="186">
        <f t="shared" si="5"/>
        <v>1</v>
      </c>
      <c r="N13" s="183" cm="1">
        <f t="array" ref="N13">IF(ISBLANK(INDEX(Data_Input!$C$9:$AF$89,MATCH($A13&amp;$B13&amp;$C13&amp;$B$2,Data_Input!$D$9:$D$89&amp;Data_Input!$E$9:$E$89&amp;Data_Input!$F$9:$F$89&amp;Data_Input!$H$9:$H$89,0),MATCH(N$4,Data_Input!$C$9:$AF$9,0))),
"",
INDEX(Data_Input!$C$9:$AF$89,MATCH($A13&amp;$B13&amp;$C13&amp;$B$2,Data_Input!$D$9:$D$89&amp;Data_Input!$E$9:$E$89&amp;Data_Input!$F$9:$F$89&amp;Data_Input!$H$9:$H$89,0),MATCH(N$4,Data_Input!$C$9:$AF$9,0)))</f>
        <v>41496</v>
      </c>
      <c r="O13">
        <f t="shared" si="6"/>
        <v>0</v>
      </c>
      <c r="P13" s="183" cm="1">
        <f t="array" ref="P13">IF(ISBLANK(INDEX(Data_Input!$C$9:$AF$89,MATCH($A13&amp;$B13&amp;$C13&amp;$B$2,Data_Input!$D$9:$D$89&amp;Data_Input!$E$9:$E$89&amp;Data_Input!$F$9:$F$89&amp;Data_Input!$H$9:$H$89,0),MATCH(P$4,Data_Input!$C$9:$AF$9,0))),
"",
INDEX(Data_Input!$C$9:$AF$89,MATCH($A13&amp;$B13&amp;$C13&amp;$B$2,Data_Input!$D$9:$D$89&amp;Data_Input!$E$9:$E$89&amp;Data_Input!$F$9:$F$89&amp;Data_Input!$H$9:$H$89,0),MATCH(P$4,Data_Input!$C$9:$AF$9,0)))</f>
        <v>45432</v>
      </c>
      <c r="Q13">
        <f t="shared" si="7"/>
        <v>0.38524590163934425</v>
      </c>
      <c r="R13">
        <f t="shared" si="8"/>
        <v>0.38155925058903195</v>
      </c>
      <c r="S13" s="180">
        <f t="shared" si="9"/>
        <v>30320758.471757658</v>
      </c>
      <c r="T13" t="str" cm="1">
        <f t="array" ref="T13">IF(ISBLANK(INDEX(Data_Input!$C$9:$AF$89,MATCH($A13&amp;$B13&amp;$C13&amp;$B$2,Data_Input!$D$9:$D$89&amp;Data_Input!$E$9:$E$89&amp;Data_Input!$F$9:$F$89&amp;Data_Input!$H$9:$H$89,0),MATCH(T$4,Data_Input!$C$9:$AF$9,0))),
"",
INDEX(Data_Input!$C$9:$AF$89,MATCH($A13&amp;$B13&amp;$C13&amp;$B$2,Data_Input!$D$9:$D$89&amp;Data_Input!$E$9:$E$89&amp;Data_Input!$F$9:$F$89&amp;Data_Input!$H$9:$H$89,0),MATCH(T$4,Data_Input!$C$9:$AF$9,0)))</f>
        <v>U</v>
      </c>
      <c r="U13" t="str" cm="1">
        <f t="array" ref="U13">IF(ISBLANK(INDEX(Data_Input!$C$9:$AF$89,MATCH($A13&amp;$B13&amp;$C13&amp;$B$2,Data_Input!$D$9:$D$89&amp;Data_Input!$E$9:$E$89&amp;Data_Input!$F$9:$F$89&amp;Data_Input!$H$9:$H$89,0),MATCH(U$4,Data_Input!$C$9:$AF$9,0))),
"",
INDEX(Data_Input!$C$9:$AF$89,MATCH($A13&amp;$B13&amp;$C13&amp;$B$2,Data_Input!$D$9:$D$89&amp;Data_Input!$E$9:$E$89&amp;Data_Input!$F$9:$F$89&amp;Data_Input!$H$9:$H$89,0),MATCH(U$4,Data_Input!$C$9:$AF$9,0)))</f>
        <v>N</v>
      </c>
      <c r="V13" s="184" t="str" cm="1">
        <f t="array" ref="V13">IF(ISBLANK(INDEX(Data_Input!$C$9:$AF$89,MATCH($A13&amp;$B13&amp;$C13&amp;$B$2,Data_Input!$D$9:$D$89&amp;Data_Input!$E$9:$E$89&amp;Data_Input!$F$9:$F$89&amp;Data_Input!$H$9:$H$89,0),MATCH(V$4,Data_Input!$C$9:$AF$9,0))),
"",
INDEX(Data_Input!$C$9:$AF$89,MATCH($A13&amp;$B13&amp;$C13&amp;$B$2,Data_Input!$D$9:$D$89&amp;Data_Input!$E$9:$E$89&amp;Data_Input!$F$9:$F$89&amp;Data_Input!$H$9:$H$89,0),MATCH(V$4,Data_Input!$C$9:$AF$9,0)))</f>
        <v>NA</v>
      </c>
      <c r="W13" t="str">
        <f t="shared" si="10"/>
        <v>NA</v>
      </c>
      <c r="X13">
        <f t="shared" si="11"/>
        <v>0.62068180385713279</v>
      </c>
      <c r="Y13" s="184" t="str" cm="1">
        <f t="array" ref="Y13">IF(ISBLANK(INDEX(Data_Input!$C$9:$AF$89,MATCH($A13&amp;$B13&amp;$C13&amp;$B$2,Data_Input!$D$9:$D$89&amp;Data_Input!$E$9:$E$89&amp;Data_Input!$F$9:$F$89&amp;Data_Input!$H$9:$H$89,0),MATCH(Y$4,Data_Input!$C$9:$AF$9,0))),
"",
INDEX(Data_Input!$C$9:$AF$89,MATCH($A13&amp;$B13&amp;$C13&amp;$B$2,Data_Input!$D$9:$D$89&amp;Data_Input!$E$9:$E$89&amp;Data_Input!$F$9:$F$89&amp;Data_Input!$H$9:$H$89,0),MATCH(Y$4,Data_Input!$C$9:$AF$9,0)))</f>
        <v>S</v>
      </c>
      <c r="Z13" s="185" t="str" cm="1">
        <f t="array" ref="Z13">IF(ISBLANK(INDEX(Data_Input!$C$9:$AF$89,MATCH($A13&amp;$B13&amp;$C13&amp;$B$2,Data_Input!$D$9:$D$89&amp;Data_Input!$E$9:$E$89&amp;Data_Input!$F$9:$F$89&amp;Data_Input!$H$9:$H$89,0),MATCH(Z$4,Data_Input!$C$9:$AF$9,0))),
"",
INDEX(Data_Input!$C$9:$AF$89,MATCH($A13&amp;$B13&amp;$C13&amp;$B$2,Data_Input!$D$9:$D$89&amp;Data_Input!$E$9:$E$89&amp;Data_Input!$F$9:$F$89&amp;Data_Input!$H$9:$H$89,0),MATCH(Z$4,Data_Input!$C$9:$AF$9,0)))</f>
        <v/>
      </c>
      <c r="AA13" t="str">
        <f t="shared" si="13"/>
        <v/>
      </c>
      <c r="AB13" s="184" t="str" cm="1">
        <f t="array" ref="AB13">IF(ISBLANK(INDEX(Data_Input!$C$9:$AF$89,MATCH($A13&amp;$B13&amp;$C13&amp;$B$2,Data_Input!$D$9:$D$89&amp;Data_Input!$E$9:$E$89&amp;Data_Input!$F$9:$F$89&amp;Data_Input!$H$9:$H$89,0),MATCH(AB$4,Data_Input!$C$9:$AF$9,0))),
"",
INDEX(Data_Input!$C$9:$AF$89,MATCH($A13&amp;$B13&amp;$C13&amp;$B$2,Data_Input!$D$9:$D$89&amp;Data_Input!$E$9:$E$89&amp;Data_Input!$F$9:$F$89&amp;Data_Input!$H$9:$H$89,0),MATCH(AB$4,Data_Input!$C$9:$AF$9,0)))</f>
        <v/>
      </c>
      <c r="AC13" s="184" t="str" cm="1">
        <f t="array" ref="AC13">IF(ISBLANK(INDEX(Data_Input!$C$9:$AF$89,MATCH($A13&amp;$B13&amp;$C13&amp;$B$2,Data_Input!$D$9:$D$89&amp;Data_Input!$E$9:$E$89&amp;Data_Input!$F$9:$F$89&amp;Data_Input!$H$9:$H$89,0),MATCH(AC$4,Data_Input!$C$9:$AF$9,0))),
"",
INDEX(Data_Input!$C$9:$AF$89,MATCH($A13&amp;$B13&amp;$C13&amp;$B$2,Data_Input!$D$9:$D$89&amp;Data_Input!$E$9:$E$89&amp;Data_Input!$F$9:$F$89&amp;Data_Input!$H$9:$H$89,0),MATCH(AC$4,Data_Input!$C$9:$AF$9,0)))</f>
        <v/>
      </c>
      <c r="AD13" s="184" t="str" cm="1">
        <f t="array" ref="AD13">IF(ISBLANK(INDEX(Data_Input!$C$9:$AF$89,MATCH($A13&amp;$B13&amp;$C13&amp;$B$2,Data_Input!$D$9:$D$89&amp;Data_Input!$E$9:$E$89&amp;Data_Input!$F$9:$F$89&amp;Data_Input!$H$9:$H$89,0),MATCH(AD$4,Data_Input!$C$9:$AF$9,0))),
"",
INDEX(Data_Input!$C$9:$AF$89,MATCH($A13&amp;$B13&amp;$C13&amp;$B$2,Data_Input!$D$9:$D$89&amp;Data_Input!$E$9:$E$89&amp;Data_Input!$F$9:$F$89&amp;Data_Input!$H$9:$H$89,0),MATCH(AD$4,Data_Input!$C$9:$AF$9,0)))</f>
        <v/>
      </c>
      <c r="AG13">
        <f t="shared" si="3"/>
        <v>-1</v>
      </c>
      <c r="AH13" s="180">
        <f t="shared" si="12"/>
        <v>-18819543.062566984</v>
      </c>
    </row>
    <row r="14" spans="1:34">
      <c r="A14" t="s">
        <v>40</v>
      </c>
      <c r="B14">
        <v>1103</v>
      </c>
      <c r="C14">
        <v>116</v>
      </c>
      <c r="D14" s="182">
        <v>-110173.33</v>
      </c>
      <c r="E14" s="182">
        <v>215325600</v>
      </c>
      <c r="F14" t="str" cm="1">
        <f t="array" ref="F14">IF(ISBLANK(INDEX(Data_Input!$C$9:$AF$89,MATCH($A14&amp;$B14&amp;$C14&amp;$B$2,Data_Input!$D$9:$D$89&amp;Data_Input!$E$9:$E$89&amp;Data_Input!$F$9:$F$89&amp;Data_Input!$H$9:$H$89,0),MATCH(F$4,Data_Input!$C$9:$AF$9,0))),
"",
INDEX(Data_Input!$C$9:$AF$89,MATCH($A14&amp;$B14&amp;$C14&amp;$B$2,Data_Input!$D$9:$D$89&amp;Data_Input!$E$9:$E$89&amp;Data_Input!$F$9:$F$89&amp;Data_Input!$H$9:$H$89,0),MATCH(F$4,Data_Input!$C$9:$AF$9,0)))</f>
        <v>FRA</v>
      </c>
      <c r="G14" t="str" cm="1">
        <f t="array" ref="G14">IF(ISBLANK(INDEX(Data_Input!$C$9:$AF$89,MATCH($A14&amp;$B14&amp;$C14&amp;$B$2,Data_Input!$D$9:$D$89&amp;Data_Input!$E$9:$E$89&amp;Data_Input!$F$9:$F$89&amp;Data_Input!$H$9:$H$89,0),MATCH(G$4,Data_Input!$C$9:$AF$9,0))),
"",
INDEX(Data_Input!$C$9:$AF$89,MATCH($A14&amp;$B14&amp;$C14&amp;$B$2,Data_Input!$D$9:$D$89&amp;Data_Input!$E$9:$E$89&amp;Data_Input!$F$9:$F$89&amp;Data_Input!$H$9:$H$89,0),MATCH(G$4,Data_Input!$C$9:$AF$9,0)))</f>
        <v>JPY</v>
      </c>
      <c r="H14" t="str" cm="1">
        <f t="array" ref="H14">IF(ISBLANK(INDEX(Data_Input!$C$9:$AF$89,MATCH($A14&amp;$B14&amp;$C14&amp;$B$2,Data_Input!$D$9:$D$89&amp;Data_Input!$E$9:$E$89&amp;Data_Input!$F$9:$F$89&amp;Data_Input!$H$9:$H$89,0),MATCH(H$4,Data_Input!$C$9:$AF$9,0))),
"",
INDEX(Data_Input!$C$9:$AF$89,MATCH($A14&amp;$B14&amp;$C14&amp;$B$2,Data_Input!$D$9:$D$89&amp;Data_Input!$E$9:$E$89&amp;Data_Input!$F$9:$F$89&amp;Data_Input!$H$9:$H$89,0),MATCH(H$4,Data_Input!$C$9:$AF$9,0)))</f>
        <v/>
      </c>
      <c r="I14" t="str" cm="1">
        <f t="array" ref="I14">IF(ISBLANK(INDEX(Data_Input!$C$9:$AF$89,MATCH($A14&amp;$B14&amp;$C14&amp;$B$2,Data_Input!$D$9:$D$89&amp;Data_Input!$E$9:$E$89&amp;Data_Input!$F$9:$F$89&amp;Data_Input!$H$9:$H$89,0),MATCH(I$4,Data_Input!$C$9:$AF$9,0))),
"",
INDEX(Data_Input!$C$9:$AF$89,MATCH($A14&amp;$B14&amp;$C14&amp;$B$2,Data_Input!$D$9:$D$89&amp;Data_Input!$E$9:$E$89&amp;Data_Input!$F$9:$F$89&amp;Data_Input!$H$9:$H$89,0),MATCH(I$4,Data_Input!$C$9:$AF$9,0)))</f>
        <v/>
      </c>
      <c r="J14" t="str">
        <f t="shared" si="0"/>
        <v>JPY</v>
      </c>
      <c r="K14" s="183" cm="1">
        <f t="array" ref="K14">IF(ISBLANK(INDEX(Data_Input!$C$9:$AF$89,MATCH($A14&amp;$B14&amp;$C14&amp;$B$2,Data_Input!$D$9:$D$89&amp;Data_Input!$E$9:$E$89&amp;Data_Input!$F$9:$F$89&amp;Data_Input!$H$9:$H$89,0),MATCH(K$4,Data_Input!$C$9:$AF$9,0))),
"",
INDEX(Data_Input!$C$9:$AF$89,MATCH($A14&amp;$B14&amp;$C14&amp;$B$2,Data_Input!$D$9:$D$89&amp;Data_Input!$E$9:$E$89&amp;Data_Input!$F$9:$F$89&amp;Data_Input!$H$9:$H$89,0),MATCH(K$4,Data_Input!$C$9:$AF$9,0)))</f>
        <v>46061</v>
      </c>
      <c r="L14">
        <f t="shared" si="4"/>
        <v>2.108145106091718</v>
      </c>
      <c r="M14" s="186">
        <f t="shared" si="5"/>
        <v>2</v>
      </c>
      <c r="N14" s="183" cm="1">
        <f t="array" ref="N14">IF(ISBLANK(INDEX(Data_Input!$C$9:$AF$89,MATCH($A14&amp;$B14&amp;$C14&amp;$B$2,Data_Input!$D$9:$D$89&amp;Data_Input!$E$9:$E$89&amp;Data_Input!$F$9:$F$89&amp;Data_Input!$H$9:$H$89,0),MATCH(N$4,Data_Input!$C$9:$AF$9,0))),
"",
INDEX(Data_Input!$C$9:$AF$89,MATCH($A14&amp;$B14&amp;$C14&amp;$B$2,Data_Input!$D$9:$D$89&amp;Data_Input!$E$9:$E$89&amp;Data_Input!$F$9:$F$89&amp;Data_Input!$H$9:$H$89,0),MATCH(N$4,Data_Input!$C$9:$AF$9,0)))</f>
        <v>41496</v>
      </c>
      <c r="O14">
        <f t="shared" si="6"/>
        <v>0</v>
      </c>
      <c r="P14" s="183" cm="1">
        <f t="array" ref="P14">IF(ISBLANK(INDEX(Data_Input!$C$9:$AF$89,MATCH($A14&amp;$B14&amp;$C14&amp;$B$2,Data_Input!$D$9:$D$89&amp;Data_Input!$E$9:$E$89&amp;Data_Input!$F$9:$F$89&amp;Data_Input!$H$9:$H$89,0),MATCH(P$4,Data_Input!$C$9:$AF$9,0))),
"",
INDEX(Data_Input!$C$9:$AF$89,MATCH($A14&amp;$B14&amp;$C14&amp;$B$2,Data_Input!$D$9:$D$89&amp;Data_Input!$E$9:$E$89&amp;Data_Input!$F$9:$F$89&amp;Data_Input!$H$9:$H$89,0),MATCH(P$4,Data_Input!$C$9:$AF$9,0)))</f>
        <v>46061</v>
      </c>
      <c r="Q14">
        <f t="shared" si="7"/>
        <v>2.108145106091718</v>
      </c>
      <c r="R14">
        <f t="shared" si="8"/>
        <v>2.0008412939806286</v>
      </c>
      <c r="S14" s="180">
        <f t="shared" si="9"/>
        <v>430832352.13115525</v>
      </c>
      <c r="T14" t="str" cm="1">
        <f t="array" ref="T14">IF(ISBLANK(INDEX(Data_Input!$C$9:$AF$89,MATCH($A14&amp;$B14&amp;$C14&amp;$B$2,Data_Input!$D$9:$D$89&amp;Data_Input!$E$9:$E$89&amp;Data_Input!$F$9:$F$89&amp;Data_Input!$H$9:$H$89,0),MATCH(T$4,Data_Input!$C$9:$AF$9,0))),
"",
INDEX(Data_Input!$C$9:$AF$89,MATCH($A14&amp;$B14&amp;$C14&amp;$B$2,Data_Input!$D$9:$D$89&amp;Data_Input!$E$9:$E$89&amp;Data_Input!$F$9:$F$89&amp;Data_Input!$H$9:$H$89,0),MATCH(T$4,Data_Input!$C$9:$AF$9,0)))</f>
        <v>U</v>
      </c>
      <c r="U14" t="str" cm="1">
        <f t="array" ref="U14">IF(ISBLANK(INDEX(Data_Input!$C$9:$AF$89,MATCH($A14&amp;$B14&amp;$C14&amp;$B$2,Data_Input!$D$9:$D$89&amp;Data_Input!$E$9:$E$89&amp;Data_Input!$F$9:$F$89&amp;Data_Input!$H$9:$H$89,0),MATCH(U$4,Data_Input!$C$9:$AF$9,0))),
"",
INDEX(Data_Input!$C$9:$AF$89,MATCH($A14&amp;$B14&amp;$C14&amp;$B$2,Data_Input!$D$9:$D$89&amp;Data_Input!$E$9:$E$89&amp;Data_Input!$F$9:$F$89&amp;Data_Input!$H$9:$H$89,0),MATCH(U$4,Data_Input!$C$9:$AF$9,0)))</f>
        <v>N</v>
      </c>
      <c r="V14" s="184" t="str" cm="1">
        <f t="array" ref="V14">IF(ISBLANK(INDEX(Data_Input!$C$9:$AF$89,MATCH($A14&amp;$B14&amp;$C14&amp;$B$2,Data_Input!$D$9:$D$89&amp;Data_Input!$E$9:$E$89&amp;Data_Input!$F$9:$F$89&amp;Data_Input!$H$9:$H$89,0),MATCH(V$4,Data_Input!$C$9:$AF$9,0))),
"",
INDEX(Data_Input!$C$9:$AF$89,MATCH($A14&amp;$B14&amp;$C14&amp;$B$2,Data_Input!$D$9:$D$89&amp;Data_Input!$E$9:$E$89&amp;Data_Input!$F$9:$F$89&amp;Data_Input!$H$9:$H$89,0),MATCH(V$4,Data_Input!$C$9:$AF$9,0)))</f>
        <v>NA</v>
      </c>
      <c r="W14" t="str">
        <f t="shared" si="10"/>
        <v>NA</v>
      </c>
      <c r="X14">
        <f t="shared" si="11"/>
        <v>1</v>
      </c>
      <c r="Y14" s="184" t="str" cm="1">
        <f t="array" ref="Y14">IF(ISBLANK(INDEX(Data_Input!$C$9:$AF$89,MATCH($A14&amp;$B14&amp;$C14&amp;$B$2,Data_Input!$D$9:$D$89&amp;Data_Input!$E$9:$E$89&amp;Data_Input!$F$9:$F$89&amp;Data_Input!$H$9:$H$89,0),MATCH(Y$4,Data_Input!$C$9:$AF$9,0))),
"",
INDEX(Data_Input!$C$9:$AF$89,MATCH($A14&amp;$B14&amp;$C14&amp;$B$2,Data_Input!$D$9:$D$89&amp;Data_Input!$E$9:$E$89&amp;Data_Input!$F$9:$F$89&amp;Data_Input!$H$9:$H$89,0),MATCH(Y$4,Data_Input!$C$9:$AF$9,0)))</f>
        <v>S</v>
      </c>
      <c r="Z14" s="185" t="str" cm="1">
        <f t="array" ref="Z14">IF(ISBLANK(INDEX(Data_Input!$C$9:$AF$89,MATCH($A14&amp;$B14&amp;$C14&amp;$B$2,Data_Input!$D$9:$D$89&amp;Data_Input!$E$9:$E$89&amp;Data_Input!$F$9:$F$89&amp;Data_Input!$H$9:$H$89,0),MATCH(Z$4,Data_Input!$C$9:$AF$9,0))),
"",
INDEX(Data_Input!$C$9:$AF$89,MATCH($A14&amp;$B14&amp;$C14&amp;$B$2,Data_Input!$D$9:$D$89&amp;Data_Input!$E$9:$E$89&amp;Data_Input!$F$9:$F$89&amp;Data_Input!$H$9:$H$89,0),MATCH(Z$4,Data_Input!$C$9:$AF$9,0)))</f>
        <v/>
      </c>
      <c r="AA14" t="str">
        <f t="shared" si="13"/>
        <v/>
      </c>
      <c r="AB14" s="184" t="str" cm="1">
        <f t="array" ref="AB14">IF(ISBLANK(INDEX(Data_Input!$C$9:$AF$89,MATCH($A14&amp;$B14&amp;$C14&amp;$B$2,Data_Input!$D$9:$D$89&amp;Data_Input!$E$9:$E$89&amp;Data_Input!$F$9:$F$89&amp;Data_Input!$H$9:$H$89,0),MATCH(AB$4,Data_Input!$C$9:$AF$9,0))),
"",
INDEX(Data_Input!$C$9:$AF$89,MATCH($A14&amp;$B14&amp;$C14&amp;$B$2,Data_Input!$D$9:$D$89&amp;Data_Input!$E$9:$E$89&amp;Data_Input!$F$9:$F$89&amp;Data_Input!$H$9:$H$89,0),MATCH(AB$4,Data_Input!$C$9:$AF$9,0)))</f>
        <v/>
      </c>
      <c r="AC14" s="184" t="str" cm="1">
        <f t="array" ref="AC14">IF(ISBLANK(INDEX(Data_Input!$C$9:$AF$89,MATCH($A14&amp;$B14&amp;$C14&amp;$B$2,Data_Input!$D$9:$D$89&amp;Data_Input!$E$9:$E$89&amp;Data_Input!$F$9:$F$89&amp;Data_Input!$H$9:$H$89,0),MATCH(AC$4,Data_Input!$C$9:$AF$9,0))),
"",
INDEX(Data_Input!$C$9:$AF$89,MATCH($A14&amp;$B14&amp;$C14&amp;$B$2,Data_Input!$D$9:$D$89&amp;Data_Input!$E$9:$E$89&amp;Data_Input!$F$9:$F$89&amp;Data_Input!$H$9:$H$89,0),MATCH(AC$4,Data_Input!$C$9:$AF$9,0)))</f>
        <v/>
      </c>
      <c r="AD14" s="184" t="str" cm="1">
        <f t="array" ref="AD14">IF(ISBLANK(INDEX(Data_Input!$C$9:$AF$89,MATCH($A14&amp;$B14&amp;$C14&amp;$B$2,Data_Input!$D$9:$D$89&amp;Data_Input!$E$9:$E$89&amp;Data_Input!$F$9:$F$89&amp;Data_Input!$H$9:$H$89,0),MATCH(AD$4,Data_Input!$C$9:$AF$9,0))),
"",
INDEX(Data_Input!$C$9:$AF$89,MATCH($A14&amp;$B14&amp;$C14&amp;$B$2,Data_Input!$D$9:$D$89&amp;Data_Input!$E$9:$E$89&amp;Data_Input!$F$9:$F$89&amp;Data_Input!$H$9:$H$89,0),MATCH(AD$4,Data_Input!$C$9:$AF$9,0)))</f>
        <v/>
      </c>
      <c r="AG14">
        <f t="shared" si="3"/>
        <v>-1</v>
      </c>
      <c r="AH14" s="180">
        <f t="shared" si="12"/>
        <v>-430832352.13115525</v>
      </c>
    </row>
    <row r="15" spans="1:34">
      <c r="A15" t="s">
        <v>38</v>
      </c>
      <c r="B15">
        <v>1102</v>
      </c>
      <c r="C15">
        <v>109</v>
      </c>
      <c r="D15" s="182">
        <v>1949.32</v>
      </c>
      <c r="E15" s="182">
        <v>47422900</v>
      </c>
      <c r="F15" t="str" cm="1">
        <f t="array" ref="F15">IF(ISBLANK(INDEX(Data_Input!$C$9:$AF$89,MATCH($A15&amp;$B15&amp;$C15&amp;$B$2,Data_Input!$D$9:$D$89&amp;Data_Input!$E$9:$E$89&amp;Data_Input!$F$9:$F$89&amp;Data_Input!$H$9:$H$89,0),MATCH(F$4,Data_Input!$C$9:$AF$9,0))),
"",
INDEX(Data_Input!$C$9:$AF$89,MATCH($A15&amp;$B15&amp;$C15&amp;$B$2,Data_Input!$D$9:$D$89&amp;Data_Input!$E$9:$E$89&amp;Data_Input!$F$9:$F$89&amp;Data_Input!$H$9:$H$89,0),MATCH(F$4,Data_Input!$C$9:$AF$9,0)))</f>
        <v>IRSWP</v>
      </c>
      <c r="G15" t="str" cm="1">
        <f t="array" ref="G15">IF(ISBLANK(INDEX(Data_Input!$C$9:$AF$89,MATCH($A15&amp;$B15&amp;$C15&amp;$B$2,Data_Input!$D$9:$D$89&amp;Data_Input!$E$9:$E$89&amp;Data_Input!$F$9:$F$89&amp;Data_Input!$H$9:$H$89,0),MATCH(G$4,Data_Input!$C$9:$AF$9,0))),
"",
INDEX(Data_Input!$C$9:$AF$89,MATCH($A15&amp;$B15&amp;$C15&amp;$B$2,Data_Input!$D$9:$D$89&amp;Data_Input!$E$9:$E$89&amp;Data_Input!$F$9:$F$89&amp;Data_Input!$H$9:$H$89,0),MATCH(G$4,Data_Input!$C$9:$AF$9,0)))</f>
        <v>USD</v>
      </c>
      <c r="H15" t="str" cm="1">
        <f t="array" ref="H15">IF(ISBLANK(INDEX(Data_Input!$C$9:$AF$89,MATCH($A15&amp;$B15&amp;$C15&amp;$B$2,Data_Input!$D$9:$D$89&amp;Data_Input!$E$9:$E$89&amp;Data_Input!$F$9:$F$89&amp;Data_Input!$H$9:$H$89,0),MATCH(H$4,Data_Input!$C$9:$AF$9,0))),
"",
INDEX(Data_Input!$C$9:$AF$89,MATCH($A15&amp;$B15&amp;$C15&amp;$B$2,Data_Input!$D$9:$D$89&amp;Data_Input!$E$9:$E$89&amp;Data_Input!$F$9:$F$89&amp;Data_Input!$H$9:$H$89,0),MATCH(H$4,Data_Input!$C$9:$AF$9,0)))</f>
        <v/>
      </c>
      <c r="I15" t="str" cm="1">
        <f t="array" ref="I15">IF(ISBLANK(INDEX(Data_Input!$C$9:$AF$89,MATCH($A15&amp;$B15&amp;$C15&amp;$B$2,Data_Input!$D$9:$D$89&amp;Data_Input!$E$9:$E$89&amp;Data_Input!$F$9:$F$89&amp;Data_Input!$H$9:$H$89,0),MATCH(I$4,Data_Input!$C$9:$AF$9,0))),
"",
INDEX(Data_Input!$C$9:$AF$89,MATCH($A15&amp;$B15&amp;$C15&amp;$B$2,Data_Input!$D$9:$D$89&amp;Data_Input!$E$9:$E$89&amp;Data_Input!$F$9:$F$89&amp;Data_Input!$H$9:$H$89,0),MATCH(I$4,Data_Input!$C$9:$AF$9,0)))</f>
        <v/>
      </c>
      <c r="J15" t="str">
        <f t="shared" si="0"/>
        <v>USD</v>
      </c>
      <c r="K15" s="183" cm="1">
        <f t="array" ref="K15">IF(ISBLANK(INDEX(Data_Input!$C$9:$AF$89,MATCH($A15&amp;$B15&amp;$C15&amp;$B$2,Data_Input!$D$9:$D$89&amp;Data_Input!$E$9:$E$89&amp;Data_Input!$F$9:$F$89&amp;Data_Input!$H$9:$H$89,0),MATCH(K$4,Data_Input!$C$9:$AF$9,0))),
"",
INDEX(Data_Input!$C$9:$AF$89,MATCH($A15&amp;$B15&amp;$C15&amp;$B$2,Data_Input!$D$9:$D$89&amp;Data_Input!$E$9:$E$89&amp;Data_Input!$F$9:$F$89&amp;Data_Input!$H$9:$H$89,0),MATCH(K$4,Data_Input!$C$9:$AF$9,0)))</f>
        <v>45656</v>
      </c>
      <c r="L15">
        <f t="shared" si="4"/>
        <v>0.99726775956284153</v>
      </c>
      <c r="M15" s="186">
        <f t="shared" si="5"/>
        <v>1</v>
      </c>
      <c r="N15" s="183" cm="1">
        <f t="array" ref="N15">IF(ISBLANK(INDEX(Data_Input!$C$9:$AF$89,MATCH($A15&amp;$B15&amp;$C15&amp;$B$2,Data_Input!$D$9:$D$89&amp;Data_Input!$E$9:$E$89&amp;Data_Input!$F$9:$F$89&amp;Data_Input!$H$9:$H$89,0),MATCH(N$4,Data_Input!$C$9:$AF$9,0))),
"",
INDEX(Data_Input!$C$9:$AF$89,MATCH($A15&amp;$B15&amp;$C15&amp;$B$2,Data_Input!$D$9:$D$89&amp;Data_Input!$E$9:$E$89&amp;Data_Input!$F$9:$F$89&amp;Data_Input!$H$9:$H$89,0),MATCH(N$4,Data_Input!$C$9:$AF$9,0)))</f>
        <v>41554</v>
      </c>
      <c r="O15">
        <f t="shared" si="6"/>
        <v>0</v>
      </c>
      <c r="P15" s="183" cm="1">
        <f t="array" ref="P15">IF(ISBLANK(INDEX(Data_Input!$C$9:$AF$89,MATCH($A15&amp;$B15&amp;$C15&amp;$B$2,Data_Input!$D$9:$D$89&amp;Data_Input!$E$9:$E$89&amp;Data_Input!$F$9:$F$89&amp;Data_Input!$H$9:$H$89,0),MATCH(P$4,Data_Input!$C$9:$AF$9,0))),
"",
INDEX(Data_Input!$C$9:$AF$89,MATCH($A15&amp;$B15&amp;$C15&amp;$B$2,Data_Input!$D$9:$D$89&amp;Data_Input!$E$9:$E$89&amp;Data_Input!$F$9:$F$89&amp;Data_Input!$H$9:$H$89,0),MATCH(P$4,Data_Input!$C$9:$AF$9,0)))</f>
        <v>45656</v>
      </c>
      <c r="Q15">
        <f t="shared" si="7"/>
        <v>0.99726775956284153</v>
      </c>
      <c r="R15">
        <f t="shared" si="8"/>
        <v>0.97281234495253166</v>
      </c>
      <c r="S15" s="180">
        <f t="shared" si="9"/>
        <v>46133582.553449415</v>
      </c>
      <c r="T15" t="str" cm="1">
        <f t="array" ref="T15">IF(ISBLANK(INDEX(Data_Input!$C$9:$AF$89,MATCH($A15&amp;$B15&amp;$C15&amp;$B$2,Data_Input!$D$9:$D$89&amp;Data_Input!$E$9:$E$89&amp;Data_Input!$F$9:$F$89&amp;Data_Input!$H$9:$H$89,0),MATCH(T$4,Data_Input!$C$9:$AF$9,0))),
"",
INDEX(Data_Input!$C$9:$AF$89,MATCH($A15&amp;$B15&amp;$C15&amp;$B$2,Data_Input!$D$9:$D$89&amp;Data_Input!$E$9:$E$89&amp;Data_Input!$F$9:$F$89&amp;Data_Input!$H$9:$H$89,0),MATCH(T$4,Data_Input!$C$9:$AF$9,0)))</f>
        <v>M</v>
      </c>
      <c r="U15" t="str" cm="1">
        <f t="array" ref="U15">IF(ISBLANK(INDEX(Data_Input!$C$9:$AF$89,MATCH($A15&amp;$B15&amp;$C15&amp;$B$2,Data_Input!$D$9:$D$89&amp;Data_Input!$E$9:$E$89&amp;Data_Input!$F$9:$F$89&amp;Data_Input!$H$9:$H$89,0),MATCH(U$4,Data_Input!$C$9:$AF$9,0))),
"",
INDEX(Data_Input!$C$9:$AF$89,MATCH($A15&amp;$B15&amp;$C15&amp;$B$2,Data_Input!$D$9:$D$89&amp;Data_Input!$E$9:$E$89&amp;Data_Input!$F$9:$F$89&amp;Data_Input!$H$9:$H$89,0),MATCH(U$4,Data_Input!$C$9:$AF$9,0)))</f>
        <v>N</v>
      </c>
      <c r="V15" s="184" cm="1">
        <f t="array" ref="V15">IF(ISBLANK(INDEX(Data_Input!$C$9:$AF$89,MATCH($A15&amp;$B15&amp;$C15&amp;$B$2,Data_Input!$D$9:$D$89&amp;Data_Input!$E$9:$E$89&amp;Data_Input!$F$9:$F$89&amp;Data_Input!$H$9:$H$89,0),MATCH(V$4,Data_Input!$C$9:$AF$9,0))),
"",
INDEX(Data_Input!$C$9:$AF$89,MATCH($A15&amp;$B15&amp;$C15&amp;$B$2,Data_Input!$D$9:$D$89&amp;Data_Input!$E$9:$E$89&amp;Data_Input!$F$9:$F$89&amp;Data_Input!$H$9:$H$89,0),MATCH(V$4,Data_Input!$C$9:$AF$9,0)))</f>
        <v>5</v>
      </c>
      <c r="W15">
        <f t="shared" si="10"/>
        <v>14</v>
      </c>
      <c r="X15">
        <f t="shared" si="11"/>
        <v>0.354964786985977</v>
      </c>
      <c r="Y15" s="184" t="str" cm="1">
        <f t="array" ref="Y15">IF(ISBLANK(INDEX(Data_Input!$C$9:$AF$89,MATCH($A15&amp;$B15&amp;$C15&amp;$B$2,Data_Input!$D$9:$D$89&amp;Data_Input!$E$9:$E$89&amp;Data_Input!$F$9:$F$89&amp;Data_Input!$H$9:$H$89,0),MATCH(Y$4,Data_Input!$C$9:$AF$9,0))),
"",
INDEX(Data_Input!$C$9:$AF$89,MATCH($A15&amp;$B15&amp;$C15&amp;$B$2,Data_Input!$D$9:$D$89&amp;Data_Input!$E$9:$E$89&amp;Data_Input!$F$9:$F$89&amp;Data_Input!$H$9:$H$89,0),MATCH(Y$4,Data_Input!$C$9:$AF$9,0)))</f>
        <v>B</v>
      </c>
      <c r="Z15" s="185" t="str" cm="1">
        <f t="array" ref="Z15">IF(ISBLANK(INDEX(Data_Input!$C$9:$AF$89,MATCH($A15&amp;$B15&amp;$C15&amp;$B$2,Data_Input!$D$9:$D$89&amp;Data_Input!$E$9:$E$89&amp;Data_Input!$F$9:$F$89&amp;Data_Input!$H$9:$H$89,0),MATCH(Z$4,Data_Input!$C$9:$AF$9,0))),
"",
INDEX(Data_Input!$C$9:$AF$89,MATCH($A15&amp;$B15&amp;$C15&amp;$B$2,Data_Input!$D$9:$D$89&amp;Data_Input!$E$9:$E$89&amp;Data_Input!$F$9:$F$89&amp;Data_Input!$H$9:$H$89,0),MATCH(Z$4,Data_Input!$C$9:$AF$9,0)))</f>
        <v/>
      </c>
      <c r="AA15" t="str">
        <f t="shared" si="13"/>
        <v/>
      </c>
      <c r="AB15" s="184" t="str" cm="1">
        <f t="array" ref="AB15">IF(ISBLANK(INDEX(Data_Input!$C$9:$AF$89,MATCH($A15&amp;$B15&amp;$C15&amp;$B$2,Data_Input!$D$9:$D$89&amp;Data_Input!$E$9:$E$89&amp;Data_Input!$F$9:$F$89&amp;Data_Input!$H$9:$H$89,0),MATCH(AB$4,Data_Input!$C$9:$AF$9,0))),
"",
INDEX(Data_Input!$C$9:$AF$89,MATCH($A15&amp;$B15&amp;$C15&amp;$B$2,Data_Input!$D$9:$D$89&amp;Data_Input!$E$9:$E$89&amp;Data_Input!$F$9:$F$89&amp;Data_Input!$H$9:$H$89,0),MATCH(AB$4,Data_Input!$C$9:$AF$9,0)))</f>
        <v/>
      </c>
      <c r="AC15" s="184" t="str" cm="1">
        <f t="array" ref="AC15">IF(ISBLANK(INDEX(Data_Input!$C$9:$AF$89,MATCH($A15&amp;$B15&amp;$C15&amp;$B$2,Data_Input!$D$9:$D$89&amp;Data_Input!$E$9:$E$89&amp;Data_Input!$F$9:$F$89&amp;Data_Input!$H$9:$H$89,0),MATCH(AC$4,Data_Input!$C$9:$AF$9,0))),
"",
INDEX(Data_Input!$C$9:$AF$89,MATCH($A15&amp;$B15&amp;$C15&amp;$B$2,Data_Input!$D$9:$D$89&amp;Data_Input!$E$9:$E$89&amp;Data_Input!$F$9:$F$89&amp;Data_Input!$H$9:$H$89,0),MATCH(AC$4,Data_Input!$C$9:$AF$9,0)))</f>
        <v/>
      </c>
      <c r="AD15" s="184" t="str" cm="1">
        <f t="array" ref="AD15">IF(ISBLANK(INDEX(Data_Input!$C$9:$AF$89,MATCH($A15&amp;$B15&amp;$C15&amp;$B$2,Data_Input!$D$9:$D$89&amp;Data_Input!$E$9:$E$89&amp;Data_Input!$F$9:$F$89&amp;Data_Input!$H$9:$H$89,0),MATCH(AD$4,Data_Input!$C$9:$AF$9,0))),
"",
INDEX(Data_Input!$C$9:$AF$89,MATCH($A15&amp;$B15&amp;$C15&amp;$B$2,Data_Input!$D$9:$D$89&amp;Data_Input!$E$9:$E$89&amp;Data_Input!$F$9:$F$89&amp;Data_Input!$H$9:$H$89,0),MATCH(AD$4,Data_Input!$C$9:$AF$9,0)))</f>
        <v/>
      </c>
      <c r="AG15">
        <f t="shared" si="3"/>
        <v>1</v>
      </c>
      <c r="AH15" s="180">
        <f t="shared" si="12"/>
        <v>16375797.303985156</v>
      </c>
    </row>
    <row r="16" spans="1:34">
      <c r="A16" t="s">
        <v>38</v>
      </c>
      <c r="B16">
        <v>1102</v>
      </c>
      <c r="C16">
        <v>110</v>
      </c>
      <c r="D16" s="182">
        <v>-16568.28</v>
      </c>
      <c r="E16" s="182">
        <v>41014400</v>
      </c>
      <c r="F16" t="str" cm="1">
        <f t="array" ref="F16">IF(ISBLANK(INDEX(Data_Input!$C$9:$AF$89,MATCH($A16&amp;$B16&amp;$C16&amp;$B$2,Data_Input!$D$9:$D$89&amp;Data_Input!$E$9:$E$89&amp;Data_Input!$F$9:$F$89&amp;Data_Input!$H$9:$H$89,0),MATCH(F$4,Data_Input!$C$9:$AF$9,0))),
"",
INDEX(Data_Input!$C$9:$AF$89,MATCH($A16&amp;$B16&amp;$C16&amp;$B$2,Data_Input!$D$9:$D$89&amp;Data_Input!$E$9:$E$89&amp;Data_Input!$F$9:$F$89&amp;Data_Input!$H$9:$H$89,0),MATCH(F$4,Data_Input!$C$9:$AF$9,0)))</f>
        <v>IRSWP</v>
      </c>
      <c r="G16" t="str" cm="1">
        <f t="array" ref="G16">IF(ISBLANK(INDEX(Data_Input!$C$9:$AF$89,MATCH($A16&amp;$B16&amp;$C16&amp;$B$2,Data_Input!$D$9:$D$89&amp;Data_Input!$E$9:$E$89&amp;Data_Input!$F$9:$F$89&amp;Data_Input!$H$9:$H$89,0),MATCH(G$4,Data_Input!$C$9:$AF$9,0))),
"",
INDEX(Data_Input!$C$9:$AF$89,MATCH($A16&amp;$B16&amp;$C16&amp;$B$2,Data_Input!$D$9:$D$89&amp;Data_Input!$E$9:$E$89&amp;Data_Input!$F$9:$F$89&amp;Data_Input!$H$9:$H$89,0),MATCH(G$4,Data_Input!$C$9:$AF$9,0)))</f>
        <v>USD</v>
      </c>
      <c r="H16" t="str" cm="1">
        <f t="array" ref="H16">IF(ISBLANK(INDEX(Data_Input!$C$9:$AF$89,MATCH($A16&amp;$B16&amp;$C16&amp;$B$2,Data_Input!$D$9:$D$89&amp;Data_Input!$E$9:$E$89&amp;Data_Input!$F$9:$F$89&amp;Data_Input!$H$9:$H$89,0),MATCH(H$4,Data_Input!$C$9:$AF$9,0))),
"",
INDEX(Data_Input!$C$9:$AF$89,MATCH($A16&amp;$B16&amp;$C16&amp;$B$2,Data_Input!$D$9:$D$89&amp;Data_Input!$E$9:$E$89&amp;Data_Input!$F$9:$F$89&amp;Data_Input!$H$9:$H$89,0),MATCH(H$4,Data_Input!$C$9:$AF$9,0)))</f>
        <v/>
      </c>
      <c r="I16" t="str" cm="1">
        <f t="array" ref="I16">IF(ISBLANK(INDEX(Data_Input!$C$9:$AF$89,MATCH($A16&amp;$B16&amp;$C16&amp;$B$2,Data_Input!$D$9:$D$89&amp;Data_Input!$E$9:$E$89&amp;Data_Input!$F$9:$F$89&amp;Data_Input!$H$9:$H$89,0),MATCH(I$4,Data_Input!$C$9:$AF$9,0))),
"",
INDEX(Data_Input!$C$9:$AF$89,MATCH($A16&amp;$B16&amp;$C16&amp;$B$2,Data_Input!$D$9:$D$89&amp;Data_Input!$E$9:$E$89&amp;Data_Input!$F$9:$F$89&amp;Data_Input!$H$9:$H$89,0),MATCH(I$4,Data_Input!$C$9:$AF$9,0)))</f>
        <v/>
      </c>
      <c r="J16" t="str">
        <f t="shared" si="0"/>
        <v>USD</v>
      </c>
      <c r="K16" s="183" cm="1">
        <f t="array" ref="K16">IF(ISBLANK(INDEX(Data_Input!$C$9:$AF$89,MATCH($A16&amp;$B16&amp;$C16&amp;$B$2,Data_Input!$D$9:$D$89&amp;Data_Input!$E$9:$E$89&amp;Data_Input!$F$9:$F$89&amp;Data_Input!$H$9:$H$89,0),MATCH(K$4,Data_Input!$C$9:$AF$9,0))),
"",
INDEX(Data_Input!$C$9:$AF$89,MATCH($A16&amp;$B16&amp;$C16&amp;$B$2,Data_Input!$D$9:$D$89&amp;Data_Input!$E$9:$E$89&amp;Data_Input!$F$9:$F$89&amp;Data_Input!$H$9:$H$89,0),MATCH(K$4,Data_Input!$C$9:$AF$9,0)))</f>
        <v>45679</v>
      </c>
      <c r="L16">
        <f t="shared" si="4"/>
        <v>1.062043795620438</v>
      </c>
      <c r="M16" s="186">
        <f t="shared" si="5"/>
        <v>2</v>
      </c>
      <c r="N16" s="183" cm="1">
        <f t="array" ref="N16">IF(ISBLANK(INDEX(Data_Input!$C$9:$AF$89,MATCH($A16&amp;$B16&amp;$C16&amp;$B$2,Data_Input!$D$9:$D$89&amp;Data_Input!$E$9:$E$89&amp;Data_Input!$F$9:$F$89&amp;Data_Input!$H$9:$H$89,0),MATCH(N$4,Data_Input!$C$9:$AF$9,0))),
"",
INDEX(Data_Input!$C$9:$AF$89,MATCH($A16&amp;$B16&amp;$C16&amp;$B$2,Data_Input!$D$9:$D$89&amp;Data_Input!$E$9:$E$89&amp;Data_Input!$F$9:$F$89&amp;Data_Input!$H$9:$H$89,0),MATCH(N$4,Data_Input!$C$9:$AF$9,0)))</f>
        <v>41640</v>
      </c>
      <c r="O16">
        <f t="shared" si="6"/>
        <v>0</v>
      </c>
      <c r="P16" s="183" cm="1">
        <f t="array" ref="P16">IF(ISBLANK(INDEX(Data_Input!$C$9:$AF$89,MATCH($A16&amp;$B16&amp;$C16&amp;$B$2,Data_Input!$D$9:$D$89&amp;Data_Input!$E$9:$E$89&amp;Data_Input!$F$9:$F$89&amp;Data_Input!$H$9:$H$89,0),MATCH(P$4,Data_Input!$C$9:$AF$9,0))),
"",
INDEX(Data_Input!$C$9:$AF$89,MATCH($A16&amp;$B16&amp;$C16&amp;$B$2,Data_Input!$D$9:$D$89&amp;Data_Input!$E$9:$E$89&amp;Data_Input!$F$9:$F$89&amp;Data_Input!$H$9:$H$89,0),MATCH(P$4,Data_Input!$C$9:$AF$9,0)))</f>
        <v>45679</v>
      </c>
      <c r="Q16">
        <f t="shared" si="7"/>
        <v>1.062043795620438</v>
      </c>
      <c r="R16">
        <f t="shared" si="8"/>
        <v>1.0343379462364655</v>
      </c>
      <c r="S16" s="180">
        <f t="shared" si="9"/>
        <v>42422750.262120888</v>
      </c>
      <c r="T16" t="str" cm="1">
        <f t="array" ref="T16">IF(ISBLANK(INDEX(Data_Input!$C$9:$AF$89,MATCH($A16&amp;$B16&amp;$C16&amp;$B$2,Data_Input!$D$9:$D$89&amp;Data_Input!$E$9:$E$89&amp;Data_Input!$F$9:$F$89&amp;Data_Input!$H$9:$H$89,0),MATCH(T$4,Data_Input!$C$9:$AF$9,0))),
"",
INDEX(Data_Input!$C$9:$AF$89,MATCH($A16&amp;$B16&amp;$C16&amp;$B$2,Data_Input!$D$9:$D$89&amp;Data_Input!$E$9:$E$89&amp;Data_Input!$F$9:$F$89&amp;Data_Input!$H$9:$H$89,0),MATCH(T$4,Data_Input!$C$9:$AF$9,0)))</f>
        <v>M</v>
      </c>
      <c r="U16" t="str" cm="1">
        <f t="array" ref="U16">IF(ISBLANK(INDEX(Data_Input!$C$9:$AF$89,MATCH($A16&amp;$B16&amp;$C16&amp;$B$2,Data_Input!$D$9:$D$89&amp;Data_Input!$E$9:$E$89&amp;Data_Input!$F$9:$F$89&amp;Data_Input!$H$9:$H$89,0),MATCH(U$4,Data_Input!$C$9:$AF$9,0))),
"",
INDEX(Data_Input!$C$9:$AF$89,MATCH($A16&amp;$B16&amp;$C16&amp;$B$2,Data_Input!$D$9:$D$89&amp;Data_Input!$E$9:$E$89&amp;Data_Input!$F$9:$F$89&amp;Data_Input!$H$9:$H$89,0),MATCH(U$4,Data_Input!$C$9:$AF$9,0)))</f>
        <v>N</v>
      </c>
      <c r="V16" s="184" cm="1">
        <f t="array" ref="V16">IF(ISBLANK(INDEX(Data_Input!$C$9:$AF$89,MATCH($A16&amp;$B16&amp;$C16&amp;$B$2,Data_Input!$D$9:$D$89&amp;Data_Input!$E$9:$E$89&amp;Data_Input!$F$9:$F$89&amp;Data_Input!$H$9:$H$89,0),MATCH(V$4,Data_Input!$C$9:$AF$9,0))),
"",
INDEX(Data_Input!$C$9:$AF$89,MATCH($A16&amp;$B16&amp;$C16&amp;$B$2,Data_Input!$D$9:$D$89&amp;Data_Input!$E$9:$E$89&amp;Data_Input!$F$9:$F$89&amp;Data_Input!$H$9:$H$89,0),MATCH(V$4,Data_Input!$C$9:$AF$9,0)))</f>
        <v>5</v>
      </c>
      <c r="W16">
        <f t="shared" si="10"/>
        <v>14</v>
      </c>
      <c r="X16">
        <f t="shared" si="11"/>
        <v>0.354964786985977</v>
      </c>
      <c r="Y16" s="184" t="str" cm="1">
        <f t="array" ref="Y16">IF(ISBLANK(INDEX(Data_Input!$C$9:$AF$89,MATCH($A16&amp;$B16&amp;$C16&amp;$B$2,Data_Input!$D$9:$D$89&amp;Data_Input!$E$9:$E$89&amp;Data_Input!$F$9:$F$89&amp;Data_Input!$H$9:$H$89,0),MATCH(Y$4,Data_Input!$C$9:$AF$9,0))),
"",
INDEX(Data_Input!$C$9:$AF$89,MATCH($A16&amp;$B16&amp;$C16&amp;$B$2,Data_Input!$D$9:$D$89&amp;Data_Input!$E$9:$E$89&amp;Data_Input!$F$9:$F$89&amp;Data_Input!$H$9:$H$89,0),MATCH(Y$4,Data_Input!$C$9:$AF$9,0)))</f>
        <v>S</v>
      </c>
      <c r="Z16" s="185" t="str" cm="1">
        <f t="array" ref="Z16">IF(ISBLANK(INDEX(Data_Input!$C$9:$AF$89,MATCH($A16&amp;$B16&amp;$C16&amp;$B$2,Data_Input!$D$9:$D$89&amp;Data_Input!$E$9:$E$89&amp;Data_Input!$F$9:$F$89&amp;Data_Input!$H$9:$H$89,0),MATCH(Z$4,Data_Input!$C$9:$AF$9,0))),
"",
INDEX(Data_Input!$C$9:$AF$89,MATCH($A16&amp;$B16&amp;$C16&amp;$B$2,Data_Input!$D$9:$D$89&amp;Data_Input!$E$9:$E$89&amp;Data_Input!$F$9:$F$89&amp;Data_Input!$H$9:$H$89,0),MATCH(Z$4,Data_Input!$C$9:$AF$9,0)))</f>
        <v/>
      </c>
      <c r="AA16" t="str">
        <f t="shared" si="13"/>
        <v/>
      </c>
      <c r="AB16" s="184" t="str" cm="1">
        <f t="array" ref="AB16">IF(ISBLANK(INDEX(Data_Input!$C$9:$AF$89,MATCH($A16&amp;$B16&amp;$C16&amp;$B$2,Data_Input!$D$9:$D$89&amp;Data_Input!$E$9:$E$89&amp;Data_Input!$F$9:$F$89&amp;Data_Input!$H$9:$H$89,0),MATCH(AB$4,Data_Input!$C$9:$AF$9,0))),
"",
INDEX(Data_Input!$C$9:$AF$89,MATCH($A16&amp;$B16&amp;$C16&amp;$B$2,Data_Input!$D$9:$D$89&amp;Data_Input!$E$9:$E$89&amp;Data_Input!$F$9:$F$89&amp;Data_Input!$H$9:$H$89,0),MATCH(AB$4,Data_Input!$C$9:$AF$9,0)))</f>
        <v/>
      </c>
      <c r="AC16" s="184" t="str" cm="1">
        <f t="array" ref="AC16">IF(ISBLANK(INDEX(Data_Input!$C$9:$AF$89,MATCH($A16&amp;$B16&amp;$C16&amp;$B$2,Data_Input!$D$9:$D$89&amp;Data_Input!$E$9:$E$89&amp;Data_Input!$F$9:$F$89&amp;Data_Input!$H$9:$H$89,0),MATCH(AC$4,Data_Input!$C$9:$AF$9,0))),
"",
INDEX(Data_Input!$C$9:$AF$89,MATCH($A16&amp;$B16&amp;$C16&amp;$B$2,Data_Input!$D$9:$D$89&amp;Data_Input!$E$9:$E$89&amp;Data_Input!$F$9:$F$89&amp;Data_Input!$H$9:$H$89,0),MATCH(AC$4,Data_Input!$C$9:$AF$9,0)))</f>
        <v/>
      </c>
      <c r="AD16" s="184" t="str" cm="1">
        <f t="array" ref="AD16">IF(ISBLANK(INDEX(Data_Input!$C$9:$AF$89,MATCH($A16&amp;$B16&amp;$C16&amp;$B$2,Data_Input!$D$9:$D$89&amp;Data_Input!$E$9:$E$89&amp;Data_Input!$F$9:$F$89&amp;Data_Input!$H$9:$H$89,0),MATCH(AD$4,Data_Input!$C$9:$AF$9,0))),
"",
INDEX(Data_Input!$C$9:$AF$89,MATCH($A16&amp;$B16&amp;$C16&amp;$B$2,Data_Input!$D$9:$D$89&amp;Data_Input!$E$9:$E$89&amp;Data_Input!$F$9:$F$89&amp;Data_Input!$H$9:$H$89,0),MATCH(AD$4,Data_Input!$C$9:$AF$9,0)))</f>
        <v/>
      </c>
      <c r="AG16">
        <f t="shared" si="3"/>
        <v>-1</v>
      </c>
      <c r="AH16" s="180">
        <f t="shared" si="12"/>
        <v>-15058582.51015304</v>
      </c>
    </row>
    <row r="17" spans="1:34">
      <c r="A17" t="s">
        <v>38</v>
      </c>
      <c r="B17">
        <v>1102</v>
      </c>
      <c r="C17">
        <v>111</v>
      </c>
      <c r="D17" s="182">
        <v>58017.1</v>
      </c>
      <c r="E17" s="182">
        <v>128170000</v>
      </c>
      <c r="F17" t="str" cm="1">
        <f t="array" ref="F17">IF(ISBLANK(INDEX(Data_Input!$C$9:$AF$89,MATCH($A17&amp;$B17&amp;$C17&amp;$B$2,Data_Input!$D$9:$D$89&amp;Data_Input!$E$9:$E$89&amp;Data_Input!$F$9:$F$89&amp;Data_Input!$H$9:$H$89,0),MATCH(F$4,Data_Input!$C$9:$AF$9,0))),
"",
INDEX(Data_Input!$C$9:$AF$89,MATCH($A17&amp;$B17&amp;$C17&amp;$B$2,Data_Input!$D$9:$D$89&amp;Data_Input!$E$9:$E$89&amp;Data_Input!$F$9:$F$89&amp;Data_Input!$H$9:$H$89,0),MATCH(F$4,Data_Input!$C$9:$AF$9,0)))</f>
        <v>IRSWP</v>
      </c>
      <c r="G17" t="str" cm="1">
        <f t="array" ref="G17">IF(ISBLANK(INDEX(Data_Input!$C$9:$AF$89,MATCH($A17&amp;$B17&amp;$C17&amp;$B$2,Data_Input!$D$9:$D$89&amp;Data_Input!$E$9:$E$89&amp;Data_Input!$F$9:$F$89&amp;Data_Input!$H$9:$H$89,0),MATCH(G$4,Data_Input!$C$9:$AF$9,0))),
"",
INDEX(Data_Input!$C$9:$AF$89,MATCH($A17&amp;$B17&amp;$C17&amp;$B$2,Data_Input!$D$9:$D$89&amp;Data_Input!$E$9:$E$89&amp;Data_Input!$F$9:$F$89&amp;Data_Input!$H$9:$H$89,0),MATCH(G$4,Data_Input!$C$9:$AF$9,0)))</f>
        <v>USD</v>
      </c>
      <c r="H17" t="str" cm="1">
        <f t="array" ref="H17">IF(ISBLANK(INDEX(Data_Input!$C$9:$AF$89,MATCH($A17&amp;$B17&amp;$C17&amp;$B$2,Data_Input!$D$9:$D$89&amp;Data_Input!$E$9:$E$89&amp;Data_Input!$F$9:$F$89&amp;Data_Input!$H$9:$H$89,0),MATCH(H$4,Data_Input!$C$9:$AF$9,0))),
"",
INDEX(Data_Input!$C$9:$AF$89,MATCH($A17&amp;$B17&amp;$C17&amp;$B$2,Data_Input!$D$9:$D$89&amp;Data_Input!$E$9:$E$89&amp;Data_Input!$F$9:$F$89&amp;Data_Input!$H$9:$H$89,0),MATCH(H$4,Data_Input!$C$9:$AF$9,0)))</f>
        <v/>
      </c>
      <c r="I17" t="str" cm="1">
        <f t="array" ref="I17">IF(ISBLANK(INDEX(Data_Input!$C$9:$AF$89,MATCH($A17&amp;$B17&amp;$C17&amp;$B$2,Data_Input!$D$9:$D$89&amp;Data_Input!$E$9:$E$89&amp;Data_Input!$F$9:$F$89&amp;Data_Input!$H$9:$H$89,0),MATCH(I$4,Data_Input!$C$9:$AF$9,0))),
"",
INDEX(Data_Input!$C$9:$AF$89,MATCH($A17&amp;$B17&amp;$C17&amp;$B$2,Data_Input!$D$9:$D$89&amp;Data_Input!$E$9:$E$89&amp;Data_Input!$F$9:$F$89&amp;Data_Input!$H$9:$H$89,0),MATCH(I$4,Data_Input!$C$9:$AF$9,0)))</f>
        <v/>
      </c>
      <c r="J17" t="str">
        <f t="shared" si="0"/>
        <v>USD</v>
      </c>
      <c r="K17" s="183" cm="1">
        <f t="array" ref="K17">IF(ISBLANK(INDEX(Data_Input!$C$9:$AF$89,MATCH($A17&amp;$B17&amp;$C17&amp;$B$2,Data_Input!$D$9:$D$89&amp;Data_Input!$E$9:$E$89&amp;Data_Input!$F$9:$F$89&amp;Data_Input!$H$9:$H$89,0),MATCH(K$4,Data_Input!$C$9:$AF$9,0))),
"",
INDEX(Data_Input!$C$9:$AF$89,MATCH($A17&amp;$B17&amp;$C17&amp;$B$2,Data_Input!$D$9:$D$89&amp;Data_Input!$E$9:$E$89&amp;Data_Input!$F$9:$F$89&amp;Data_Input!$H$9:$H$89,0),MATCH(K$4,Data_Input!$C$9:$AF$9,0)))</f>
        <v>47064</v>
      </c>
      <c r="L17">
        <f t="shared" si="4"/>
        <v>4.8531021897810218</v>
      </c>
      <c r="M17" s="186">
        <f t="shared" si="5"/>
        <v>2</v>
      </c>
      <c r="N17" s="183" cm="1">
        <f t="array" ref="N17">IF(ISBLANK(INDEX(Data_Input!$C$9:$AF$89,MATCH($A17&amp;$B17&amp;$C17&amp;$B$2,Data_Input!$D$9:$D$89&amp;Data_Input!$E$9:$E$89&amp;Data_Input!$F$9:$F$89&amp;Data_Input!$H$9:$H$89,0),MATCH(N$4,Data_Input!$C$9:$AF$9,0))),
"",
INDEX(Data_Input!$C$9:$AF$89,MATCH($A17&amp;$B17&amp;$C17&amp;$B$2,Data_Input!$D$9:$D$89&amp;Data_Input!$E$9:$E$89&amp;Data_Input!$F$9:$F$89&amp;Data_Input!$H$9:$H$89,0),MATCH(N$4,Data_Input!$C$9:$AF$9,0)))</f>
        <v>41640</v>
      </c>
      <c r="O17">
        <f t="shared" si="6"/>
        <v>0</v>
      </c>
      <c r="P17" s="183" cm="1">
        <f t="array" ref="P17">IF(ISBLANK(INDEX(Data_Input!$C$9:$AF$89,MATCH($A17&amp;$B17&amp;$C17&amp;$B$2,Data_Input!$D$9:$D$89&amp;Data_Input!$E$9:$E$89&amp;Data_Input!$F$9:$F$89&amp;Data_Input!$H$9:$H$89,0),MATCH(P$4,Data_Input!$C$9:$AF$9,0))),
"",
INDEX(Data_Input!$C$9:$AF$89,MATCH($A17&amp;$B17&amp;$C17&amp;$B$2,Data_Input!$D$9:$D$89&amp;Data_Input!$E$9:$E$89&amp;Data_Input!$F$9:$F$89&amp;Data_Input!$H$9:$H$89,0),MATCH(P$4,Data_Input!$C$9:$AF$9,0)))</f>
        <v>47064</v>
      </c>
      <c r="Q17">
        <f t="shared" si="7"/>
        <v>4.8531021897810218</v>
      </c>
      <c r="R17">
        <f t="shared" si="8"/>
        <v>4.3091590355127014</v>
      </c>
      <c r="S17" s="180">
        <f t="shared" si="9"/>
        <v>552304913.58166289</v>
      </c>
      <c r="T17" t="str" cm="1">
        <f t="array" ref="T17">IF(ISBLANK(INDEX(Data_Input!$C$9:$AF$89,MATCH($A17&amp;$B17&amp;$C17&amp;$B$2,Data_Input!$D$9:$D$89&amp;Data_Input!$E$9:$E$89&amp;Data_Input!$F$9:$F$89&amp;Data_Input!$H$9:$H$89,0),MATCH(T$4,Data_Input!$C$9:$AF$9,0))),
"",
INDEX(Data_Input!$C$9:$AF$89,MATCH($A17&amp;$B17&amp;$C17&amp;$B$2,Data_Input!$D$9:$D$89&amp;Data_Input!$E$9:$E$89&amp;Data_Input!$F$9:$F$89&amp;Data_Input!$H$9:$H$89,0),MATCH(T$4,Data_Input!$C$9:$AF$9,0)))</f>
        <v>M</v>
      </c>
      <c r="U17" t="str" cm="1">
        <f t="array" ref="U17">IF(ISBLANK(INDEX(Data_Input!$C$9:$AF$89,MATCH($A17&amp;$B17&amp;$C17&amp;$B$2,Data_Input!$D$9:$D$89&amp;Data_Input!$E$9:$E$89&amp;Data_Input!$F$9:$F$89&amp;Data_Input!$H$9:$H$89,0),MATCH(U$4,Data_Input!$C$9:$AF$9,0))),
"",
INDEX(Data_Input!$C$9:$AF$89,MATCH($A17&amp;$B17&amp;$C17&amp;$B$2,Data_Input!$D$9:$D$89&amp;Data_Input!$E$9:$E$89&amp;Data_Input!$F$9:$F$89&amp;Data_Input!$H$9:$H$89,0),MATCH(U$4,Data_Input!$C$9:$AF$9,0)))</f>
        <v>N</v>
      </c>
      <c r="V17" s="184" cm="1">
        <f t="array" ref="V17">IF(ISBLANK(INDEX(Data_Input!$C$9:$AF$89,MATCH($A17&amp;$B17&amp;$C17&amp;$B$2,Data_Input!$D$9:$D$89&amp;Data_Input!$E$9:$E$89&amp;Data_Input!$F$9:$F$89&amp;Data_Input!$H$9:$H$89,0),MATCH(V$4,Data_Input!$C$9:$AF$9,0))),
"",
INDEX(Data_Input!$C$9:$AF$89,MATCH($A17&amp;$B17&amp;$C17&amp;$B$2,Data_Input!$D$9:$D$89&amp;Data_Input!$E$9:$E$89&amp;Data_Input!$F$9:$F$89&amp;Data_Input!$H$9:$H$89,0),MATCH(V$4,Data_Input!$C$9:$AF$9,0)))</f>
        <v>10</v>
      </c>
      <c r="W17">
        <f t="shared" si="10"/>
        <v>19</v>
      </c>
      <c r="X17">
        <f t="shared" si="11"/>
        <v>0.41352146256270667</v>
      </c>
      <c r="Y17" s="184" t="str" cm="1">
        <f t="array" ref="Y17">IF(ISBLANK(INDEX(Data_Input!$C$9:$AF$89,MATCH($A17&amp;$B17&amp;$C17&amp;$B$2,Data_Input!$D$9:$D$89&amp;Data_Input!$E$9:$E$89&amp;Data_Input!$F$9:$F$89&amp;Data_Input!$H$9:$H$89,0),MATCH(Y$4,Data_Input!$C$9:$AF$9,0))),
"",
INDEX(Data_Input!$C$9:$AF$89,MATCH($A17&amp;$B17&amp;$C17&amp;$B$2,Data_Input!$D$9:$D$89&amp;Data_Input!$E$9:$E$89&amp;Data_Input!$F$9:$F$89&amp;Data_Input!$H$9:$H$89,0),MATCH(Y$4,Data_Input!$C$9:$AF$9,0)))</f>
        <v>B</v>
      </c>
      <c r="Z17" s="185" t="str" cm="1">
        <f t="array" ref="Z17">IF(ISBLANK(INDEX(Data_Input!$C$9:$AF$89,MATCH($A17&amp;$B17&amp;$C17&amp;$B$2,Data_Input!$D$9:$D$89&amp;Data_Input!$E$9:$E$89&amp;Data_Input!$F$9:$F$89&amp;Data_Input!$H$9:$H$89,0),MATCH(Z$4,Data_Input!$C$9:$AF$9,0))),
"",
INDEX(Data_Input!$C$9:$AF$89,MATCH($A17&amp;$B17&amp;$C17&amp;$B$2,Data_Input!$D$9:$D$89&amp;Data_Input!$E$9:$E$89&amp;Data_Input!$F$9:$F$89&amp;Data_Input!$H$9:$H$89,0),MATCH(Z$4,Data_Input!$C$9:$AF$9,0)))</f>
        <v/>
      </c>
      <c r="AA17" t="str">
        <f t="shared" si="13"/>
        <v/>
      </c>
      <c r="AB17" s="184" t="str" cm="1">
        <f t="array" ref="AB17">IF(ISBLANK(INDEX(Data_Input!$C$9:$AF$89,MATCH($A17&amp;$B17&amp;$C17&amp;$B$2,Data_Input!$D$9:$D$89&amp;Data_Input!$E$9:$E$89&amp;Data_Input!$F$9:$F$89&amp;Data_Input!$H$9:$H$89,0),MATCH(AB$4,Data_Input!$C$9:$AF$9,0))),
"",
INDEX(Data_Input!$C$9:$AF$89,MATCH($A17&amp;$B17&amp;$C17&amp;$B$2,Data_Input!$D$9:$D$89&amp;Data_Input!$E$9:$E$89&amp;Data_Input!$F$9:$F$89&amp;Data_Input!$H$9:$H$89,0),MATCH(AB$4,Data_Input!$C$9:$AF$9,0)))</f>
        <v/>
      </c>
      <c r="AC17" s="184" t="str" cm="1">
        <f t="array" ref="AC17">IF(ISBLANK(INDEX(Data_Input!$C$9:$AF$89,MATCH($A17&amp;$B17&amp;$C17&amp;$B$2,Data_Input!$D$9:$D$89&amp;Data_Input!$E$9:$E$89&amp;Data_Input!$F$9:$F$89&amp;Data_Input!$H$9:$H$89,0),MATCH(AC$4,Data_Input!$C$9:$AF$9,0))),
"",
INDEX(Data_Input!$C$9:$AF$89,MATCH($A17&amp;$B17&amp;$C17&amp;$B$2,Data_Input!$D$9:$D$89&amp;Data_Input!$E$9:$E$89&amp;Data_Input!$F$9:$F$89&amp;Data_Input!$H$9:$H$89,0),MATCH(AC$4,Data_Input!$C$9:$AF$9,0)))</f>
        <v/>
      </c>
      <c r="AD17" s="184" t="str" cm="1">
        <f t="array" ref="AD17">IF(ISBLANK(INDEX(Data_Input!$C$9:$AF$89,MATCH($A17&amp;$B17&amp;$C17&amp;$B$2,Data_Input!$D$9:$D$89&amp;Data_Input!$E$9:$E$89&amp;Data_Input!$F$9:$F$89&amp;Data_Input!$H$9:$H$89,0),MATCH(AD$4,Data_Input!$C$9:$AF$9,0))),
"",
INDEX(Data_Input!$C$9:$AF$89,MATCH($A17&amp;$B17&amp;$C17&amp;$B$2,Data_Input!$D$9:$D$89&amp;Data_Input!$E$9:$E$89&amp;Data_Input!$F$9:$F$89&amp;Data_Input!$H$9:$H$89,0),MATCH(AD$4,Data_Input!$C$9:$AF$9,0)))</f>
        <v/>
      </c>
      <c r="AG17">
        <f t="shared" si="3"/>
        <v>1</v>
      </c>
      <c r="AH17" s="180">
        <f t="shared" si="12"/>
        <v>228389935.64485854</v>
      </c>
    </row>
    <row r="18" spans="1:34">
      <c r="A18" t="s">
        <v>38</v>
      </c>
      <c r="B18">
        <v>1102</v>
      </c>
      <c r="C18">
        <v>112</v>
      </c>
      <c r="D18" s="182">
        <v>11605.1</v>
      </c>
      <c r="E18" s="182">
        <v>21788900</v>
      </c>
      <c r="F18" t="str" cm="1">
        <f t="array" ref="F18">IF(ISBLANK(INDEX(Data_Input!$C$9:$AF$89,MATCH($A18&amp;$B18&amp;$C18&amp;$B$2,Data_Input!$D$9:$D$89&amp;Data_Input!$E$9:$E$89&amp;Data_Input!$F$9:$F$89&amp;Data_Input!$H$9:$H$89,0),MATCH(F$4,Data_Input!$C$9:$AF$9,0))),
"",
INDEX(Data_Input!$C$9:$AF$89,MATCH($A18&amp;$B18&amp;$C18&amp;$B$2,Data_Input!$D$9:$D$89&amp;Data_Input!$E$9:$E$89&amp;Data_Input!$F$9:$F$89&amp;Data_Input!$H$9:$H$89,0),MATCH(F$4,Data_Input!$C$9:$AF$9,0)))</f>
        <v>IRSWP</v>
      </c>
      <c r="G18" t="str" cm="1">
        <f t="array" ref="G18">IF(ISBLANK(INDEX(Data_Input!$C$9:$AF$89,MATCH($A18&amp;$B18&amp;$C18&amp;$B$2,Data_Input!$D$9:$D$89&amp;Data_Input!$E$9:$E$89&amp;Data_Input!$F$9:$F$89&amp;Data_Input!$H$9:$H$89,0),MATCH(G$4,Data_Input!$C$9:$AF$9,0))),
"",
INDEX(Data_Input!$C$9:$AF$89,MATCH($A18&amp;$B18&amp;$C18&amp;$B$2,Data_Input!$D$9:$D$89&amp;Data_Input!$E$9:$E$89&amp;Data_Input!$F$9:$F$89&amp;Data_Input!$H$9:$H$89,0),MATCH(G$4,Data_Input!$C$9:$AF$9,0)))</f>
        <v>USD</v>
      </c>
      <c r="H18" t="str" cm="1">
        <f t="array" ref="H18">IF(ISBLANK(INDEX(Data_Input!$C$9:$AF$89,MATCH($A18&amp;$B18&amp;$C18&amp;$B$2,Data_Input!$D$9:$D$89&amp;Data_Input!$E$9:$E$89&amp;Data_Input!$F$9:$F$89&amp;Data_Input!$H$9:$H$89,0),MATCH(H$4,Data_Input!$C$9:$AF$9,0))),
"",
INDEX(Data_Input!$C$9:$AF$89,MATCH($A18&amp;$B18&amp;$C18&amp;$B$2,Data_Input!$D$9:$D$89&amp;Data_Input!$E$9:$E$89&amp;Data_Input!$F$9:$F$89&amp;Data_Input!$H$9:$H$89,0),MATCH(H$4,Data_Input!$C$9:$AF$9,0)))</f>
        <v/>
      </c>
      <c r="I18" t="str" cm="1">
        <f t="array" ref="I18">IF(ISBLANK(INDEX(Data_Input!$C$9:$AF$89,MATCH($A18&amp;$B18&amp;$C18&amp;$B$2,Data_Input!$D$9:$D$89&amp;Data_Input!$E$9:$E$89&amp;Data_Input!$F$9:$F$89&amp;Data_Input!$H$9:$H$89,0),MATCH(I$4,Data_Input!$C$9:$AF$9,0))),
"",
INDEX(Data_Input!$C$9:$AF$89,MATCH($A18&amp;$B18&amp;$C18&amp;$B$2,Data_Input!$D$9:$D$89&amp;Data_Input!$E$9:$E$89&amp;Data_Input!$F$9:$F$89&amp;Data_Input!$H$9:$H$89,0),MATCH(I$4,Data_Input!$C$9:$AF$9,0)))</f>
        <v/>
      </c>
      <c r="J18" t="str">
        <f t="shared" si="0"/>
        <v>USD</v>
      </c>
      <c r="K18" s="183" cm="1">
        <f t="array" ref="K18">IF(ISBLANK(INDEX(Data_Input!$C$9:$AF$89,MATCH($A18&amp;$B18&amp;$C18&amp;$B$2,Data_Input!$D$9:$D$89&amp;Data_Input!$E$9:$E$89&amp;Data_Input!$F$9:$F$89&amp;Data_Input!$H$9:$H$89,0),MATCH(K$4,Data_Input!$C$9:$AF$9,0))),
"",
INDEX(Data_Input!$C$9:$AF$89,MATCH($A18&amp;$B18&amp;$C18&amp;$B$2,Data_Input!$D$9:$D$89&amp;Data_Input!$E$9:$E$89&amp;Data_Input!$F$9:$F$89&amp;Data_Input!$H$9:$H$89,0),MATCH(K$4,Data_Input!$C$9:$AF$9,0)))</f>
        <v>47263</v>
      </c>
      <c r="L18">
        <f t="shared" si="4"/>
        <v>5.3985138834571762</v>
      </c>
      <c r="M18" s="186">
        <f t="shared" si="5"/>
        <v>3</v>
      </c>
      <c r="N18" s="183" cm="1">
        <f t="array" ref="N18">IF(ISBLANK(INDEX(Data_Input!$C$9:$AF$89,MATCH($A18&amp;$B18&amp;$C18&amp;$B$2,Data_Input!$D$9:$D$89&amp;Data_Input!$E$9:$E$89&amp;Data_Input!$F$9:$F$89&amp;Data_Input!$H$9:$H$89,0),MATCH(N$4,Data_Input!$C$9:$AF$9,0))),
"",
INDEX(Data_Input!$C$9:$AF$89,MATCH($A18&amp;$B18&amp;$C18&amp;$B$2,Data_Input!$D$9:$D$89&amp;Data_Input!$E$9:$E$89&amp;Data_Input!$F$9:$F$89&amp;Data_Input!$H$9:$H$89,0),MATCH(N$4,Data_Input!$C$9:$AF$9,0)))</f>
        <v>41640</v>
      </c>
      <c r="O18">
        <f t="shared" si="6"/>
        <v>0</v>
      </c>
      <c r="P18" s="183" cm="1">
        <f t="array" ref="P18">IF(ISBLANK(INDEX(Data_Input!$C$9:$AF$89,MATCH($A18&amp;$B18&amp;$C18&amp;$B$2,Data_Input!$D$9:$D$89&amp;Data_Input!$E$9:$E$89&amp;Data_Input!$F$9:$F$89&amp;Data_Input!$H$9:$H$89,0),MATCH(P$4,Data_Input!$C$9:$AF$9,0))),
"",
INDEX(Data_Input!$C$9:$AF$89,MATCH($A18&amp;$B18&amp;$C18&amp;$B$2,Data_Input!$D$9:$D$89&amp;Data_Input!$E$9:$E$89&amp;Data_Input!$F$9:$F$89&amp;Data_Input!$H$9:$H$89,0),MATCH(P$4,Data_Input!$C$9:$AF$9,0)))</f>
        <v>47263</v>
      </c>
      <c r="Q18">
        <f t="shared" si="7"/>
        <v>5.3985138834571762</v>
      </c>
      <c r="R18">
        <f t="shared" si="8"/>
        <v>4.7312756002180079</v>
      </c>
      <c r="S18" s="180">
        <f t="shared" si="9"/>
        <v>103089290.92559016</v>
      </c>
      <c r="T18" t="str" cm="1">
        <f t="array" ref="T18">IF(ISBLANK(INDEX(Data_Input!$C$9:$AF$89,MATCH($A18&amp;$B18&amp;$C18&amp;$B$2,Data_Input!$D$9:$D$89&amp;Data_Input!$E$9:$E$89&amp;Data_Input!$F$9:$F$89&amp;Data_Input!$H$9:$H$89,0),MATCH(T$4,Data_Input!$C$9:$AF$9,0))),
"",
INDEX(Data_Input!$C$9:$AF$89,MATCH($A18&amp;$B18&amp;$C18&amp;$B$2,Data_Input!$D$9:$D$89&amp;Data_Input!$E$9:$E$89&amp;Data_Input!$F$9:$F$89&amp;Data_Input!$H$9:$H$89,0),MATCH(T$4,Data_Input!$C$9:$AF$9,0)))</f>
        <v>M</v>
      </c>
      <c r="U18" t="str" cm="1">
        <f t="array" ref="U18">IF(ISBLANK(INDEX(Data_Input!$C$9:$AF$89,MATCH($A18&amp;$B18&amp;$C18&amp;$B$2,Data_Input!$D$9:$D$89&amp;Data_Input!$E$9:$E$89&amp;Data_Input!$F$9:$F$89&amp;Data_Input!$H$9:$H$89,0),MATCH(U$4,Data_Input!$C$9:$AF$9,0))),
"",
INDEX(Data_Input!$C$9:$AF$89,MATCH($A18&amp;$B18&amp;$C18&amp;$B$2,Data_Input!$D$9:$D$89&amp;Data_Input!$E$9:$E$89&amp;Data_Input!$F$9:$F$89&amp;Data_Input!$H$9:$H$89,0),MATCH(U$4,Data_Input!$C$9:$AF$9,0)))</f>
        <v>N</v>
      </c>
      <c r="V18" s="184" cm="1">
        <f t="array" ref="V18">IF(ISBLANK(INDEX(Data_Input!$C$9:$AF$89,MATCH($A18&amp;$B18&amp;$C18&amp;$B$2,Data_Input!$D$9:$D$89&amp;Data_Input!$E$9:$E$89&amp;Data_Input!$F$9:$F$89&amp;Data_Input!$H$9:$H$89,0),MATCH(V$4,Data_Input!$C$9:$AF$9,0))),
"",
INDEX(Data_Input!$C$9:$AF$89,MATCH($A18&amp;$B18&amp;$C18&amp;$B$2,Data_Input!$D$9:$D$89&amp;Data_Input!$E$9:$E$89&amp;Data_Input!$F$9:$F$89&amp;Data_Input!$H$9:$H$89,0),MATCH(V$4,Data_Input!$C$9:$AF$9,0)))</f>
        <v>10</v>
      </c>
      <c r="W18">
        <f t="shared" si="10"/>
        <v>19</v>
      </c>
      <c r="X18">
        <f t="shared" si="11"/>
        <v>0.41352146256270667</v>
      </c>
      <c r="Y18" s="184" t="str" cm="1">
        <f t="array" ref="Y18">IF(ISBLANK(INDEX(Data_Input!$C$9:$AF$89,MATCH($A18&amp;$B18&amp;$C18&amp;$B$2,Data_Input!$D$9:$D$89&amp;Data_Input!$E$9:$E$89&amp;Data_Input!$F$9:$F$89&amp;Data_Input!$H$9:$H$89,0),MATCH(Y$4,Data_Input!$C$9:$AF$9,0))),
"",
INDEX(Data_Input!$C$9:$AF$89,MATCH($A18&amp;$B18&amp;$C18&amp;$B$2,Data_Input!$D$9:$D$89&amp;Data_Input!$E$9:$E$89&amp;Data_Input!$F$9:$F$89&amp;Data_Input!$H$9:$H$89,0),MATCH(Y$4,Data_Input!$C$9:$AF$9,0)))</f>
        <v>S</v>
      </c>
      <c r="Z18" s="185" t="str" cm="1">
        <f t="array" ref="Z18">IF(ISBLANK(INDEX(Data_Input!$C$9:$AF$89,MATCH($A18&amp;$B18&amp;$C18&amp;$B$2,Data_Input!$D$9:$D$89&amp;Data_Input!$E$9:$E$89&amp;Data_Input!$F$9:$F$89&amp;Data_Input!$H$9:$H$89,0),MATCH(Z$4,Data_Input!$C$9:$AF$9,0))),
"",
INDEX(Data_Input!$C$9:$AF$89,MATCH($A18&amp;$B18&amp;$C18&amp;$B$2,Data_Input!$D$9:$D$89&amp;Data_Input!$E$9:$E$89&amp;Data_Input!$F$9:$F$89&amp;Data_Input!$H$9:$H$89,0),MATCH(Z$4,Data_Input!$C$9:$AF$9,0)))</f>
        <v/>
      </c>
      <c r="AA18" t="str">
        <f t="shared" si="13"/>
        <v/>
      </c>
      <c r="AB18" s="184" t="str" cm="1">
        <f t="array" ref="AB18">IF(ISBLANK(INDEX(Data_Input!$C$9:$AF$89,MATCH($A18&amp;$B18&amp;$C18&amp;$B$2,Data_Input!$D$9:$D$89&amp;Data_Input!$E$9:$E$89&amp;Data_Input!$F$9:$F$89&amp;Data_Input!$H$9:$H$89,0),MATCH(AB$4,Data_Input!$C$9:$AF$9,0))),
"",
INDEX(Data_Input!$C$9:$AF$89,MATCH($A18&amp;$B18&amp;$C18&amp;$B$2,Data_Input!$D$9:$D$89&amp;Data_Input!$E$9:$E$89&amp;Data_Input!$F$9:$F$89&amp;Data_Input!$H$9:$H$89,0),MATCH(AB$4,Data_Input!$C$9:$AF$9,0)))</f>
        <v/>
      </c>
      <c r="AC18" s="184" t="str" cm="1">
        <f t="array" ref="AC18">IF(ISBLANK(INDEX(Data_Input!$C$9:$AF$89,MATCH($A18&amp;$B18&amp;$C18&amp;$B$2,Data_Input!$D$9:$D$89&amp;Data_Input!$E$9:$E$89&amp;Data_Input!$F$9:$F$89&amp;Data_Input!$H$9:$H$89,0),MATCH(AC$4,Data_Input!$C$9:$AF$9,0))),
"",
INDEX(Data_Input!$C$9:$AF$89,MATCH($A18&amp;$B18&amp;$C18&amp;$B$2,Data_Input!$D$9:$D$89&amp;Data_Input!$E$9:$E$89&amp;Data_Input!$F$9:$F$89&amp;Data_Input!$H$9:$H$89,0),MATCH(AC$4,Data_Input!$C$9:$AF$9,0)))</f>
        <v/>
      </c>
      <c r="AD18" s="184" t="str" cm="1">
        <f t="array" ref="AD18">IF(ISBLANK(INDEX(Data_Input!$C$9:$AF$89,MATCH($A18&amp;$B18&amp;$C18&amp;$B$2,Data_Input!$D$9:$D$89&amp;Data_Input!$E$9:$E$89&amp;Data_Input!$F$9:$F$89&amp;Data_Input!$H$9:$H$89,0),MATCH(AD$4,Data_Input!$C$9:$AF$9,0))),
"",
INDEX(Data_Input!$C$9:$AF$89,MATCH($A18&amp;$B18&amp;$C18&amp;$B$2,Data_Input!$D$9:$D$89&amp;Data_Input!$E$9:$E$89&amp;Data_Input!$F$9:$F$89&amp;Data_Input!$H$9:$H$89,0),MATCH(AD$4,Data_Input!$C$9:$AF$9,0)))</f>
        <v/>
      </c>
      <c r="AG18">
        <f t="shared" si="3"/>
        <v>-1</v>
      </c>
      <c r="AH18" s="180">
        <f t="shared" si="12"/>
        <v>-42629634.358102404</v>
      </c>
    </row>
    <row r="19" spans="1:34">
      <c r="A19" t="s">
        <v>38</v>
      </c>
      <c r="B19">
        <v>1102</v>
      </c>
      <c r="C19">
        <v>113</v>
      </c>
      <c r="D19" s="182">
        <v>41757.839999999997</v>
      </c>
      <c r="E19" s="182">
        <v>233269400</v>
      </c>
      <c r="F19" t="str" cm="1">
        <f t="array" ref="F19">IF(ISBLANK(INDEX(Data_Input!$C$9:$AF$89,MATCH($A19&amp;$B19&amp;$C19&amp;$B$2,Data_Input!$D$9:$D$89&amp;Data_Input!$E$9:$E$89&amp;Data_Input!$F$9:$F$89&amp;Data_Input!$H$9:$H$89,0),MATCH(F$4,Data_Input!$C$9:$AF$9,0))),
"",
INDEX(Data_Input!$C$9:$AF$89,MATCH($A19&amp;$B19&amp;$C19&amp;$B$2,Data_Input!$D$9:$D$89&amp;Data_Input!$E$9:$E$89&amp;Data_Input!$F$9:$F$89&amp;Data_Input!$H$9:$H$89,0),MATCH(F$4,Data_Input!$C$9:$AF$9,0)))</f>
        <v>FRA</v>
      </c>
      <c r="G19" t="str" cm="1">
        <f t="array" ref="G19">IF(ISBLANK(INDEX(Data_Input!$C$9:$AF$89,MATCH($A19&amp;$B19&amp;$C19&amp;$B$2,Data_Input!$D$9:$D$89&amp;Data_Input!$E$9:$E$89&amp;Data_Input!$F$9:$F$89&amp;Data_Input!$H$9:$H$89,0),MATCH(G$4,Data_Input!$C$9:$AF$9,0))),
"",
INDEX(Data_Input!$C$9:$AF$89,MATCH($A19&amp;$B19&amp;$C19&amp;$B$2,Data_Input!$D$9:$D$89&amp;Data_Input!$E$9:$E$89&amp;Data_Input!$F$9:$F$89&amp;Data_Input!$H$9:$H$89,0),MATCH(G$4,Data_Input!$C$9:$AF$9,0)))</f>
        <v>AUD</v>
      </c>
      <c r="H19" t="str" cm="1">
        <f t="array" ref="H19">IF(ISBLANK(INDEX(Data_Input!$C$9:$AF$89,MATCH($A19&amp;$B19&amp;$C19&amp;$B$2,Data_Input!$D$9:$D$89&amp;Data_Input!$E$9:$E$89&amp;Data_Input!$F$9:$F$89&amp;Data_Input!$H$9:$H$89,0),MATCH(H$4,Data_Input!$C$9:$AF$9,0))),
"",
INDEX(Data_Input!$C$9:$AF$89,MATCH($A19&amp;$B19&amp;$C19&amp;$B$2,Data_Input!$D$9:$D$89&amp;Data_Input!$E$9:$E$89&amp;Data_Input!$F$9:$F$89&amp;Data_Input!$H$9:$H$89,0),MATCH(H$4,Data_Input!$C$9:$AF$9,0)))</f>
        <v/>
      </c>
      <c r="I19" t="str" cm="1">
        <f t="array" ref="I19">IF(ISBLANK(INDEX(Data_Input!$C$9:$AF$89,MATCH($A19&amp;$B19&amp;$C19&amp;$B$2,Data_Input!$D$9:$D$89&amp;Data_Input!$E$9:$E$89&amp;Data_Input!$F$9:$F$89&amp;Data_Input!$H$9:$H$89,0),MATCH(I$4,Data_Input!$C$9:$AF$9,0))),
"",
INDEX(Data_Input!$C$9:$AF$89,MATCH($A19&amp;$B19&amp;$C19&amp;$B$2,Data_Input!$D$9:$D$89&amp;Data_Input!$E$9:$E$89&amp;Data_Input!$F$9:$F$89&amp;Data_Input!$H$9:$H$89,0),MATCH(I$4,Data_Input!$C$9:$AF$9,0)))</f>
        <v/>
      </c>
      <c r="J19" t="str">
        <f t="shared" si="0"/>
        <v>AUD</v>
      </c>
      <c r="K19" s="183" cm="1">
        <f t="array" ref="K19">IF(ISBLANK(INDEX(Data_Input!$C$9:$AF$89,MATCH($A19&amp;$B19&amp;$C19&amp;$B$2,Data_Input!$D$9:$D$89&amp;Data_Input!$E$9:$E$89&amp;Data_Input!$F$9:$F$89&amp;Data_Input!$H$9:$H$89,0),MATCH(K$4,Data_Input!$C$9:$AF$9,0))),
"",
INDEX(Data_Input!$C$9:$AF$89,MATCH($A19&amp;$B19&amp;$C19&amp;$B$2,Data_Input!$D$9:$D$89&amp;Data_Input!$E$9:$E$89&amp;Data_Input!$F$9:$F$89&amp;Data_Input!$H$9:$H$89,0),MATCH(K$4,Data_Input!$C$9:$AF$9,0)))</f>
        <v>47260</v>
      </c>
      <c r="L19">
        <f t="shared" si="4"/>
        <v>5.3903011341415725</v>
      </c>
      <c r="M19" s="186">
        <f t="shared" si="5"/>
        <v>3</v>
      </c>
      <c r="N19" s="183" cm="1">
        <f t="array" ref="N19">IF(ISBLANK(INDEX(Data_Input!$C$9:$AF$89,MATCH($A19&amp;$B19&amp;$C19&amp;$B$2,Data_Input!$D$9:$D$89&amp;Data_Input!$E$9:$E$89&amp;Data_Input!$F$9:$F$89&amp;Data_Input!$H$9:$H$89,0),MATCH(N$4,Data_Input!$C$9:$AF$9,0))),
"",
INDEX(Data_Input!$C$9:$AF$89,MATCH($A19&amp;$B19&amp;$C19&amp;$B$2,Data_Input!$D$9:$D$89&amp;Data_Input!$E$9:$E$89&amp;Data_Input!$F$9:$F$89&amp;Data_Input!$H$9:$H$89,0),MATCH(N$4,Data_Input!$C$9:$AF$9,0)))</f>
        <v>41496</v>
      </c>
      <c r="O19">
        <f t="shared" si="6"/>
        <v>0</v>
      </c>
      <c r="P19" s="183" cm="1">
        <f t="array" ref="P19">IF(ISBLANK(INDEX(Data_Input!$C$9:$AF$89,MATCH($A19&amp;$B19&amp;$C19&amp;$B$2,Data_Input!$D$9:$D$89&amp;Data_Input!$E$9:$E$89&amp;Data_Input!$F$9:$F$89&amp;Data_Input!$H$9:$H$89,0),MATCH(P$4,Data_Input!$C$9:$AF$9,0))),
"",
INDEX(Data_Input!$C$9:$AF$89,MATCH($A19&amp;$B19&amp;$C19&amp;$B$2,Data_Input!$D$9:$D$89&amp;Data_Input!$E$9:$E$89&amp;Data_Input!$F$9:$F$89&amp;Data_Input!$H$9:$H$89,0),MATCH(P$4,Data_Input!$C$9:$AF$9,0)))</f>
        <v>47260</v>
      </c>
      <c r="Q19">
        <f t="shared" si="7"/>
        <v>5.3903011341415725</v>
      </c>
      <c r="R19">
        <f t="shared" si="8"/>
        <v>4.72500440241852</v>
      </c>
      <c r="S19" s="180">
        <f t="shared" si="9"/>
        <v>1102198941.9495268</v>
      </c>
      <c r="T19" t="str" cm="1">
        <f t="array" ref="T19">IF(ISBLANK(INDEX(Data_Input!$C$9:$AF$89,MATCH($A19&amp;$B19&amp;$C19&amp;$B$2,Data_Input!$D$9:$D$89&amp;Data_Input!$E$9:$E$89&amp;Data_Input!$F$9:$F$89&amp;Data_Input!$H$9:$H$89,0),MATCH(T$4,Data_Input!$C$9:$AF$9,0))),
"",
INDEX(Data_Input!$C$9:$AF$89,MATCH($A19&amp;$B19&amp;$C19&amp;$B$2,Data_Input!$D$9:$D$89&amp;Data_Input!$E$9:$E$89&amp;Data_Input!$F$9:$F$89&amp;Data_Input!$H$9:$H$89,0),MATCH(T$4,Data_Input!$C$9:$AF$9,0)))</f>
        <v>M</v>
      </c>
      <c r="U19" t="str" cm="1">
        <f t="array" ref="U19">IF(ISBLANK(INDEX(Data_Input!$C$9:$AF$89,MATCH($A19&amp;$B19&amp;$C19&amp;$B$2,Data_Input!$D$9:$D$89&amp;Data_Input!$E$9:$E$89&amp;Data_Input!$F$9:$F$89&amp;Data_Input!$H$9:$H$89,0),MATCH(U$4,Data_Input!$C$9:$AF$9,0))),
"",
INDEX(Data_Input!$C$9:$AF$89,MATCH($A19&amp;$B19&amp;$C19&amp;$B$2,Data_Input!$D$9:$D$89&amp;Data_Input!$E$9:$E$89&amp;Data_Input!$F$9:$F$89&amp;Data_Input!$H$9:$H$89,0),MATCH(U$4,Data_Input!$C$9:$AF$9,0)))</f>
        <v>N</v>
      </c>
      <c r="V19" s="184" cm="1">
        <f t="array" ref="V19">IF(ISBLANK(INDEX(Data_Input!$C$9:$AF$89,MATCH($A19&amp;$B19&amp;$C19&amp;$B$2,Data_Input!$D$9:$D$89&amp;Data_Input!$E$9:$E$89&amp;Data_Input!$F$9:$F$89&amp;Data_Input!$H$9:$H$89,0),MATCH(V$4,Data_Input!$C$9:$AF$9,0))),
"",
INDEX(Data_Input!$C$9:$AF$89,MATCH($A19&amp;$B19&amp;$C19&amp;$B$2,Data_Input!$D$9:$D$89&amp;Data_Input!$E$9:$E$89&amp;Data_Input!$F$9:$F$89&amp;Data_Input!$H$9:$H$89,0),MATCH(V$4,Data_Input!$C$9:$AF$9,0)))</f>
        <v>10</v>
      </c>
      <c r="W19">
        <f t="shared" si="10"/>
        <v>19</v>
      </c>
      <c r="X19">
        <f t="shared" si="11"/>
        <v>0.41352146256270667</v>
      </c>
      <c r="Y19" s="184" t="str" cm="1">
        <f t="array" ref="Y19">IF(ISBLANK(INDEX(Data_Input!$C$9:$AF$89,MATCH($A19&amp;$B19&amp;$C19&amp;$B$2,Data_Input!$D$9:$D$89&amp;Data_Input!$E$9:$E$89&amp;Data_Input!$F$9:$F$89&amp;Data_Input!$H$9:$H$89,0),MATCH(Y$4,Data_Input!$C$9:$AF$9,0))),
"",
INDEX(Data_Input!$C$9:$AF$89,MATCH($A19&amp;$B19&amp;$C19&amp;$B$2,Data_Input!$D$9:$D$89&amp;Data_Input!$E$9:$E$89&amp;Data_Input!$F$9:$F$89&amp;Data_Input!$H$9:$H$89,0),MATCH(Y$4,Data_Input!$C$9:$AF$9,0)))</f>
        <v>B</v>
      </c>
      <c r="Z19" s="185" t="str" cm="1">
        <f t="array" ref="Z19">IF(ISBLANK(INDEX(Data_Input!$C$9:$AF$89,MATCH($A19&amp;$B19&amp;$C19&amp;$B$2,Data_Input!$D$9:$D$89&amp;Data_Input!$E$9:$E$89&amp;Data_Input!$F$9:$F$89&amp;Data_Input!$H$9:$H$89,0),MATCH(Z$4,Data_Input!$C$9:$AF$9,0))),
"",
INDEX(Data_Input!$C$9:$AF$89,MATCH($A19&amp;$B19&amp;$C19&amp;$B$2,Data_Input!$D$9:$D$89&amp;Data_Input!$E$9:$E$89&amp;Data_Input!$F$9:$F$89&amp;Data_Input!$H$9:$H$89,0),MATCH(Z$4,Data_Input!$C$9:$AF$9,0)))</f>
        <v/>
      </c>
      <c r="AA19" t="str">
        <f t="shared" si="13"/>
        <v/>
      </c>
      <c r="AB19" s="184" t="str" cm="1">
        <f t="array" ref="AB19">IF(ISBLANK(INDEX(Data_Input!$C$9:$AF$89,MATCH($A19&amp;$B19&amp;$C19&amp;$B$2,Data_Input!$D$9:$D$89&amp;Data_Input!$E$9:$E$89&amp;Data_Input!$F$9:$F$89&amp;Data_Input!$H$9:$H$89,0),MATCH(AB$4,Data_Input!$C$9:$AF$9,0))),
"",
INDEX(Data_Input!$C$9:$AF$89,MATCH($A19&amp;$B19&amp;$C19&amp;$B$2,Data_Input!$D$9:$D$89&amp;Data_Input!$E$9:$E$89&amp;Data_Input!$F$9:$F$89&amp;Data_Input!$H$9:$H$89,0),MATCH(AB$4,Data_Input!$C$9:$AF$9,0)))</f>
        <v/>
      </c>
      <c r="AC19" s="184" t="str" cm="1">
        <f t="array" ref="AC19">IF(ISBLANK(INDEX(Data_Input!$C$9:$AF$89,MATCH($A19&amp;$B19&amp;$C19&amp;$B$2,Data_Input!$D$9:$D$89&amp;Data_Input!$E$9:$E$89&amp;Data_Input!$F$9:$F$89&amp;Data_Input!$H$9:$H$89,0),MATCH(AC$4,Data_Input!$C$9:$AF$9,0))),
"",
INDEX(Data_Input!$C$9:$AF$89,MATCH($A19&amp;$B19&amp;$C19&amp;$B$2,Data_Input!$D$9:$D$89&amp;Data_Input!$E$9:$E$89&amp;Data_Input!$F$9:$F$89&amp;Data_Input!$H$9:$H$89,0),MATCH(AC$4,Data_Input!$C$9:$AF$9,0)))</f>
        <v/>
      </c>
      <c r="AD19" s="184" t="str" cm="1">
        <f t="array" ref="AD19">IF(ISBLANK(INDEX(Data_Input!$C$9:$AF$89,MATCH($A19&amp;$B19&amp;$C19&amp;$B$2,Data_Input!$D$9:$D$89&amp;Data_Input!$E$9:$E$89&amp;Data_Input!$F$9:$F$89&amp;Data_Input!$H$9:$H$89,0),MATCH(AD$4,Data_Input!$C$9:$AF$9,0))),
"",
INDEX(Data_Input!$C$9:$AF$89,MATCH($A19&amp;$B19&amp;$C19&amp;$B$2,Data_Input!$D$9:$D$89&amp;Data_Input!$E$9:$E$89&amp;Data_Input!$F$9:$F$89&amp;Data_Input!$H$9:$H$89,0),MATCH(AD$4,Data_Input!$C$9:$AF$9,0)))</f>
        <v/>
      </c>
      <c r="AG19">
        <f t="shared" si="3"/>
        <v>1</v>
      </c>
      <c r="AH19" s="180">
        <f t="shared" si="12"/>
        <v>455782918.51003611</v>
      </c>
    </row>
    <row r="20" spans="1:34">
      <c r="A20" t="s">
        <v>38</v>
      </c>
      <c r="B20">
        <v>1102</v>
      </c>
      <c r="C20">
        <v>114</v>
      </c>
      <c r="D20" s="182">
        <v>-16095.05</v>
      </c>
      <c r="E20" s="182">
        <v>32042500</v>
      </c>
      <c r="F20" t="str" cm="1">
        <f t="array" ref="F20">IF(ISBLANK(INDEX(Data_Input!$C$9:$AF$89,MATCH($A20&amp;$B20&amp;$C20&amp;$B$2,Data_Input!$D$9:$D$89&amp;Data_Input!$E$9:$E$89&amp;Data_Input!$F$9:$F$89&amp;Data_Input!$H$9:$H$89,0),MATCH(F$4,Data_Input!$C$9:$AF$9,0))),
"",
INDEX(Data_Input!$C$9:$AF$89,MATCH($A20&amp;$B20&amp;$C20&amp;$B$2,Data_Input!$D$9:$D$89&amp;Data_Input!$E$9:$E$89&amp;Data_Input!$F$9:$F$89&amp;Data_Input!$H$9:$H$89,0),MATCH(F$4,Data_Input!$C$9:$AF$9,0)))</f>
        <v>FRA</v>
      </c>
      <c r="G20" t="str" cm="1">
        <f t="array" ref="G20">IF(ISBLANK(INDEX(Data_Input!$C$9:$AF$89,MATCH($A20&amp;$B20&amp;$C20&amp;$B$2,Data_Input!$D$9:$D$89&amp;Data_Input!$E$9:$E$89&amp;Data_Input!$F$9:$F$89&amp;Data_Input!$H$9:$H$89,0),MATCH(G$4,Data_Input!$C$9:$AF$9,0))),
"",
INDEX(Data_Input!$C$9:$AF$89,MATCH($A20&amp;$B20&amp;$C20&amp;$B$2,Data_Input!$D$9:$D$89&amp;Data_Input!$E$9:$E$89&amp;Data_Input!$F$9:$F$89&amp;Data_Input!$H$9:$H$89,0),MATCH(G$4,Data_Input!$C$9:$AF$9,0)))</f>
        <v>AUD</v>
      </c>
      <c r="H20" t="str" cm="1">
        <f t="array" ref="H20">IF(ISBLANK(INDEX(Data_Input!$C$9:$AF$89,MATCH($A20&amp;$B20&amp;$C20&amp;$B$2,Data_Input!$D$9:$D$89&amp;Data_Input!$E$9:$E$89&amp;Data_Input!$F$9:$F$89&amp;Data_Input!$H$9:$H$89,0),MATCH(H$4,Data_Input!$C$9:$AF$9,0))),
"",
INDEX(Data_Input!$C$9:$AF$89,MATCH($A20&amp;$B20&amp;$C20&amp;$B$2,Data_Input!$D$9:$D$89&amp;Data_Input!$E$9:$E$89&amp;Data_Input!$F$9:$F$89&amp;Data_Input!$H$9:$H$89,0),MATCH(H$4,Data_Input!$C$9:$AF$9,0)))</f>
        <v/>
      </c>
      <c r="I20" t="str" cm="1">
        <f t="array" ref="I20">IF(ISBLANK(INDEX(Data_Input!$C$9:$AF$89,MATCH($A20&amp;$B20&amp;$C20&amp;$B$2,Data_Input!$D$9:$D$89&amp;Data_Input!$E$9:$E$89&amp;Data_Input!$F$9:$F$89&amp;Data_Input!$H$9:$H$89,0),MATCH(I$4,Data_Input!$C$9:$AF$9,0))),
"",
INDEX(Data_Input!$C$9:$AF$89,MATCH($A20&amp;$B20&amp;$C20&amp;$B$2,Data_Input!$D$9:$D$89&amp;Data_Input!$E$9:$E$89&amp;Data_Input!$F$9:$F$89&amp;Data_Input!$H$9:$H$89,0),MATCH(I$4,Data_Input!$C$9:$AF$9,0)))</f>
        <v/>
      </c>
      <c r="J20" t="str">
        <f t="shared" si="0"/>
        <v>AUD</v>
      </c>
      <c r="K20" s="183" cm="1">
        <f t="array" ref="K20">IF(ISBLANK(INDEX(Data_Input!$C$9:$AF$89,MATCH($A20&amp;$B20&amp;$C20&amp;$B$2,Data_Input!$D$9:$D$89&amp;Data_Input!$E$9:$E$89&amp;Data_Input!$F$9:$F$89&amp;Data_Input!$H$9:$H$89,0),MATCH(K$4,Data_Input!$C$9:$AF$9,0))),
"",
INDEX(Data_Input!$C$9:$AF$89,MATCH($A20&amp;$B20&amp;$C20&amp;$B$2,Data_Input!$D$9:$D$89&amp;Data_Input!$E$9:$E$89&amp;Data_Input!$F$9:$F$89&amp;Data_Input!$H$9:$H$89,0),MATCH(K$4,Data_Input!$C$9:$AF$9,0)))</f>
        <v>46191</v>
      </c>
      <c r="L20">
        <f t="shared" si="4"/>
        <v>2.4640657084188913</v>
      </c>
      <c r="M20" s="186">
        <f t="shared" si="5"/>
        <v>2</v>
      </c>
      <c r="N20" s="183" cm="1">
        <f t="array" ref="N20">IF(ISBLANK(INDEX(Data_Input!$C$9:$AF$89,MATCH($A20&amp;$B20&amp;$C20&amp;$B$2,Data_Input!$D$9:$D$89&amp;Data_Input!$E$9:$E$89&amp;Data_Input!$F$9:$F$89&amp;Data_Input!$H$9:$H$89,0),MATCH(N$4,Data_Input!$C$9:$AF$9,0))),
"",
INDEX(Data_Input!$C$9:$AF$89,MATCH($A20&amp;$B20&amp;$C20&amp;$B$2,Data_Input!$D$9:$D$89&amp;Data_Input!$E$9:$E$89&amp;Data_Input!$F$9:$F$89&amp;Data_Input!$H$9:$H$89,0),MATCH(N$4,Data_Input!$C$9:$AF$9,0)))</f>
        <v>41496</v>
      </c>
      <c r="O20">
        <f t="shared" si="6"/>
        <v>0</v>
      </c>
      <c r="P20" s="183" cm="1">
        <f t="array" ref="P20">IF(ISBLANK(INDEX(Data_Input!$C$9:$AF$89,MATCH($A20&amp;$B20&amp;$C20&amp;$B$2,Data_Input!$D$9:$D$89&amp;Data_Input!$E$9:$E$89&amp;Data_Input!$F$9:$F$89&amp;Data_Input!$H$9:$H$89,0),MATCH(P$4,Data_Input!$C$9:$AF$9,0))),
"",
INDEX(Data_Input!$C$9:$AF$89,MATCH($A20&amp;$B20&amp;$C20&amp;$B$2,Data_Input!$D$9:$D$89&amp;Data_Input!$E$9:$E$89&amp;Data_Input!$F$9:$F$89&amp;Data_Input!$H$9:$H$89,0),MATCH(P$4,Data_Input!$C$9:$AF$9,0)))</f>
        <v>46191</v>
      </c>
      <c r="Q20">
        <f t="shared" si="7"/>
        <v>2.4640657084188913</v>
      </c>
      <c r="R20">
        <f t="shared" si="8"/>
        <v>2.3183215416041114</v>
      </c>
      <c r="S20" s="180">
        <f t="shared" si="9"/>
        <v>74284817.996849746</v>
      </c>
      <c r="T20" t="str" cm="1">
        <f t="array" ref="T20">IF(ISBLANK(INDEX(Data_Input!$C$9:$AF$89,MATCH($A20&amp;$B20&amp;$C20&amp;$B$2,Data_Input!$D$9:$D$89&amp;Data_Input!$E$9:$E$89&amp;Data_Input!$F$9:$F$89&amp;Data_Input!$H$9:$H$89,0),MATCH(T$4,Data_Input!$C$9:$AF$9,0))),
"",
INDEX(Data_Input!$C$9:$AF$89,MATCH($A20&amp;$B20&amp;$C20&amp;$B$2,Data_Input!$D$9:$D$89&amp;Data_Input!$E$9:$E$89&amp;Data_Input!$F$9:$F$89&amp;Data_Input!$H$9:$H$89,0),MATCH(T$4,Data_Input!$C$9:$AF$9,0)))</f>
        <v>M</v>
      </c>
      <c r="U20" t="str" cm="1">
        <f t="array" ref="U20">IF(ISBLANK(INDEX(Data_Input!$C$9:$AF$89,MATCH($A20&amp;$B20&amp;$C20&amp;$B$2,Data_Input!$D$9:$D$89&amp;Data_Input!$E$9:$E$89&amp;Data_Input!$F$9:$F$89&amp;Data_Input!$H$9:$H$89,0),MATCH(U$4,Data_Input!$C$9:$AF$9,0))),
"",
INDEX(Data_Input!$C$9:$AF$89,MATCH($A20&amp;$B20&amp;$C20&amp;$B$2,Data_Input!$D$9:$D$89&amp;Data_Input!$E$9:$E$89&amp;Data_Input!$F$9:$F$89&amp;Data_Input!$H$9:$H$89,0),MATCH(U$4,Data_Input!$C$9:$AF$9,0)))</f>
        <v>N</v>
      </c>
      <c r="V20" s="184" cm="1">
        <f t="array" ref="V20">IF(ISBLANK(INDEX(Data_Input!$C$9:$AF$89,MATCH($A20&amp;$B20&amp;$C20&amp;$B$2,Data_Input!$D$9:$D$89&amp;Data_Input!$E$9:$E$89&amp;Data_Input!$F$9:$F$89&amp;Data_Input!$H$9:$H$89,0),MATCH(V$4,Data_Input!$C$9:$AF$9,0))),
"",
INDEX(Data_Input!$C$9:$AF$89,MATCH($A20&amp;$B20&amp;$C20&amp;$B$2,Data_Input!$D$9:$D$89&amp;Data_Input!$E$9:$E$89&amp;Data_Input!$F$9:$F$89&amp;Data_Input!$H$9:$H$89,0),MATCH(V$4,Data_Input!$C$9:$AF$9,0)))</f>
        <v>10</v>
      </c>
      <c r="W20">
        <f t="shared" si="10"/>
        <v>19</v>
      </c>
      <c r="X20">
        <f t="shared" si="11"/>
        <v>0.41352146256270667</v>
      </c>
      <c r="Y20" s="184" t="str" cm="1">
        <f t="array" ref="Y20">IF(ISBLANK(INDEX(Data_Input!$C$9:$AF$89,MATCH($A20&amp;$B20&amp;$C20&amp;$B$2,Data_Input!$D$9:$D$89&amp;Data_Input!$E$9:$E$89&amp;Data_Input!$F$9:$F$89&amp;Data_Input!$H$9:$H$89,0),MATCH(Y$4,Data_Input!$C$9:$AF$9,0))),
"",
INDEX(Data_Input!$C$9:$AF$89,MATCH($A20&amp;$B20&amp;$C20&amp;$B$2,Data_Input!$D$9:$D$89&amp;Data_Input!$E$9:$E$89&amp;Data_Input!$F$9:$F$89&amp;Data_Input!$H$9:$H$89,0),MATCH(Y$4,Data_Input!$C$9:$AF$9,0)))</f>
        <v>S</v>
      </c>
      <c r="Z20" s="185" t="str" cm="1">
        <f t="array" ref="Z20">IF(ISBLANK(INDEX(Data_Input!$C$9:$AF$89,MATCH($A20&amp;$B20&amp;$C20&amp;$B$2,Data_Input!$D$9:$D$89&amp;Data_Input!$E$9:$E$89&amp;Data_Input!$F$9:$F$89&amp;Data_Input!$H$9:$H$89,0),MATCH(Z$4,Data_Input!$C$9:$AF$9,0))),
"",
INDEX(Data_Input!$C$9:$AF$89,MATCH($A20&amp;$B20&amp;$C20&amp;$B$2,Data_Input!$D$9:$D$89&amp;Data_Input!$E$9:$E$89&amp;Data_Input!$F$9:$F$89&amp;Data_Input!$H$9:$H$89,0),MATCH(Z$4,Data_Input!$C$9:$AF$9,0)))</f>
        <v/>
      </c>
      <c r="AA20" t="str">
        <f t="shared" si="13"/>
        <v/>
      </c>
      <c r="AB20" s="184" t="str" cm="1">
        <f t="array" ref="AB20">IF(ISBLANK(INDEX(Data_Input!$C$9:$AF$89,MATCH($A20&amp;$B20&amp;$C20&amp;$B$2,Data_Input!$D$9:$D$89&amp;Data_Input!$E$9:$E$89&amp;Data_Input!$F$9:$F$89&amp;Data_Input!$H$9:$H$89,0),MATCH(AB$4,Data_Input!$C$9:$AF$9,0))),
"",
INDEX(Data_Input!$C$9:$AF$89,MATCH($A20&amp;$B20&amp;$C20&amp;$B$2,Data_Input!$D$9:$D$89&amp;Data_Input!$E$9:$E$89&amp;Data_Input!$F$9:$F$89&amp;Data_Input!$H$9:$H$89,0),MATCH(AB$4,Data_Input!$C$9:$AF$9,0)))</f>
        <v/>
      </c>
      <c r="AC20" s="184" t="str" cm="1">
        <f t="array" ref="AC20">IF(ISBLANK(INDEX(Data_Input!$C$9:$AF$89,MATCH($A20&amp;$B20&amp;$C20&amp;$B$2,Data_Input!$D$9:$D$89&amp;Data_Input!$E$9:$E$89&amp;Data_Input!$F$9:$F$89&amp;Data_Input!$H$9:$H$89,0),MATCH(AC$4,Data_Input!$C$9:$AF$9,0))),
"",
INDEX(Data_Input!$C$9:$AF$89,MATCH($A20&amp;$B20&amp;$C20&amp;$B$2,Data_Input!$D$9:$D$89&amp;Data_Input!$E$9:$E$89&amp;Data_Input!$F$9:$F$89&amp;Data_Input!$H$9:$H$89,0),MATCH(AC$4,Data_Input!$C$9:$AF$9,0)))</f>
        <v/>
      </c>
      <c r="AD20" s="184" t="str" cm="1">
        <f t="array" ref="AD20">IF(ISBLANK(INDEX(Data_Input!$C$9:$AF$89,MATCH($A20&amp;$B20&amp;$C20&amp;$B$2,Data_Input!$D$9:$D$89&amp;Data_Input!$E$9:$E$89&amp;Data_Input!$F$9:$F$89&amp;Data_Input!$H$9:$H$89,0),MATCH(AD$4,Data_Input!$C$9:$AF$9,0))),
"",
INDEX(Data_Input!$C$9:$AF$89,MATCH($A20&amp;$B20&amp;$C20&amp;$B$2,Data_Input!$D$9:$D$89&amp;Data_Input!$E$9:$E$89&amp;Data_Input!$F$9:$F$89&amp;Data_Input!$H$9:$H$89,0),MATCH(AD$4,Data_Input!$C$9:$AF$9,0)))</f>
        <v/>
      </c>
      <c r="AG20">
        <f t="shared" si="3"/>
        <v>-1</v>
      </c>
      <c r="AH20" s="180">
        <f t="shared" si="12"/>
        <v>-30718366.584261779</v>
      </c>
    </row>
    <row r="29" spans="1:34">
      <c r="A29" s="181" t="s">
        <v>2</v>
      </c>
      <c r="B29" s="181" t="s">
        <v>3</v>
      </c>
      <c r="C29" s="181" t="s">
        <v>52</v>
      </c>
      <c r="D29" s="181" t="s">
        <v>54</v>
      </c>
      <c r="E29" t="s">
        <v>158</v>
      </c>
    </row>
    <row r="30" spans="1:34">
      <c r="A30" t="s">
        <v>22</v>
      </c>
      <c r="B30">
        <v>1101</v>
      </c>
      <c r="C30" t="s">
        <v>74</v>
      </c>
      <c r="D30" s="187">
        <v>1</v>
      </c>
      <c r="E30" s="182">
        <v>6638836.744858847</v>
      </c>
      <c r="F30" s="182"/>
    </row>
    <row r="31" spans="1:34">
      <c r="A31" t="s">
        <v>22</v>
      </c>
      <c r="B31">
        <v>1101</v>
      </c>
      <c r="C31" t="s">
        <v>73</v>
      </c>
      <c r="D31" s="187">
        <v>2</v>
      </c>
      <c r="E31" s="182">
        <v>-73920055.16879873</v>
      </c>
      <c r="F31" s="182"/>
    </row>
    <row r="32" spans="1:34">
      <c r="A32" t="s">
        <v>22</v>
      </c>
      <c r="B32">
        <v>1101</v>
      </c>
      <c r="C32" t="s">
        <v>30</v>
      </c>
      <c r="D32" s="187">
        <v>1</v>
      </c>
      <c r="E32" s="182">
        <v>1900431.0342281247</v>
      </c>
      <c r="F32" s="182"/>
      <c r="G32" s="180"/>
    </row>
    <row r="33" spans="1:10">
      <c r="A33" t="s">
        <v>22</v>
      </c>
      <c r="B33">
        <v>1101</v>
      </c>
      <c r="C33" t="s">
        <v>30</v>
      </c>
      <c r="D33" s="187">
        <v>2</v>
      </c>
      <c r="E33" s="182">
        <v>8083306.7449449981</v>
      </c>
      <c r="F33" s="182"/>
    </row>
    <row r="34" spans="1:10">
      <c r="A34" t="s">
        <v>22</v>
      </c>
      <c r="B34">
        <v>1101</v>
      </c>
      <c r="C34" t="s">
        <v>24</v>
      </c>
      <c r="D34" s="187">
        <v>2</v>
      </c>
      <c r="E34" s="182">
        <v>85353570.467667088</v>
      </c>
      <c r="F34" s="182"/>
    </row>
    <row r="35" spans="1:10">
      <c r="A35" t="s">
        <v>40</v>
      </c>
      <c r="B35">
        <v>1103</v>
      </c>
      <c r="C35" t="s">
        <v>30</v>
      </c>
      <c r="D35" s="187">
        <v>1</v>
      </c>
      <c r="E35" s="182">
        <v>-18819543.062566984</v>
      </c>
      <c r="F35" s="182"/>
    </row>
    <row r="36" spans="1:10">
      <c r="A36" t="s">
        <v>40</v>
      </c>
      <c r="B36">
        <v>1103</v>
      </c>
      <c r="C36" t="s">
        <v>30</v>
      </c>
      <c r="D36" s="187">
        <v>2</v>
      </c>
      <c r="E36" s="182">
        <v>-430832352.13115525</v>
      </c>
      <c r="F36" s="182"/>
    </row>
    <row r="37" spans="1:10">
      <c r="A37" t="s">
        <v>38</v>
      </c>
      <c r="B37">
        <v>1102</v>
      </c>
      <c r="C37" t="s">
        <v>34</v>
      </c>
      <c r="D37" s="187">
        <v>2</v>
      </c>
      <c r="E37" s="182">
        <v>-30718366.584261779</v>
      </c>
      <c r="F37" s="182"/>
    </row>
    <row r="38" spans="1:10">
      <c r="A38" t="s">
        <v>38</v>
      </c>
      <c r="B38">
        <v>1102</v>
      </c>
      <c r="C38" t="s">
        <v>34</v>
      </c>
      <c r="D38" s="187">
        <v>3</v>
      </c>
      <c r="E38" s="182">
        <v>455782918.51003611</v>
      </c>
      <c r="F38" s="182"/>
    </row>
    <row r="39" spans="1:10">
      <c r="A39" t="s">
        <v>38</v>
      </c>
      <c r="B39">
        <v>1102</v>
      </c>
      <c r="C39" t="s">
        <v>24</v>
      </c>
      <c r="D39" s="187">
        <v>1</v>
      </c>
      <c r="E39" s="182">
        <v>16375797.303985156</v>
      </c>
      <c r="F39" s="182"/>
    </row>
    <row r="40" spans="1:10">
      <c r="A40" t="s">
        <v>38</v>
      </c>
      <c r="B40">
        <v>1102</v>
      </c>
      <c r="C40" t="s">
        <v>24</v>
      </c>
      <c r="D40" s="187">
        <v>2</v>
      </c>
      <c r="E40" s="182">
        <v>213331353.13470548</v>
      </c>
      <c r="F40" s="182"/>
    </row>
    <row r="41" spans="1:10">
      <c r="A41" t="s">
        <v>38</v>
      </c>
      <c r="B41">
        <v>1102</v>
      </c>
      <c r="C41" t="s">
        <v>24</v>
      </c>
      <c r="D41" s="187">
        <v>3</v>
      </c>
      <c r="E41" s="182">
        <v>-42629634.358102404</v>
      </c>
      <c r="F41" s="182"/>
    </row>
    <row r="46" spans="1:10">
      <c r="A46" s="181" t="s">
        <v>159</v>
      </c>
      <c r="D46" s="181" t="s">
        <v>54</v>
      </c>
    </row>
    <row r="47" spans="1:10">
      <c r="A47" s="181" t="s">
        <v>2</v>
      </c>
      <c r="B47" s="181" t="s">
        <v>3</v>
      </c>
      <c r="C47" s="181" t="s">
        <v>52</v>
      </c>
      <c r="D47" s="187">
        <v>1</v>
      </c>
      <c r="E47" s="187">
        <v>2</v>
      </c>
      <c r="F47" s="187">
        <v>3</v>
      </c>
      <c r="G47" t="s">
        <v>35</v>
      </c>
      <c r="H47" t="s">
        <v>77</v>
      </c>
      <c r="I47" t="s">
        <v>76</v>
      </c>
    </row>
    <row r="48" spans="1:10">
      <c r="A48" t="s">
        <v>22</v>
      </c>
      <c r="B48">
        <v>1101</v>
      </c>
      <c r="C48" t="s">
        <v>74</v>
      </c>
      <c r="D48" s="182">
        <v>6638836.744858847</v>
      </c>
      <c r="E48" s="182"/>
      <c r="F48" s="182"/>
      <c r="G48" t="str" cm="1">
        <f t="array" ref="G48">INDEX($A$4:$AH$20,MATCH(A48&amp;B48&amp;C48,$A$4:$A$20&amp;$B$4:$B$20&amp;$J$4:$J$20,0),8)</f>
        <v>Basis</v>
      </c>
      <c r="H48" t="e">
        <f>IF(G48="Basis",#REF!*#REF!,#REF!)</f>
        <v>#REF!</v>
      </c>
      <c r="I48" s="180">
        <f>(D48^2+E48^2+F48^2+1.4*D48*E48+1.4*E48*F48+0.6*D48*F48)^0.5</f>
        <v>6638836.744858847</v>
      </c>
      <c r="J48" s="180" t="e">
        <f t="shared" ref="J48:J54" si="14">I48*H48</f>
        <v>#REF!</v>
      </c>
    </row>
    <row r="49" spans="1:10">
      <c r="A49" t="s">
        <v>22</v>
      </c>
      <c r="B49">
        <v>1101</v>
      </c>
      <c r="C49" t="s">
        <v>73</v>
      </c>
      <c r="D49" s="182"/>
      <c r="E49" s="182">
        <v>-73920055.16879873</v>
      </c>
      <c r="F49" s="182"/>
      <c r="G49" t="str" cm="1">
        <f t="array" ref="G49">INDEX($A$4:$AH$20,MATCH(A49&amp;B49&amp;C49,$A$4:$A$20&amp;$B$4:$B$20&amp;$J$4:$J$20,0),8)</f>
        <v>Basis</v>
      </c>
      <c r="H49" t="e">
        <f>IF(G49="Basis",#REF!*#REF!,#REF!)</f>
        <v>#REF!</v>
      </c>
      <c r="I49" s="180">
        <f>(D49^2+E49^2+F49^2+1.4*D49*E49+1.4*E49*F49+0.6*D49*F49)^0.5</f>
        <v>73920055.16879873</v>
      </c>
      <c r="J49" s="180" t="e">
        <f t="shared" si="14"/>
        <v>#REF!</v>
      </c>
    </row>
    <row r="50" spans="1:10">
      <c r="A50" t="s">
        <v>22</v>
      </c>
      <c r="B50">
        <v>1101</v>
      </c>
      <c r="C50" t="s">
        <v>30</v>
      </c>
      <c r="D50" s="182">
        <v>1900431.0342281247</v>
      </c>
      <c r="E50" s="182">
        <v>8083306.7449449981</v>
      </c>
      <c r="F50" s="182"/>
      <c r="G50" t="str" cm="1">
        <f t="array" ref="G50">INDEX($A$4:$AH$20,MATCH(A50&amp;B50&amp;C50,$A$4:$A$20&amp;$B$4:$B$20&amp;$J$4:$J$20,0),8)</f>
        <v/>
      </c>
      <c r="H50" t="e">
        <f>IF(G50="Basis",#REF!*#REF!,#REF!)</f>
        <v>#REF!</v>
      </c>
      <c r="I50" s="180">
        <f t="shared" ref="I50:I54" si="15">(D50^2+E50^2+F50^2+1.4*D50*E50+1.4*E50*F50+0.6*D50*F50)^0.5</f>
        <v>9510938.957059985</v>
      </c>
      <c r="J50" s="180" t="e">
        <f t="shared" si="14"/>
        <v>#REF!</v>
      </c>
    </row>
    <row r="51" spans="1:10">
      <c r="A51" t="s">
        <v>22</v>
      </c>
      <c r="B51">
        <v>1101</v>
      </c>
      <c r="C51" t="s">
        <v>24</v>
      </c>
      <c r="D51" s="182"/>
      <c r="E51" s="182">
        <v>85353570.467667088</v>
      </c>
      <c r="F51" s="182"/>
      <c r="G51" t="str" cm="1">
        <f t="array" ref="G51">INDEX($A$4:$AH$20,MATCH(A51&amp;B51&amp;C51,$A$4:$A$20&amp;$B$4:$B$20&amp;$J$4:$J$20,0),8)</f>
        <v/>
      </c>
      <c r="H51" t="e">
        <f>IF(G51="Basis",#REF!*#REF!,#REF!)</f>
        <v>#REF!</v>
      </c>
      <c r="I51" s="180">
        <f t="shared" si="15"/>
        <v>85353570.467667088</v>
      </c>
      <c r="J51" s="180" t="e">
        <f t="shared" si="14"/>
        <v>#REF!</v>
      </c>
    </row>
    <row r="52" spans="1:10">
      <c r="A52" t="s">
        <v>40</v>
      </c>
      <c r="B52">
        <v>1103</v>
      </c>
      <c r="C52" t="s">
        <v>30</v>
      </c>
      <c r="D52" s="182">
        <v>-18819543.062566984</v>
      </c>
      <c r="E52" s="182">
        <v>-430832352.13115525</v>
      </c>
      <c r="F52" s="182"/>
      <c r="G52" t="str" cm="1">
        <f t="array" ref="G52">INDEX($A$4:$AH$20,MATCH(A52&amp;B52&amp;C52,$A$4:$A$20&amp;$B$4:$B$20&amp;$J$4:$J$20,0),8)</f>
        <v/>
      </c>
      <c r="H52" t="e">
        <f>IF(G52="Basis",#REF!*#REF!,#REF!)</f>
        <v>#REF!</v>
      </c>
      <c r="I52" s="180">
        <f t="shared" si="15"/>
        <v>444209394.37285495</v>
      </c>
      <c r="J52" s="180" t="e">
        <f t="shared" si="14"/>
        <v>#REF!</v>
      </c>
    </row>
    <row r="53" spans="1:10">
      <c r="A53" t="s">
        <v>38</v>
      </c>
      <c r="B53">
        <v>1102</v>
      </c>
      <c r="C53" t="s">
        <v>34</v>
      </c>
      <c r="D53" s="182"/>
      <c r="E53" s="182">
        <v>-30718366.584261779</v>
      </c>
      <c r="F53" s="182">
        <v>455782918.51003611</v>
      </c>
      <c r="G53" t="str" cm="1">
        <f t="array" ref="G53">INDEX($A$4:$AH$20,MATCH(A53&amp;B53&amp;C53,$A$4:$A$20&amp;$B$4:$B$20&amp;$J$4:$J$20,0),8)</f>
        <v/>
      </c>
      <c r="H53" t="e">
        <f>IF(G53="Basis",#REF!*#REF!,#REF!)</f>
        <v>#REF!</v>
      </c>
      <c r="I53" s="180">
        <f t="shared" si="15"/>
        <v>434833781.30964124</v>
      </c>
      <c r="J53" s="180" t="e">
        <f t="shared" si="14"/>
        <v>#REF!</v>
      </c>
    </row>
    <row r="54" spans="1:10">
      <c r="A54" t="s">
        <v>38</v>
      </c>
      <c r="B54">
        <v>1102</v>
      </c>
      <c r="C54" t="s">
        <v>24</v>
      </c>
      <c r="D54" s="182">
        <v>16375797.303985156</v>
      </c>
      <c r="E54" s="182">
        <v>213331353.13470548</v>
      </c>
      <c r="F54" s="182">
        <v>-42629634.358102404</v>
      </c>
      <c r="G54" t="str" cm="1">
        <f t="array" ref="G54">INDEX($A$4:$AH$20,MATCH(A54&amp;B54&amp;C54,$A$4:$A$20&amp;$B$4:$B$20&amp;$J$4:$J$20,0),8)</f>
        <v/>
      </c>
      <c r="H54" t="e">
        <f>IF(G54="Basis",#REF!*#REF!,#REF!)</f>
        <v>#REF!</v>
      </c>
      <c r="I54" s="180">
        <f t="shared" si="15"/>
        <v>198332521.09795383</v>
      </c>
      <c r="J54" s="180" t="e">
        <f t="shared" si="14"/>
        <v>#REF!</v>
      </c>
    </row>
    <row r="60" spans="1:10">
      <c r="A60" s="181" t="s">
        <v>2</v>
      </c>
      <c r="B60" s="181" t="s">
        <v>3</v>
      </c>
      <c r="C60" t="s">
        <v>160</v>
      </c>
    </row>
    <row r="61" spans="1:10">
      <c r="A61" t="s">
        <v>22</v>
      </c>
      <c r="B61">
        <v>1101</v>
      </c>
      <c r="C61" s="188" t="e">
        <f>SUMIFS($J$48:$J$54,$A$48:$A$54,A61,$B$48:$B$54,B61)</f>
        <v>#REF!</v>
      </c>
    </row>
    <row r="62" spans="1:10">
      <c r="A62" t="s">
        <v>40</v>
      </c>
      <c r="B62">
        <v>1103</v>
      </c>
      <c r="C62" s="188" t="e">
        <f>SUMIFS($J$48:$J$54,$A$48:$A$54,A62,$B$48:$B$54,B62)</f>
        <v>#REF!</v>
      </c>
    </row>
    <row r="63" spans="1:10">
      <c r="A63" t="s">
        <v>38</v>
      </c>
      <c r="B63">
        <v>1102</v>
      </c>
      <c r="C63" s="188" t="e">
        <f>SUMIFS($J$48:$J$54,$A$48:$A$54,A63,$B$48:$B$54,B63)</f>
        <v>#REF!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M116"/>
  <sheetViews>
    <sheetView showGridLines="0" topLeftCell="K1" zoomScale="70" zoomScaleNormal="70" workbookViewId="0">
      <selection activeCell="AG44" sqref="AG44"/>
    </sheetView>
  </sheetViews>
  <sheetFormatPr baseColWidth="10" defaultColWidth="9.19921875" defaultRowHeight="14"/>
  <cols>
    <col min="1" max="1" width="10.59765625" style="74" customWidth="1"/>
    <col min="2" max="2" width="2" style="98" customWidth="1"/>
    <col min="3" max="3" width="20.796875" style="98" customWidth="1"/>
    <col min="4" max="4" width="40.19921875" style="98" bestFit="1" customWidth="1"/>
    <col min="5" max="5" width="19" style="98" customWidth="1"/>
    <col min="6" max="6" width="20.59765625" style="98" customWidth="1"/>
    <col min="7" max="7" width="3.796875" style="98" customWidth="1"/>
    <col min="8" max="8" width="25.19921875" style="98" bestFit="1" customWidth="1"/>
    <col min="9" max="9" width="19.796875" style="98" customWidth="1"/>
    <col min="10" max="10" width="25.796875" style="98" bestFit="1" customWidth="1"/>
    <col min="11" max="11" width="34" style="98" customWidth="1"/>
    <col min="12" max="12" width="40.19921875" style="98" bestFit="1" customWidth="1"/>
    <col min="13" max="13" width="14.59765625" style="98" bestFit="1" customWidth="1"/>
    <col min="14" max="14" width="11" style="98" customWidth="1"/>
    <col min="15" max="15" width="22.19921875" style="98" customWidth="1"/>
    <col min="16" max="16" width="24.796875" style="98" bestFit="1" customWidth="1"/>
    <col min="17" max="17" width="9.19921875" style="98" bestFit="1" customWidth="1"/>
    <col min="18" max="18" width="37" style="98" bestFit="1" customWidth="1"/>
    <col min="19" max="19" width="19.19921875" style="98" customWidth="1"/>
    <col min="20" max="20" width="29.19921875" style="98" bestFit="1" customWidth="1"/>
    <col min="21" max="21" width="19.59765625" style="98" bestFit="1" customWidth="1"/>
    <col min="22" max="22" width="24.19921875" style="98" customWidth="1"/>
    <col min="23" max="23" width="24.59765625" style="98" bestFit="1" customWidth="1"/>
    <col min="24" max="24" width="17" style="98" bestFit="1" customWidth="1"/>
    <col min="25" max="25" width="37" style="98" bestFit="1" customWidth="1"/>
    <col min="26" max="27" width="37" style="98" customWidth="1"/>
    <col min="28" max="28" width="19.19921875" style="98" bestFit="1" customWidth="1"/>
    <col min="29" max="29" width="29.19921875" style="98" bestFit="1" customWidth="1"/>
    <col min="30" max="30" width="10.3984375" style="98" bestFit="1" customWidth="1"/>
    <col min="31" max="31" width="21.796875" style="98" bestFit="1" customWidth="1"/>
    <col min="32" max="32" width="17.19921875" style="98" bestFit="1" customWidth="1"/>
    <col min="33" max="33" width="22.19921875" style="98" bestFit="1" customWidth="1"/>
    <col min="34" max="34" width="30.3984375" style="98" bestFit="1" customWidth="1"/>
    <col min="35" max="35" width="15.796875" style="98" customWidth="1"/>
    <col min="36" max="36" width="19.3984375" style="98" bestFit="1" customWidth="1"/>
    <col min="37" max="37" width="32.796875" style="98" bestFit="1" customWidth="1"/>
    <col min="38" max="38" width="20.19921875" style="98" customWidth="1"/>
    <col min="39" max="39" width="3.19921875" style="98" customWidth="1"/>
    <col min="40" max="16384" width="9.19921875" style="98"/>
  </cols>
  <sheetData>
    <row r="1" spans="2:28" s="74" customFormat="1" ht="12.75" customHeight="1">
      <c r="G1" s="191"/>
      <c r="H1" s="191"/>
      <c r="AB1" s="75"/>
    </row>
    <row r="2" spans="2:28" s="74" customFormat="1" ht="12.75" customHeight="1">
      <c r="G2" s="191"/>
      <c r="H2" s="191"/>
      <c r="AB2" s="75"/>
    </row>
    <row r="3" spans="2:28" s="74" customFormat="1" ht="12.75" customHeight="1">
      <c r="AB3" s="75"/>
    </row>
    <row r="4" spans="2:28" s="74" customFormat="1" ht="12.75" customHeight="1">
      <c r="AB4" s="75"/>
    </row>
    <row r="5" spans="2:28" s="74" customFormat="1" ht="12.75" customHeight="1">
      <c r="AB5" s="75"/>
    </row>
    <row r="6" spans="2:28" s="74" customFormat="1" ht="12" customHeight="1">
      <c r="AB6" s="75"/>
    </row>
    <row r="7" spans="2:28" s="74" customFormat="1" ht="19.5" customHeight="1">
      <c r="B7" s="127"/>
      <c r="C7" s="100" t="s">
        <v>0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128"/>
      <c r="AB7" s="75"/>
    </row>
    <row r="8" spans="2:28" s="74" customFormat="1" ht="12.75" customHeight="1" thickBot="1">
      <c r="B8" s="129"/>
      <c r="C8" s="1"/>
      <c r="D8" s="1"/>
      <c r="E8" s="1"/>
      <c r="F8" s="15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89"/>
      <c r="U8" s="189"/>
      <c r="V8" s="189"/>
      <c r="W8" s="189"/>
      <c r="X8" s="1"/>
      <c r="Y8" s="70"/>
      <c r="AB8" s="75"/>
    </row>
    <row r="9" spans="2:28" s="74" customFormat="1" ht="12.75" customHeight="1" thickBot="1">
      <c r="B9" s="129"/>
      <c r="C9" s="157" t="s">
        <v>1</v>
      </c>
      <c r="D9" s="83" t="s">
        <v>2</v>
      </c>
      <c r="E9" s="83" t="s">
        <v>3</v>
      </c>
      <c r="F9" s="83" t="s">
        <v>4</v>
      </c>
      <c r="G9" s="192" t="s">
        <v>5</v>
      </c>
      <c r="H9" s="192"/>
      <c r="I9" s="84" t="s">
        <v>6</v>
      </c>
      <c r="J9" s="84" t="s">
        <v>7</v>
      </c>
      <c r="K9" s="84" t="s">
        <v>8</v>
      </c>
      <c r="L9" s="83" t="s">
        <v>9</v>
      </c>
      <c r="M9" s="84" t="s">
        <v>10</v>
      </c>
      <c r="N9" s="84" t="s">
        <v>11</v>
      </c>
      <c r="O9" s="84" t="s">
        <v>12</v>
      </c>
      <c r="P9" s="84" t="s">
        <v>13</v>
      </c>
      <c r="Q9" s="84" t="s">
        <v>14</v>
      </c>
      <c r="R9" s="84" t="s">
        <v>15</v>
      </c>
      <c r="S9" s="83" t="s">
        <v>16</v>
      </c>
      <c r="T9" s="83" t="s">
        <v>17</v>
      </c>
      <c r="U9" s="83" t="s">
        <v>18</v>
      </c>
      <c r="V9" s="83" t="s">
        <v>19</v>
      </c>
      <c r="W9" s="77" t="s">
        <v>20</v>
      </c>
      <c r="X9" s="132" t="s">
        <v>21</v>
      </c>
      <c r="Y9" s="158"/>
      <c r="AA9" s="75"/>
    </row>
    <row r="10" spans="2:28" s="74" customFormat="1" ht="12.75" customHeight="1">
      <c r="B10" s="129"/>
      <c r="C10" s="155">
        <v>45291</v>
      </c>
      <c r="D10" s="5" t="s">
        <v>22</v>
      </c>
      <c r="E10" s="5">
        <v>1101</v>
      </c>
      <c r="F10" s="5">
        <v>101</v>
      </c>
      <c r="G10" s="190" t="s">
        <v>23</v>
      </c>
      <c r="H10" s="190"/>
      <c r="I10" s="2" t="s">
        <v>24</v>
      </c>
      <c r="J10" s="2"/>
      <c r="K10" s="2"/>
      <c r="L10" s="38">
        <v>46714</v>
      </c>
      <c r="M10" s="7">
        <v>41554</v>
      </c>
      <c r="N10" s="6">
        <v>46714</v>
      </c>
      <c r="O10" s="3">
        <v>100000000</v>
      </c>
      <c r="P10" s="2" t="s">
        <v>25</v>
      </c>
      <c r="Q10" s="2" t="s">
        <v>26</v>
      </c>
      <c r="R10" s="2">
        <v>5</v>
      </c>
      <c r="S10" s="162" t="s">
        <v>27</v>
      </c>
      <c r="T10" s="38">
        <v>46714</v>
      </c>
      <c r="U10" s="5" t="s">
        <v>28</v>
      </c>
      <c r="V10" s="5">
        <v>105</v>
      </c>
      <c r="W10" s="5">
        <v>120</v>
      </c>
      <c r="X10" s="133">
        <v>413836.21</v>
      </c>
      <c r="Y10" s="158"/>
      <c r="AA10" s="75"/>
    </row>
    <row r="11" spans="2:28" s="74" customFormat="1" ht="12.75" customHeight="1">
      <c r="B11" s="129"/>
      <c r="C11" s="155">
        <v>45291</v>
      </c>
      <c r="D11" s="5" t="s">
        <v>22</v>
      </c>
      <c r="E11" s="5">
        <v>1101</v>
      </c>
      <c r="F11" s="5">
        <v>102</v>
      </c>
      <c r="G11" s="190" t="s">
        <v>23</v>
      </c>
      <c r="H11" s="190"/>
      <c r="I11" s="2" t="s">
        <v>24</v>
      </c>
      <c r="J11" s="2"/>
      <c r="K11" s="2"/>
      <c r="L11" s="38">
        <v>46334</v>
      </c>
      <c r="M11" s="7">
        <v>41554</v>
      </c>
      <c r="N11" s="6">
        <v>46334</v>
      </c>
      <c r="O11" s="3">
        <v>20000000</v>
      </c>
      <c r="P11" s="2" t="s">
        <v>25</v>
      </c>
      <c r="Q11" s="2" t="s">
        <v>26</v>
      </c>
      <c r="R11" s="2">
        <v>5</v>
      </c>
      <c r="S11" s="162" t="s">
        <v>27</v>
      </c>
      <c r="T11" s="38">
        <v>46334</v>
      </c>
      <c r="U11" s="5" t="s">
        <v>29</v>
      </c>
      <c r="V11" s="5">
        <v>125</v>
      </c>
      <c r="W11" s="5">
        <v>115</v>
      </c>
      <c r="X11" s="133">
        <v>89840.51</v>
      </c>
      <c r="Y11" s="158"/>
      <c r="AA11" s="75"/>
    </row>
    <row r="12" spans="2:28" s="74" customFormat="1" ht="12.75" customHeight="1">
      <c r="B12" s="129"/>
      <c r="C12" s="155">
        <v>45291</v>
      </c>
      <c r="D12" s="5" t="s">
        <v>22</v>
      </c>
      <c r="E12" s="5">
        <v>1101</v>
      </c>
      <c r="F12" s="5">
        <v>103</v>
      </c>
      <c r="G12" s="190" t="s">
        <v>23</v>
      </c>
      <c r="H12" s="190"/>
      <c r="I12" s="2" t="s">
        <v>30</v>
      </c>
      <c r="J12" s="2"/>
      <c r="K12" s="2"/>
      <c r="L12" s="38">
        <v>46334</v>
      </c>
      <c r="M12" s="7">
        <v>41554</v>
      </c>
      <c r="N12" s="6">
        <v>46334</v>
      </c>
      <c r="O12" s="3">
        <v>31865739.02</v>
      </c>
      <c r="P12" s="2" t="s">
        <v>25</v>
      </c>
      <c r="Q12" s="2" t="s">
        <v>26</v>
      </c>
      <c r="R12" s="2">
        <v>5</v>
      </c>
      <c r="S12" s="162" t="s">
        <v>31</v>
      </c>
      <c r="T12" s="38">
        <v>46334</v>
      </c>
      <c r="U12" s="5" t="s">
        <v>29</v>
      </c>
      <c r="V12" s="5">
        <v>123</v>
      </c>
      <c r="W12" s="5">
        <v>145</v>
      </c>
      <c r="X12" s="133">
        <v>7406680.8300000001</v>
      </c>
      <c r="Y12" s="158"/>
      <c r="AA12" s="75"/>
    </row>
    <row r="13" spans="2:28" s="74" customFormat="1" ht="12.75" customHeight="1">
      <c r="B13" s="129"/>
      <c r="C13" s="155">
        <v>45291</v>
      </c>
      <c r="D13" s="5" t="s">
        <v>22</v>
      </c>
      <c r="E13" s="5">
        <v>1101</v>
      </c>
      <c r="F13" s="5">
        <v>104</v>
      </c>
      <c r="G13" s="190" t="s">
        <v>23</v>
      </c>
      <c r="H13" s="190"/>
      <c r="I13" s="2" t="s">
        <v>30</v>
      </c>
      <c r="J13" s="2"/>
      <c r="K13" s="2"/>
      <c r="L13" s="38">
        <v>45564</v>
      </c>
      <c r="M13" s="7">
        <v>41588</v>
      </c>
      <c r="N13" s="6">
        <v>45564</v>
      </c>
      <c r="O13" s="3">
        <v>31865739.02</v>
      </c>
      <c r="P13" s="2" t="s">
        <v>25</v>
      </c>
      <c r="Q13" s="2" t="s">
        <v>26</v>
      </c>
      <c r="R13" s="2">
        <v>5</v>
      </c>
      <c r="S13" s="162" t="s">
        <v>31</v>
      </c>
      <c r="T13" s="38">
        <v>45564</v>
      </c>
      <c r="U13" s="5" t="s">
        <v>28</v>
      </c>
      <c r="V13" s="5">
        <v>132</v>
      </c>
      <c r="W13" s="5">
        <v>150</v>
      </c>
      <c r="X13" s="133">
        <v>-40774.639999999999</v>
      </c>
      <c r="Y13" s="158"/>
      <c r="AA13" s="75"/>
    </row>
    <row r="14" spans="2:28" s="74" customFormat="1" ht="12.75" customHeight="1">
      <c r="B14" s="129"/>
      <c r="C14" s="155">
        <v>45291</v>
      </c>
      <c r="D14" s="5" t="s">
        <v>22</v>
      </c>
      <c r="E14" s="5">
        <v>1101</v>
      </c>
      <c r="F14" s="5">
        <v>105</v>
      </c>
      <c r="G14" s="190" t="s">
        <v>23</v>
      </c>
      <c r="H14" s="190"/>
      <c r="I14" s="2" t="s">
        <v>30</v>
      </c>
      <c r="J14" s="2"/>
      <c r="K14" s="2"/>
      <c r="L14" s="38">
        <v>45564</v>
      </c>
      <c r="M14" s="7">
        <v>41593</v>
      </c>
      <c r="N14" s="6">
        <v>45564</v>
      </c>
      <c r="O14" s="3">
        <v>10621913.01</v>
      </c>
      <c r="P14" s="2" t="s">
        <v>25</v>
      </c>
      <c r="Q14" s="2" t="s">
        <v>26</v>
      </c>
      <c r="R14" s="2">
        <v>5</v>
      </c>
      <c r="S14" s="162" t="s">
        <v>27</v>
      </c>
      <c r="T14" s="38">
        <v>45564</v>
      </c>
      <c r="U14" s="5" t="s">
        <v>29</v>
      </c>
      <c r="V14" s="5">
        <v>127</v>
      </c>
      <c r="W14" s="5">
        <v>120</v>
      </c>
      <c r="X14" s="133">
        <v>1671083.41</v>
      </c>
      <c r="Y14" s="158"/>
      <c r="AA14" s="75"/>
    </row>
    <row r="15" spans="2:28" s="74" customFormat="1" ht="12.75" customHeight="1">
      <c r="B15" s="129"/>
      <c r="C15" s="155">
        <v>45291</v>
      </c>
      <c r="D15" s="5" t="s">
        <v>22</v>
      </c>
      <c r="E15" s="5">
        <v>1101</v>
      </c>
      <c r="F15" s="5">
        <v>106</v>
      </c>
      <c r="G15" s="190" t="s">
        <v>149</v>
      </c>
      <c r="H15" s="190"/>
      <c r="I15" s="2" t="s">
        <v>30</v>
      </c>
      <c r="J15" s="2"/>
      <c r="K15" s="2"/>
      <c r="L15" s="38">
        <v>45545</v>
      </c>
      <c r="M15" s="7">
        <v>41593</v>
      </c>
      <c r="N15" s="6">
        <v>45545</v>
      </c>
      <c r="O15" s="3">
        <v>52801098.259999998</v>
      </c>
      <c r="P15" s="2" t="s">
        <v>25</v>
      </c>
      <c r="Q15" s="2" t="s">
        <v>26</v>
      </c>
      <c r="R15" s="2">
        <v>5</v>
      </c>
      <c r="S15" s="162" t="s">
        <v>27</v>
      </c>
      <c r="T15" s="38">
        <v>45545</v>
      </c>
      <c r="U15" s="5" t="s">
        <v>28</v>
      </c>
      <c r="V15" s="5">
        <v>135</v>
      </c>
      <c r="W15" s="5">
        <v>154</v>
      </c>
      <c r="X15" s="133">
        <v>-149917.47</v>
      </c>
      <c r="Y15" s="158"/>
      <c r="AA15" s="75"/>
    </row>
    <row r="16" spans="2:28" s="74" customFormat="1" ht="12.75" customHeight="1">
      <c r="B16" s="129"/>
      <c r="C16" s="155">
        <v>45291</v>
      </c>
      <c r="D16" s="5" t="s">
        <v>22</v>
      </c>
      <c r="E16" s="5">
        <v>1101</v>
      </c>
      <c r="F16" s="5">
        <v>107</v>
      </c>
      <c r="G16" s="190" t="s">
        <v>33</v>
      </c>
      <c r="H16" s="190"/>
      <c r="I16" s="2" t="s">
        <v>34</v>
      </c>
      <c r="J16" s="2" t="s">
        <v>35</v>
      </c>
      <c r="K16" s="2" t="s">
        <v>36</v>
      </c>
      <c r="L16" s="38">
        <v>46734</v>
      </c>
      <c r="M16" s="7">
        <v>41491</v>
      </c>
      <c r="N16" s="6">
        <v>46734</v>
      </c>
      <c r="O16" s="3">
        <v>58081208.090000004</v>
      </c>
      <c r="P16" s="2" t="s">
        <v>25</v>
      </c>
      <c r="Q16" s="2" t="s">
        <v>26</v>
      </c>
      <c r="R16" s="2">
        <v>5</v>
      </c>
      <c r="S16" s="162" t="s">
        <v>31</v>
      </c>
      <c r="T16" s="5"/>
      <c r="U16" s="5"/>
      <c r="V16" s="5"/>
      <c r="W16" s="5"/>
      <c r="X16" s="133">
        <v>149515.81</v>
      </c>
      <c r="Y16" s="158"/>
      <c r="AA16" s="75"/>
    </row>
    <row r="17" spans="2:28" s="74" customFormat="1" ht="12.75" customHeight="1">
      <c r="B17" s="129"/>
      <c r="C17" s="155">
        <v>45291</v>
      </c>
      <c r="D17" s="5" t="s">
        <v>22</v>
      </c>
      <c r="E17" s="5">
        <v>1101</v>
      </c>
      <c r="F17" s="5">
        <v>108</v>
      </c>
      <c r="G17" s="190" t="s">
        <v>33</v>
      </c>
      <c r="H17" s="190"/>
      <c r="I17" s="2" t="s">
        <v>34</v>
      </c>
      <c r="J17" s="2" t="s">
        <v>35</v>
      </c>
      <c r="K17" s="2" t="s">
        <v>37</v>
      </c>
      <c r="L17" s="38">
        <v>45656</v>
      </c>
      <c r="M17" s="7">
        <v>41491</v>
      </c>
      <c r="N17" s="6">
        <v>45656</v>
      </c>
      <c r="O17" s="3">
        <v>19225500</v>
      </c>
      <c r="P17" s="2" t="s">
        <v>25</v>
      </c>
      <c r="Q17" s="2" t="s">
        <v>26</v>
      </c>
      <c r="R17" s="2">
        <v>5</v>
      </c>
      <c r="S17" s="162" t="s">
        <v>27</v>
      </c>
      <c r="T17" s="5"/>
      <c r="U17" s="5"/>
      <c r="V17" s="5"/>
      <c r="W17" s="5"/>
      <c r="X17" s="133">
        <v>23975.65</v>
      </c>
      <c r="Y17" s="158"/>
      <c r="AA17" s="75"/>
    </row>
    <row r="18" spans="2:28" s="74" customFormat="1" ht="12.75" customHeight="1">
      <c r="B18" s="129"/>
      <c r="C18" s="155">
        <v>45291</v>
      </c>
      <c r="D18" s="5" t="s">
        <v>38</v>
      </c>
      <c r="E18" s="5">
        <v>1102</v>
      </c>
      <c r="F18" s="5">
        <v>109</v>
      </c>
      <c r="G18" s="190" t="s">
        <v>33</v>
      </c>
      <c r="H18" s="190"/>
      <c r="I18" s="2" t="s">
        <v>24</v>
      </c>
      <c r="J18" s="2"/>
      <c r="K18" s="2"/>
      <c r="L18" s="38">
        <v>45656</v>
      </c>
      <c r="M18" s="7">
        <v>41554</v>
      </c>
      <c r="N18" s="6">
        <v>45656</v>
      </c>
      <c r="O18" s="3">
        <v>47422900</v>
      </c>
      <c r="P18" s="2" t="s">
        <v>25</v>
      </c>
      <c r="Q18" s="2" t="s">
        <v>26</v>
      </c>
      <c r="R18" s="2">
        <v>5</v>
      </c>
      <c r="S18" s="162" t="s">
        <v>27</v>
      </c>
      <c r="T18" s="5"/>
      <c r="U18" s="5"/>
      <c r="V18" s="5"/>
      <c r="W18" s="5"/>
      <c r="X18" s="133">
        <v>1949.32</v>
      </c>
      <c r="Y18" s="158"/>
      <c r="AA18" s="75"/>
    </row>
    <row r="19" spans="2:28" s="74" customFormat="1" ht="12.75" customHeight="1">
      <c r="B19" s="129"/>
      <c r="C19" s="155">
        <v>45291</v>
      </c>
      <c r="D19" s="5" t="s">
        <v>38</v>
      </c>
      <c r="E19" s="5">
        <v>1102</v>
      </c>
      <c r="F19" s="5">
        <v>110</v>
      </c>
      <c r="G19" s="190" t="s">
        <v>33</v>
      </c>
      <c r="H19" s="190"/>
      <c r="I19" s="2" t="s">
        <v>24</v>
      </c>
      <c r="J19" s="2"/>
      <c r="K19" s="2"/>
      <c r="L19" s="38">
        <v>45679</v>
      </c>
      <c r="M19" s="7">
        <v>41640</v>
      </c>
      <c r="N19" s="6">
        <v>45679</v>
      </c>
      <c r="O19" s="3">
        <v>41014400</v>
      </c>
      <c r="P19" s="2" t="s">
        <v>25</v>
      </c>
      <c r="Q19" s="2" t="s">
        <v>26</v>
      </c>
      <c r="R19" s="2">
        <v>5</v>
      </c>
      <c r="S19" s="162" t="s">
        <v>31</v>
      </c>
      <c r="T19" s="5"/>
      <c r="U19" s="5"/>
      <c r="V19" s="5"/>
      <c r="W19" s="5"/>
      <c r="X19" s="133">
        <v>-16568.28</v>
      </c>
      <c r="Y19" s="158"/>
      <c r="AA19" s="75"/>
    </row>
    <row r="20" spans="2:28" s="74" customFormat="1" ht="12.75" customHeight="1">
      <c r="B20" s="129"/>
      <c r="C20" s="155">
        <v>45291</v>
      </c>
      <c r="D20" s="5" t="s">
        <v>38</v>
      </c>
      <c r="E20" s="5">
        <v>1102</v>
      </c>
      <c r="F20" s="5">
        <v>111</v>
      </c>
      <c r="G20" s="190" t="s">
        <v>33</v>
      </c>
      <c r="H20" s="190"/>
      <c r="I20" s="2" t="s">
        <v>24</v>
      </c>
      <c r="J20" s="2"/>
      <c r="K20" s="2"/>
      <c r="L20" s="38">
        <v>47064</v>
      </c>
      <c r="M20" s="7">
        <v>41640</v>
      </c>
      <c r="N20" s="6">
        <v>47064</v>
      </c>
      <c r="O20" s="3">
        <v>128170000</v>
      </c>
      <c r="P20" s="2" t="s">
        <v>25</v>
      </c>
      <c r="Q20" s="2" t="s">
        <v>26</v>
      </c>
      <c r="R20" s="2">
        <v>10</v>
      </c>
      <c r="S20" s="162" t="s">
        <v>27</v>
      </c>
      <c r="T20" s="5"/>
      <c r="U20" s="5"/>
      <c r="V20" s="5"/>
      <c r="W20" s="5"/>
      <c r="X20" s="133">
        <v>58017.1</v>
      </c>
      <c r="Y20" s="158"/>
      <c r="AA20" s="75"/>
    </row>
    <row r="21" spans="2:28" s="74" customFormat="1" ht="12.75" customHeight="1">
      <c r="B21" s="129"/>
      <c r="C21" s="155">
        <v>45291</v>
      </c>
      <c r="D21" s="5" t="s">
        <v>38</v>
      </c>
      <c r="E21" s="5">
        <v>1102</v>
      </c>
      <c r="F21" s="5">
        <v>112</v>
      </c>
      <c r="G21" s="190" t="s">
        <v>33</v>
      </c>
      <c r="H21" s="190"/>
      <c r="I21" s="2" t="s">
        <v>24</v>
      </c>
      <c r="J21" s="2"/>
      <c r="K21" s="2"/>
      <c r="L21" s="38">
        <v>47263</v>
      </c>
      <c r="M21" s="7">
        <v>41640</v>
      </c>
      <c r="N21" s="6">
        <v>47263</v>
      </c>
      <c r="O21" s="3">
        <v>21788900</v>
      </c>
      <c r="P21" s="2" t="s">
        <v>25</v>
      </c>
      <c r="Q21" s="2" t="s">
        <v>26</v>
      </c>
      <c r="R21" s="2">
        <v>10</v>
      </c>
      <c r="S21" s="162" t="s">
        <v>31</v>
      </c>
      <c r="T21" s="5"/>
      <c r="U21" s="5"/>
      <c r="V21" s="5"/>
      <c r="W21" s="5"/>
      <c r="X21" s="133">
        <v>11605.1</v>
      </c>
      <c r="Y21" s="158"/>
      <c r="AA21" s="75"/>
    </row>
    <row r="22" spans="2:28" s="74" customFormat="1" ht="12.75" customHeight="1">
      <c r="B22" s="129"/>
      <c r="C22" s="155">
        <v>45291</v>
      </c>
      <c r="D22" s="5" t="s">
        <v>38</v>
      </c>
      <c r="E22" s="5">
        <v>1102</v>
      </c>
      <c r="F22" s="5">
        <v>113</v>
      </c>
      <c r="G22" s="190" t="s">
        <v>39</v>
      </c>
      <c r="H22" s="190"/>
      <c r="I22" s="2" t="s">
        <v>34</v>
      </c>
      <c r="J22" s="2"/>
      <c r="K22" s="2"/>
      <c r="L22" s="38">
        <v>47260</v>
      </c>
      <c r="M22" s="7">
        <v>41496</v>
      </c>
      <c r="N22" s="6">
        <v>47260</v>
      </c>
      <c r="O22" s="3">
        <v>233269400</v>
      </c>
      <c r="P22" s="2" t="s">
        <v>25</v>
      </c>
      <c r="Q22" s="2" t="s">
        <v>26</v>
      </c>
      <c r="R22" s="2">
        <v>10</v>
      </c>
      <c r="S22" s="162" t="s">
        <v>27</v>
      </c>
      <c r="T22" s="5"/>
      <c r="U22" s="5"/>
      <c r="V22" s="5"/>
      <c r="W22" s="5"/>
      <c r="X22" s="133">
        <v>41757.839999999997</v>
      </c>
      <c r="Y22" s="158"/>
      <c r="AA22" s="75"/>
    </row>
    <row r="23" spans="2:28" s="74" customFormat="1" ht="12.75" customHeight="1">
      <c r="B23" s="129"/>
      <c r="C23" s="155">
        <v>45291</v>
      </c>
      <c r="D23" s="5" t="s">
        <v>38</v>
      </c>
      <c r="E23" s="5">
        <v>1102</v>
      </c>
      <c r="F23" s="5">
        <v>114</v>
      </c>
      <c r="G23" s="190" t="s">
        <v>39</v>
      </c>
      <c r="H23" s="190"/>
      <c r="I23" s="2" t="s">
        <v>34</v>
      </c>
      <c r="J23" s="2"/>
      <c r="K23" s="2"/>
      <c r="L23" s="38">
        <v>46191</v>
      </c>
      <c r="M23" s="7">
        <v>41496</v>
      </c>
      <c r="N23" s="6">
        <v>46191</v>
      </c>
      <c r="O23" s="3">
        <v>32042500</v>
      </c>
      <c r="P23" s="2" t="s">
        <v>25</v>
      </c>
      <c r="Q23" s="2" t="s">
        <v>26</v>
      </c>
      <c r="R23" s="2">
        <v>10</v>
      </c>
      <c r="S23" s="162" t="s">
        <v>31</v>
      </c>
      <c r="T23" s="5"/>
      <c r="U23" s="5"/>
      <c r="V23" s="5"/>
      <c r="W23" s="5"/>
      <c r="X23" s="133">
        <v>-16095.05</v>
      </c>
      <c r="Y23" s="158"/>
      <c r="AA23" s="75"/>
    </row>
    <row r="24" spans="2:28" s="74" customFormat="1" ht="12.75" customHeight="1">
      <c r="B24" s="129"/>
      <c r="C24" s="155">
        <v>45291</v>
      </c>
      <c r="D24" s="5" t="s">
        <v>40</v>
      </c>
      <c r="E24" s="5">
        <v>1103</v>
      </c>
      <c r="F24" s="5">
        <v>115</v>
      </c>
      <c r="G24" s="190" t="s">
        <v>39</v>
      </c>
      <c r="H24" s="190"/>
      <c r="I24" s="2" t="s">
        <v>30</v>
      </c>
      <c r="J24" s="2"/>
      <c r="K24" s="2"/>
      <c r="L24" s="38">
        <v>45432</v>
      </c>
      <c r="M24" s="7">
        <v>41496</v>
      </c>
      <c r="N24" s="6">
        <v>45432</v>
      </c>
      <c r="O24" s="3">
        <v>79465400</v>
      </c>
      <c r="P24" s="2" t="s">
        <v>41</v>
      </c>
      <c r="Q24" s="2" t="s">
        <v>26</v>
      </c>
      <c r="R24" s="2" t="s">
        <v>42</v>
      </c>
      <c r="S24" s="162" t="s">
        <v>31</v>
      </c>
      <c r="T24" s="5"/>
      <c r="U24" s="5"/>
      <c r="V24" s="5"/>
      <c r="W24" s="5"/>
      <c r="X24" s="133">
        <v>-40581.589999999997</v>
      </c>
      <c r="Y24" s="158"/>
      <c r="AA24" s="75"/>
    </row>
    <row r="25" spans="2:28" s="74" customFormat="1" ht="12.75" customHeight="1" thickBot="1">
      <c r="B25" s="129"/>
      <c r="C25" s="156">
        <v>45291</v>
      </c>
      <c r="D25" s="10" t="s">
        <v>40</v>
      </c>
      <c r="E25" s="10">
        <v>1103</v>
      </c>
      <c r="F25" s="10">
        <v>116</v>
      </c>
      <c r="G25" s="196" t="s">
        <v>39</v>
      </c>
      <c r="H25" s="196"/>
      <c r="I25" s="11" t="s">
        <v>30</v>
      </c>
      <c r="J25" s="11"/>
      <c r="K25" s="11"/>
      <c r="L25" s="33">
        <v>46061</v>
      </c>
      <c r="M25" s="13">
        <v>41496</v>
      </c>
      <c r="N25" s="12">
        <v>46061</v>
      </c>
      <c r="O25" s="14">
        <v>215325600</v>
      </c>
      <c r="P25" s="11" t="s">
        <v>41</v>
      </c>
      <c r="Q25" s="11" t="s">
        <v>26</v>
      </c>
      <c r="R25" s="11" t="s">
        <v>42</v>
      </c>
      <c r="S25" s="161" t="s">
        <v>31</v>
      </c>
      <c r="T25" s="10"/>
      <c r="U25" s="10"/>
      <c r="V25" s="10"/>
      <c r="W25" s="10"/>
      <c r="X25" s="134">
        <v>-110173.33</v>
      </c>
      <c r="Y25" s="158"/>
      <c r="AA25" s="75"/>
    </row>
    <row r="26" spans="2:28" s="74" customFormat="1" ht="12.75" customHeight="1">
      <c r="B26" s="130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131"/>
      <c r="AB26" s="75"/>
    </row>
    <row r="27" spans="2:28" s="74" customFormat="1" ht="12.75" customHeight="1">
      <c r="AB27" s="75"/>
    </row>
    <row r="28" spans="2:28" s="74" customFormat="1" ht="12.75" customHeight="1">
      <c r="AB28" s="75"/>
    </row>
    <row r="29" spans="2:28" s="74" customFormat="1" ht="12.75" customHeight="1">
      <c r="AB29" s="75"/>
    </row>
    <row r="30" spans="2:28" s="74" customFormat="1" ht="12.75" customHeight="1">
      <c r="AB30" s="75"/>
    </row>
    <row r="31" spans="2:28" s="74" customFormat="1" ht="12.75" customHeight="1">
      <c r="AB31" s="75"/>
    </row>
    <row r="32" spans="2:28" s="74" customFormat="1" ht="12.75" customHeight="1">
      <c r="AB32" s="75"/>
    </row>
    <row r="33" spans="2:39" s="74" customFormat="1" ht="12.75" customHeight="1">
      <c r="AB33" s="75"/>
    </row>
    <row r="34" spans="2:39" s="74" customFormat="1" ht="12.75" customHeight="1">
      <c r="AB34" s="75"/>
    </row>
    <row r="35" spans="2:39" s="74" customFormat="1" ht="12.75" customHeight="1">
      <c r="AB35" s="75"/>
    </row>
    <row r="36" spans="2:39" s="74" customFormat="1" ht="12.75" customHeight="1">
      <c r="AB36" s="75"/>
    </row>
    <row r="37" spans="2:39" s="74" customFormat="1" ht="12.75" customHeight="1">
      <c r="G37" s="197"/>
      <c r="H37" s="197"/>
      <c r="AB37" s="75"/>
    </row>
    <row r="38" spans="2:39" s="74" customFormat="1" ht="16">
      <c r="B38" s="63"/>
      <c r="C38" s="100" t="s">
        <v>43</v>
      </c>
      <c r="D38" s="62"/>
      <c r="E38" s="62"/>
      <c r="F38" s="62"/>
      <c r="G38" s="198"/>
      <c r="H38" s="198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4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5"/>
    </row>
    <row r="39" spans="2:39" s="74" customFormat="1" ht="12.75" customHeight="1">
      <c r="B39" s="66"/>
      <c r="C39" s="71"/>
      <c r="D39" s="71"/>
      <c r="E39" s="71"/>
      <c r="F39" s="71"/>
      <c r="G39" s="199"/>
      <c r="H39" s="199"/>
      <c r="I39" s="71"/>
      <c r="J39" s="71"/>
      <c r="K39" s="71"/>
      <c r="L39" s="71"/>
      <c r="M39" s="71"/>
      <c r="N39" s="71"/>
      <c r="O39" s="71"/>
      <c r="P39" s="193" t="s">
        <v>44</v>
      </c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5"/>
      <c r="AL39"/>
      <c r="AM39" s="60"/>
    </row>
    <row r="40" spans="2:39" s="74" customFormat="1" ht="12.75" customHeight="1">
      <c r="B40" s="66"/>
      <c r="C40" s="71"/>
      <c r="D40" s="71"/>
      <c r="E40" s="71"/>
      <c r="F40" s="71"/>
      <c r="G40" s="202"/>
      <c r="H40" s="202"/>
      <c r="I40" s="71"/>
      <c r="J40" s="71"/>
      <c r="K40" s="71"/>
      <c r="L40" s="71"/>
      <c r="M40" s="71"/>
      <c r="N40" s="71"/>
      <c r="O40" s="71"/>
      <c r="P40" s="193" t="s">
        <v>45</v>
      </c>
      <c r="Q40" s="194"/>
      <c r="R40" s="194"/>
      <c r="S40" s="194"/>
      <c r="T40" s="194"/>
      <c r="U40" s="194"/>
      <c r="V40" s="195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2"/>
      <c r="AL40"/>
      <c r="AM40" s="60"/>
    </row>
    <row r="41" spans="2:39" s="74" customFormat="1" ht="13.5" customHeight="1" thickBot="1">
      <c r="B41" s="66"/>
      <c r="C41" s="203" t="s">
        <v>46</v>
      </c>
      <c r="D41" s="204"/>
      <c r="E41" s="204"/>
      <c r="F41" s="204"/>
      <c r="G41" s="204"/>
      <c r="H41" s="205"/>
      <c r="I41" s="206" t="s">
        <v>47</v>
      </c>
      <c r="J41" s="206"/>
      <c r="K41" s="206"/>
      <c r="L41" s="206"/>
      <c r="M41" s="206" t="s">
        <v>48</v>
      </c>
      <c r="N41" s="206"/>
      <c r="O41" s="206"/>
      <c r="P41" s="206" t="s">
        <v>49</v>
      </c>
      <c r="Q41" s="206"/>
      <c r="R41" s="206"/>
      <c r="S41" s="206"/>
      <c r="T41" s="206"/>
      <c r="U41" s="71"/>
      <c r="V41" s="72"/>
      <c r="W41" s="206" t="s">
        <v>50</v>
      </c>
      <c r="X41" s="206"/>
      <c r="Y41" s="206"/>
      <c r="Z41" s="206"/>
      <c r="AA41" s="206"/>
      <c r="AB41" s="206" t="s">
        <v>51</v>
      </c>
      <c r="AC41" s="206"/>
      <c r="AD41" s="206"/>
      <c r="AE41" s="206"/>
      <c r="AF41" s="206"/>
      <c r="AG41" s="206"/>
      <c r="AH41" s="206"/>
      <c r="AI41" s="206"/>
      <c r="AJ41" s="206"/>
      <c r="AK41" s="73"/>
      <c r="AL41"/>
      <c r="AM41" s="60"/>
    </row>
    <row r="42" spans="2:39" s="74" customFormat="1" ht="15" thickBot="1">
      <c r="B42" s="66"/>
      <c r="C42" s="85" t="s">
        <v>1</v>
      </c>
      <c r="D42" s="77" t="s">
        <v>2</v>
      </c>
      <c r="E42" s="77" t="s">
        <v>3</v>
      </c>
      <c r="F42" s="78" t="s">
        <v>4</v>
      </c>
      <c r="G42" s="207" t="s">
        <v>5</v>
      </c>
      <c r="H42" s="208"/>
      <c r="I42" s="79" t="s">
        <v>6</v>
      </c>
      <c r="J42" s="78" t="s">
        <v>7</v>
      </c>
      <c r="K42" s="78" t="s">
        <v>8</v>
      </c>
      <c r="L42" s="81" t="s">
        <v>52</v>
      </c>
      <c r="M42" s="79" t="s">
        <v>9</v>
      </c>
      <c r="N42" s="82" t="s">
        <v>53</v>
      </c>
      <c r="O42" s="81" t="s">
        <v>54</v>
      </c>
      <c r="P42" s="139" t="s">
        <v>10</v>
      </c>
      <c r="Q42" s="140" t="s">
        <v>55</v>
      </c>
      <c r="R42" s="77" t="s">
        <v>11</v>
      </c>
      <c r="S42" s="140" t="s">
        <v>56</v>
      </c>
      <c r="T42" s="147" t="s">
        <v>57</v>
      </c>
      <c r="U42" s="78" t="s">
        <v>12</v>
      </c>
      <c r="V42" s="82" t="s">
        <v>58</v>
      </c>
      <c r="W42" s="79" t="s">
        <v>13</v>
      </c>
      <c r="X42" s="77" t="s">
        <v>14</v>
      </c>
      <c r="Y42" s="78" t="s">
        <v>15</v>
      </c>
      <c r="Z42" s="140" t="s">
        <v>59</v>
      </c>
      <c r="AA42" s="147" t="s">
        <v>60</v>
      </c>
      <c r="AB42" s="79" t="s">
        <v>16</v>
      </c>
      <c r="AC42" s="77" t="s">
        <v>61</v>
      </c>
      <c r="AD42" s="82" t="s">
        <v>62</v>
      </c>
      <c r="AE42" s="77" t="s">
        <v>18</v>
      </c>
      <c r="AF42" s="77" t="s">
        <v>19</v>
      </c>
      <c r="AG42" s="77" t="s">
        <v>20</v>
      </c>
      <c r="AH42" s="140" t="s">
        <v>63</v>
      </c>
      <c r="AI42" s="82" t="s">
        <v>64</v>
      </c>
      <c r="AJ42" s="81" t="s">
        <v>65</v>
      </c>
      <c r="AK42" s="82" t="s">
        <v>66</v>
      </c>
      <c r="AL42" s="80" t="s">
        <v>21</v>
      </c>
      <c r="AM42" s="60"/>
    </row>
    <row r="43" spans="2:39" s="74" customFormat="1" ht="14.25" customHeight="1">
      <c r="B43" s="66"/>
      <c r="C43" s="154">
        <v>45291</v>
      </c>
      <c r="D43" s="16" t="s">
        <v>22</v>
      </c>
      <c r="E43" s="16">
        <v>1101</v>
      </c>
      <c r="F43" s="16">
        <v>101</v>
      </c>
      <c r="G43" s="209" t="s">
        <v>67</v>
      </c>
      <c r="H43" s="210"/>
      <c r="I43" s="27" t="s">
        <v>24</v>
      </c>
      <c r="J43" s="17"/>
      <c r="K43" s="17"/>
      <c r="L43" s="25" t="str">
        <f>I43&amp;IF(J43="Volatility"," [Volatility]",IF(J43="Basis"," ["&amp;K43&amp;"]",""))</f>
        <v>USD</v>
      </c>
      <c r="M43" s="30">
        <v>46714</v>
      </c>
      <c r="N43" s="22">
        <f>YEARFRAC(C43,M43,1)</f>
        <v>3.8964950711938666</v>
      </c>
      <c r="O43" s="36">
        <f>IF(N43&lt;1,1,IF(N43&gt;5,3,2))</f>
        <v>2</v>
      </c>
      <c r="P43" s="141">
        <v>41554</v>
      </c>
      <c r="Q43" s="142">
        <f>IF(P43&gt;=C43,YEARFRAC(C43,P43,1),0)</f>
        <v>0</v>
      </c>
      <c r="R43" s="37">
        <v>46714</v>
      </c>
      <c r="S43" s="148">
        <f t="shared" ref="S43:S58" si="0">YEARFRAC(C43,R43,1)</f>
        <v>3.8964950711938666</v>
      </c>
      <c r="T43" s="149">
        <f>MAX((EXP(-0.05*Q43)-EXP(-0.05*S43))/0.05,10/250)</f>
        <v>3.5404226092658231</v>
      </c>
      <c r="U43" s="18">
        <v>100000000</v>
      </c>
      <c r="V43" s="57">
        <f>U43*T43</f>
        <v>354042260.92658234</v>
      </c>
      <c r="W43" s="47" t="s">
        <v>25</v>
      </c>
      <c r="X43" s="16" t="s">
        <v>26</v>
      </c>
      <c r="Y43" s="16">
        <v>5</v>
      </c>
      <c r="Z43" s="48">
        <f>IF(W43="M",IF(X43="n",10,5)+Y43-1,"NA")</f>
        <v>14</v>
      </c>
      <c r="AA43" s="45">
        <f>IF(W43="M",(3/2)*SQRT(Z43/250),SQRT(MIN(MAX(N43,(10/250)),1)))</f>
        <v>0.354964786985977</v>
      </c>
      <c r="AB43" s="51" t="s">
        <v>27</v>
      </c>
      <c r="AC43" s="37">
        <v>46714</v>
      </c>
      <c r="AD43" s="49">
        <f t="shared" ref="AD43:AD48" si="1">YEARFRAC(C43,AC43,1)</f>
        <v>3.8964950711938666</v>
      </c>
      <c r="AE43" s="16" t="s">
        <v>28</v>
      </c>
      <c r="AF43" s="16">
        <v>105</v>
      </c>
      <c r="AG43" s="16">
        <v>120</v>
      </c>
      <c r="AH43" s="48">
        <v>0.5</v>
      </c>
      <c r="AI43" s="20">
        <f t="shared" ref="AI43:AI48" si="2">IF(AE43="C",1,-1)*IF(AB43="B",1,-1)*_xlfn.NORM.DIST(IF(AE43="C",1,-1)*((LN(AG43/AF43)+0.5*(AH43^2)*AD43)/(AH43*SQRT(AD43))),0,1,TRUE)</f>
        <v>0.73525405754567008</v>
      </c>
      <c r="AJ43" s="25">
        <f t="shared" ref="AJ43:AJ58" si="3">IF(AI43="",IF(AB43="B",1,-1),AI43)</f>
        <v>0.73525405754567008</v>
      </c>
      <c r="AK43" s="57">
        <f>V43*AJ43*AA43</f>
        <v>92401241.820357591</v>
      </c>
      <c r="AL43" s="19">
        <v>413836.21</v>
      </c>
      <c r="AM43" s="60"/>
    </row>
    <row r="44" spans="2:39" s="74" customFormat="1" ht="14.25" customHeight="1">
      <c r="B44" s="66"/>
      <c r="C44" s="155">
        <v>45291</v>
      </c>
      <c r="D44" s="5" t="s">
        <v>22</v>
      </c>
      <c r="E44" s="5">
        <v>1101</v>
      </c>
      <c r="F44" s="5">
        <v>102</v>
      </c>
      <c r="G44" s="200" t="s">
        <v>67</v>
      </c>
      <c r="H44" s="201"/>
      <c r="I44" s="31" t="s">
        <v>24</v>
      </c>
      <c r="J44" s="2"/>
      <c r="K44" s="2"/>
      <c r="L44" s="34" t="str">
        <f t="shared" ref="L44:L58" si="4">I44&amp;IF(J44="Volatility"," [Volatility]",IF(J44="Basis"," ["&amp;K44&amp;"]",""))</f>
        <v>USD</v>
      </c>
      <c r="M44" s="26">
        <v>46334</v>
      </c>
      <c r="N44" s="23">
        <f t="shared" ref="N44:N58" si="5">YEARFRAC(C44,M44,1)</f>
        <v>2.8555783709787819</v>
      </c>
      <c r="O44" s="39">
        <f t="shared" ref="O44:O58" si="6">IF(N44&lt;1,1,IF(N44&gt;5,3,2))</f>
        <v>2</v>
      </c>
      <c r="P44" s="143">
        <v>41554</v>
      </c>
      <c r="Q44" s="144">
        <f t="shared" ref="Q44:Q58" si="7">IF(P44&gt;=C44,YEARFRAC(C44,P44,1),0)</f>
        <v>0</v>
      </c>
      <c r="R44" s="38">
        <v>46334</v>
      </c>
      <c r="S44" s="150">
        <f t="shared" si="0"/>
        <v>2.8555783709787819</v>
      </c>
      <c r="T44" s="151">
        <f t="shared" ref="T44:T58" si="8">MAX((EXP(-0.05*Q44)-EXP(-0.05*S44))/0.05,10/250)</f>
        <v>2.6610857334702565</v>
      </c>
      <c r="U44" s="3">
        <v>20000000</v>
      </c>
      <c r="V44" s="58">
        <f t="shared" ref="V44:V58" si="9">U44*T44</f>
        <v>53221714.669405133</v>
      </c>
      <c r="W44" s="46" t="s">
        <v>25</v>
      </c>
      <c r="X44" s="5" t="s">
        <v>26</v>
      </c>
      <c r="Y44" s="5">
        <v>5</v>
      </c>
      <c r="Z44" s="42">
        <f t="shared" ref="Z44:Z58" si="10">IF(W44="M",IF(X44="n",10,5)+Y44-1,"NA")</f>
        <v>14</v>
      </c>
      <c r="AA44" s="43">
        <f>IF(W44="M",(3/2)*SQRT(Z44/250),SQRT(MIN(MAX(N44,(10/250)),1)))</f>
        <v>0.354964786985977</v>
      </c>
      <c r="AB44" s="52" t="s">
        <v>27</v>
      </c>
      <c r="AC44" s="38">
        <v>46334</v>
      </c>
      <c r="AD44" s="50">
        <f t="shared" si="1"/>
        <v>2.8555783709787819</v>
      </c>
      <c r="AE44" s="5" t="s">
        <v>29</v>
      </c>
      <c r="AF44" s="5">
        <v>125</v>
      </c>
      <c r="AG44" s="5">
        <v>115</v>
      </c>
      <c r="AH44" s="42">
        <v>0.5</v>
      </c>
      <c r="AI44" s="21">
        <f t="shared" si="2"/>
        <v>-0.37305383505295286</v>
      </c>
      <c r="AJ44" s="34">
        <f t="shared" si="3"/>
        <v>-0.37305383505295286</v>
      </c>
      <c r="AK44" s="58">
        <f t="shared" ref="AK44:AK58" si="11">V44*AJ44*AA44</f>
        <v>-7047671.3526905235</v>
      </c>
      <c r="AL44" s="8">
        <v>89840.51</v>
      </c>
      <c r="AM44" s="60"/>
    </row>
    <row r="45" spans="2:39" s="74" customFormat="1" ht="14.25" customHeight="1">
      <c r="B45" s="66"/>
      <c r="C45" s="155">
        <v>45291</v>
      </c>
      <c r="D45" s="5" t="s">
        <v>22</v>
      </c>
      <c r="E45" s="5">
        <v>1101</v>
      </c>
      <c r="F45" s="5">
        <v>103</v>
      </c>
      <c r="G45" s="200" t="s">
        <v>67</v>
      </c>
      <c r="H45" s="201"/>
      <c r="I45" s="31" t="s">
        <v>30</v>
      </c>
      <c r="J45" s="2"/>
      <c r="K45" s="2"/>
      <c r="L45" s="34" t="str">
        <f t="shared" si="4"/>
        <v>JPY</v>
      </c>
      <c r="M45" s="26">
        <v>46334</v>
      </c>
      <c r="N45" s="23">
        <f t="shared" si="5"/>
        <v>2.8555783709787819</v>
      </c>
      <c r="O45" s="39">
        <f t="shared" si="6"/>
        <v>2</v>
      </c>
      <c r="P45" s="143">
        <v>41554</v>
      </c>
      <c r="Q45" s="144">
        <f t="shared" si="7"/>
        <v>0</v>
      </c>
      <c r="R45" s="38">
        <v>46334</v>
      </c>
      <c r="S45" s="150">
        <f t="shared" si="0"/>
        <v>2.8555783709787819</v>
      </c>
      <c r="T45" s="151">
        <f t="shared" si="8"/>
        <v>2.6610857334702565</v>
      </c>
      <c r="U45" s="3">
        <v>31865739.02</v>
      </c>
      <c r="V45" s="58">
        <f t="shared" si="9"/>
        <v>84797463.492608473</v>
      </c>
      <c r="W45" s="46" t="s">
        <v>25</v>
      </c>
      <c r="X45" s="5" t="s">
        <v>26</v>
      </c>
      <c r="Y45" s="5">
        <v>5</v>
      </c>
      <c r="Z45" s="42">
        <f t="shared" si="10"/>
        <v>14</v>
      </c>
      <c r="AA45" s="43">
        <f t="shared" ref="AA45:AA58" si="12">IF(W45="M",(3/2)*SQRT(Z45/250),SQRT(MIN(MAX(N45,(10/250)),1)))</f>
        <v>0.354964786985977</v>
      </c>
      <c r="AB45" s="52" t="s">
        <v>31</v>
      </c>
      <c r="AC45" s="38">
        <v>46334</v>
      </c>
      <c r="AD45" s="50">
        <f t="shared" si="1"/>
        <v>2.8555783709787819</v>
      </c>
      <c r="AE45" s="5" t="s">
        <v>29</v>
      </c>
      <c r="AF45" s="5">
        <v>123</v>
      </c>
      <c r="AG45" s="5">
        <v>145</v>
      </c>
      <c r="AH45" s="42">
        <v>0.5</v>
      </c>
      <c r="AI45" s="21">
        <f t="shared" si="2"/>
        <v>0.26854738362787123</v>
      </c>
      <c r="AJ45" s="34">
        <f t="shared" si="3"/>
        <v>0.26854738362787123</v>
      </c>
      <c r="AK45" s="58">
        <f t="shared" si="11"/>
        <v>8083306.7449449971</v>
      </c>
      <c r="AL45" s="8">
        <v>7406680.8300000001</v>
      </c>
      <c r="AM45" s="60"/>
    </row>
    <row r="46" spans="2:39" s="74" customFormat="1" ht="14.25" customHeight="1">
      <c r="B46" s="66"/>
      <c r="C46" s="155">
        <v>45291</v>
      </c>
      <c r="D46" s="5" t="s">
        <v>22</v>
      </c>
      <c r="E46" s="5">
        <v>1101</v>
      </c>
      <c r="F46" s="5">
        <v>104</v>
      </c>
      <c r="G46" s="200" t="s">
        <v>67</v>
      </c>
      <c r="H46" s="201"/>
      <c r="I46" s="31" t="s">
        <v>30</v>
      </c>
      <c r="J46" s="2"/>
      <c r="K46" s="2"/>
      <c r="L46" s="34" t="str">
        <f t="shared" si="4"/>
        <v>JPY</v>
      </c>
      <c r="M46" s="26">
        <v>45564</v>
      </c>
      <c r="N46" s="23">
        <f t="shared" si="5"/>
        <v>0.74590163934426235</v>
      </c>
      <c r="O46" s="39">
        <f t="shared" si="6"/>
        <v>1</v>
      </c>
      <c r="P46" s="143">
        <v>41588</v>
      </c>
      <c r="Q46" s="144">
        <f t="shared" si="7"/>
        <v>0</v>
      </c>
      <c r="R46" s="38">
        <v>45564</v>
      </c>
      <c r="S46" s="150">
        <f t="shared" si="0"/>
        <v>0.74590163934426235</v>
      </c>
      <c r="T46" s="151">
        <f t="shared" si="8"/>
        <v>0.73216372299170107</v>
      </c>
      <c r="U46" s="3">
        <v>31865739.02</v>
      </c>
      <c r="V46" s="58">
        <f t="shared" si="9"/>
        <v>23330938.116765119</v>
      </c>
      <c r="W46" s="46" t="s">
        <v>25</v>
      </c>
      <c r="X46" s="5" t="s">
        <v>26</v>
      </c>
      <c r="Y46" s="5">
        <v>5</v>
      </c>
      <c r="Z46" s="42">
        <f t="shared" si="10"/>
        <v>14</v>
      </c>
      <c r="AA46" s="43">
        <f t="shared" si="12"/>
        <v>0.354964786985977</v>
      </c>
      <c r="AB46" s="52" t="s">
        <v>31</v>
      </c>
      <c r="AC46" s="38">
        <v>45564</v>
      </c>
      <c r="AD46" s="50">
        <f t="shared" si="1"/>
        <v>0.74590163934426235</v>
      </c>
      <c r="AE46" s="5" t="s">
        <v>28</v>
      </c>
      <c r="AF46" s="5">
        <v>132</v>
      </c>
      <c r="AG46" s="5">
        <v>150</v>
      </c>
      <c r="AH46" s="42">
        <v>0.5</v>
      </c>
      <c r="AI46" s="21">
        <f t="shared" si="2"/>
        <v>-0.69565435547969345</v>
      </c>
      <c r="AJ46" s="34">
        <f t="shared" si="3"/>
        <v>-0.69565435547969345</v>
      </c>
      <c r="AK46" s="58">
        <f t="shared" si="11"/>
        <v>-5761173.8783359956</v>
      </c>
      <c r="AL46" s="8">
        <v>-40774.639999999999</v>
      </c>
      <c r="AM46" s="60"/>
    </row>
    <row r="47" spans="2:39" s="74" customFormat="1" ht="14.25" customHeight="1">
      <c r="B47" s="66"/>
      <c r="C47" s="155">
        <v>45291</v>
      </c>
      <c r="D47" s="5" t="s">
        <v>22</v>
      </c>
      <c r="E47" s="5">
        <v>1101</v>
      </c>
      <c r="F47" s="5">
        <v>105</v>
      </c>
      <c r="G47" s="200" t="s">
        <v>67</v>
      </c>
      <c r="H47" s="201"/>
      <c r="I47" s="31" t="s">
        <v>30</v>
      </c>
      <c r="J47" s="2"/>
      <c r="K47" s="2"/>
      <c r="L47" s="34" t="str">
        <f t="shared" si="4"/>
        <v>JPY</v>
      </c>
      <c r="M47" s="26">
        <v>45564</v>
      </c>
      <c r="N47" s="23">
        <f t="shared" si="5"/>
        <v>0.74590163934426235</v>
      </c>
      <c r="O47" s="39">
        <f t="shared" si="6"/>
        <v>1</v>
      </c>
      <c r="P47" s="143">
        <v>41593</v>
      </c>
      <c r="Q47" s="144">
        <f t="shared" si="7"/>
        <v>0</v>
      </c>
      <c r="R47" s="38">
        <v>45564</v>
      </c>
      <c r="S47" s="150">
        <f t="shared" si="0"/>
        <v>0.74590163934426235</v>
      </c>
      <c r="T47" s="151">
        <f t="shared" si="8"/>
        <v>0.73216372299170107</v>
      </c>
      <c r="U47" s="3">
        <v>10621913.01</v>
      </c>
      <c r="V47" s="58">
        <f t="shared" si="9"/>
        <v>7776979.3746955851</v>
      </c>
      <c r="W47" s="46" t="s">
        <v>25</v>
      </c>
      <c r="X47" s="5" t="s">
        <v>26</v>
      </c>
      <c r="Y47" s="5">
        <v>5</v>
      </c>
      <c r="Z47" s="42">
        <f t="shared" si="10"/>
        <v>14</v>
      </c>
      <c r="AA47" s="43">
        <f t="shared" si="12"/>
        <v>0.354964786985977</v>
      </c>
      <c r="AB47" s="52" t="s">
        <v>27</v>
      </c>
      <c r="AC47" s="38">
        <v>45564</v>
      </c>
      <c r="AD47" s="50">
        <f t="shared" si="1"/>
        <v>0.74590163934426235</v>
      </c>
      <c r="AE47" s="5" t="s">
        <v>29</v>
      </c>
      <c r="AF47" s="5">
        <v>127</v>
      </c>
      <c r="AG47" s="5">
        <v>120</v>
      </c>
      <c r="AH47" s="42">
        <v>0.5</v>
      </c>
      <c r="AI47" s="21">
        <f t="shared" si="2"/>
        <v>-0.46628075774241684</v>
      </c>
      <c r="AJ47" s="34">
        <f t="shared" si="3"/>
        <v>-0.46628075774241684</v>
      </c>
      <c r="AK47" s="58">
        <f t="shared" si="11"/>
        <v>-1287193.1303043764</v>
      </c>
      <c r="AL47" s="8">
        <v>1671083.41</v>
      </c>
      <c r="AM47" s="60"/>
    </row>
    <row r="48" spans="2:39" s="74" customFormat="1" ht="14.25" customHeight="1">
      <c r="B48" s="66"/>
      <c r="C48" s="155">
        <v>45291</v>
      </c>
      <c r="D48" s="5" t="s">
        <v>22</v>
      </c>
      <c r="E48" s="5">
        <v>1101</v>
      </c>
      <c r="F48" s="5">
        <v>106</v>
      </c>
      <c r="G48" s="200" t="s">
        <v>68</v>
      </c>
      <c r="H48" s="201"/>
      <c r="I48" s="31" t="s">
        <v>30</v>
      </c>
      <c r="J48" s="2"/>
      <c r="K48" s="2"/>
      <c r="L48" s="34" t="str">
        <f t="shared" si="4"/>
        <v>JPY</v>
      </c>
      <c r="M48" s="26">
        <v>45545</v>
      </c>
      <c r="N48" s="23">
        <f t="shared" si="5"/>
        <v>0.69398907103825136</v>
      </c>
      <c r="O48" s="39">
        <f t="shared" si="6"/>
        <v>1</v>
      </c>
      <c r="P48" s="143">
        <v>41593</v>
      </c>
      <c r="Q48" s="144">
        <f t="shared" si="7"/>
        <v>0</v>
      </c>
      <c r="R48" s="38">
        <v>45545</v>
      </c>
      <c r="S48" s="150">
        <f t="shared" si="0"/>
        <v>0.69398907103825136</v>
      </c>
      <c r="T48" s="151">
        <f t="shared" si="8"/>
        <v>0.68208661698540229</v>
      </c>
      <c r="U48" s="3">
        <v>52801098.259999998</v>
      </c>
      <c r="V48" s="58">
        <f t="shared" si="9"/>
        <v>36014922.485277213</v>
      </c>
      <c r="W48" s="46" t="s">
        <v>25</v>
      </c>
      <c r="X48" s="5" t="s">
        <v>26</v>
      </c>
      <c r="Y48" s="5">
        <v>5</v>
      </c>
      <c r="Z48" s="42">
        <f t="shared" si="10"/>
        <v>14</v>
      </c>
      <c r="AA48" s="43">
        <f t="shared" si="12"/>
        <v>0.354964786985977</v>
      </c>
      <c r="AB48" s="52" t="s">
        <v>27</v>
      </c>
      <c r="AC48" s="38">
        <v>45545</v>
      </c>
      <c r="AD48" s="50">
        <f t="shared" si="1"/>
        <v>0.69398907103825136</v>
      </c>
      <c r="AE48" s="5" t="s">
        <v>28</v>
      </c>
      <c r="AF48" s="5">
        <v>135</v>
      </c>
      <c r="AG48" s="5">
        <v>154</v>
      </c>
      <c r="AH48" s="42">
        <v>0.5</v>
      </c>
      <c r="AI48" s="21">
        <f t="shared" si="2"/>
        <v>0.69999824320306014</v>
      </c>
      <c r="AJ48" s="34">
        <f t="shared" si="3"/>
        <v>0.69999824320306014</v>
      </c>
      <c r="AK48" s="58">
        <f t="shared" si="11"/>
        <v>8948798.0428684969</v>
      </c>
      <c r="AL48" s="8">
        <v>-149917.47</v>
      </c>
      <c r="AM48" s="60"/>
    </row>
    <row r="49" spans="2:39" s="74" customFormat="1" ht="14.25" customHeight="1">
      <c r="B49" s="66"/>
      <c r="C49" s="155">
        <v>45291</v>
      </c>
      <c r="D49" s="5" t="s">
        <v>22</v>
      </c>
      <c r="E49" s="5">
        <v>1101</v>
      </c>
      <c r="F49" s="5">
        <v>107</v>
      </c>
      <c r="G49" s="200" t="s">
        <v>69</v>
      </c>
      <c r="H49" s="201"/>
      <c r="I49" s="31" t="s">
        <v>34</v>
      </c>
      <c r="J49" s="2" t="s">
        <v>35</v>
      </c>
      <c r="K49" s="2" t="s">
        <v>36</v>
      </c>
      <c r="L49" s="34" t="str">
        <f t="shared" si="4"/>
        <v>AUD [3 month LIBOR vs 6 month LIBOR]</v>
      </c>
      <c r="M49" s="26">
        <v>46734</v>
      </c>
      <c r="N49" s="23">
        <f t="shared" si="5"/>
        <v>3.9512595837897044</v>
      </c>
      <c r="O49" s="39">
        <f t="shared" si="6"/>
        <v>2</v>
      </c>
      <c r="P49" s="143">
        <v>41491</v>
      </c>
      <c r="Q49" s="144">
        <f t="shared" si="7"/>
        <v>0</v>
      </c>
      <c r="R49" s="38">
        <v>46734</v>
      </c>
      <c r="S49" s="150">
        <f t="shared" si="0"/>
        <v>3.9512595837897044</v>
      </c>
      <c r="T49" s="151">
        <f t="shared" si="8"/>
        <v>3.5854309962509889</v>
      </c>
      <c r="U49" s="3">
        <v>58081208.090000004</v>
      </c>
      <c r="V49" s="58">
        <f t="shared" si="9"/>
        <v>208246163.78558972</v>
      </c>
      <c r="W49" s="46" t="s">
        <v>25</v>
      </c>
      <c r="X49" s="5" t="s">
        <v>26</v>
      </c>
      <c r="Y49" s="5">
        <v>5</v>
      </c>
      <c r="Z49" s="42">
        <f t="shared" si="10"/>
        <v>14</v>
      </c>
      <c r="AA49" s="43">
        <f t="shared" si="12"/>
        <v>0.354964786985977</v>
      </c>
      <c r="AB49" s="52" t="s">
        <v>31</v>
      </c>
      <c r="AC49" s="54"/>
      <c r="AD49" s="54"/>
      <c r="AE49" s="54"/>
      <c r="AF49" s="54"/>
      <c r="AG49" s="54"/>
      <c r="AH49" s="54"/>
      <c r="AI49" s="54"/>
      <c r="AJ49" s="34">
        <f t="shared" si="3"/>
        <v>-1</v>
      </c>
      <c r="AK49" s="58">
        <f t="shared" si="11"/>
        <v>-73920055.16879873</v>
      </c>
      <c r="AL49" s="8">
        <v>149515.81</v>
      </c>
      <c r="AM49" s="60"/>
    </row>
    <row r="50" spans="2:39" s="74" customFormat="1" ht="15" customHeight="1" thickBot="1">
      <c r="B50" s="66"/>
      <c r="C50" s="156">
        <v>45291</v>
      </c>
      <c r="D50" s="10" t="s">
        <v>22</v>
      </c>
      <c r="E50" s="10">
        <v>1101</v>
      </c>
      <c r="F50" s="10">
        <v>108</v>
      </c>
      <c r="G50" s="211" t="s">
        <v>69</v>
      </c>
      <c r="H50" s="212"/>
      <c r="I50" s="32" t="s">
        <v>34</v>
      </c>
      <c r="J50" s="11" t="s">
        <v>35</v>
      </c>
      <c r="K50" s="11" t="s">
        <v>37</v>
      </c>
      <c r="L50" s="29" t="str">
        <f t="shared" si="4"/>
        <v>AUD [1 month LIBOR vs OIS Rate]</v>
      </c>
      <c r="M50" s="28">
        <v>45656</v>
      </c>
      <c r="N50" s="24">
        <f t="shared" si="5"/>
        <v>0.99726775956284153</v>
      </c>
      <c r="O50" s="35">
        <f t="shared" si="6"/>
        <v>1</v>
      </c>
      <c r="P50" s="145">
        <v>41491</v>
      </c>
      <c r="Q50" s="146">
        <f t="shared" si="7"/>
        <v>0</v>
      </c>
      <c r="R50" s="33">
        <v>45656</v>
      </c>
      <c r="S50" s="152">
        <f t="shared" si="0"/>
        <v>0.99726775956284153</v>
      </c>
      <c r="T50" s="153">
        <f t="shared" si="8"/>
        <v>0.97281234495253166</v>
      </c>
      <c r="U50" s="14">
        <v>19225500</v>
      </c>
      <c r="V50" s="59">
        <f t="shared" si="9"/>
        <v>18702803.737884898</v>
      </c>
      <c r="W50" s="41" t="s">
        <v>25</v>
      </c>
      <c r="X50" s="10" t="s">
        <v>26</v>
      </c>
      <c r="Y50" s="10">
        <v>5</v>
      </c>
      <c r="Z50" s="40">
        <f t="shared" si="10"/>
        <v>14</v>
      </c>
      <c r="AA50" s="44">
        <f t="shared" si="12"/>
        <v>0.354964786985977</v>
      </c>
      <c r="AB50" s="53" t="s">
        <v>27</v>
      </c>
      <c r="AC50" s="55"/>
      <c r="AD50" s="55"/>
      <c r="AE50" s="55"/>
      <c r="AF50" s="55"/>
      <c r="AG50" s="55"/>
      <c r="AH50" s="55"/>
      <c r="AI50" s="55"/>
      <c r="AJ50" s="29">
        <f t="shared" si="3"/>
        <v>1</v>
      </c>
      <c r="AK50" s="59">
        <f t="shared" si="11"/>
        <v>6638836.744858847</v>
      </c>
      <c r="AL50" s="15">
        <v>23975.65</v>
      </c>
      <c r="AM50" s="60"/>
    </row>
    <row r="51" spans="2:39" s="74" customFormat="1" ht="14.25" customHeight="1">
      <c r="B51" s="66"/>
      <c r="C51" s="154">
        <v>45291</v>
      </c>
      <c r="D51" s="16" t="s">
        <v>38</v>
      </c>
      <c r="E51" s="16">
        <v>1102</v>
      </c>
      <c r="F51" s="16">
        <v>109</v>
      </c>
      <c r="G51" s="209" t="s">
        <v>69</v>
      </c>
      <c r="H51" s="210"/>
      <c r="I51" s="27" t="s">
        <v>24</v>
      </c>
      <c r="J51" s="17"/>
      <c r="K51" s="17"/>
      <c r="L51" s="25" t="str">
        <f t="shared" si="4"/>
        <v>USD</v>
      </c>
      <c r="M51" s="30">
        <v>45656</v>
      </c>
      <c r="N51" s="22">
        <f t="shared" si="5"/>
        <v>0.99726775956284153</v>
      </c>
      <c r="O51" s="36">
        <f t="shared" si="6"/>
        <v>1</v>
      </c>
      <c r="P51" s="141">
        <v>41554</v>
      </c>
      <c r="Q51" s="142">
        <f t="shared" si="7"/>
        <v>0</v>
      </c>
      <c r="R51" s="37">
        <v>45656</v>
      </c>
      <c r="S51" s="148">
        <f t="shared" si="0"/>
        <v>0.99726775956284153</v>
      </c>
      <c r="T51" s="149">
        <f t="shared" si="8"/>
        <v>0.97281234495253166</v>
      </c>
      <c r="U51" s="18">
        <v>47422900</v>
      </c>
      <c r="V51" s="57">
        <f t="shared" si="9"/>
        <v>46133582.553449415</v>
      </c>
      <c r="W51" s="47" t="s">
        <v>25</v>
      </c>
      <c r="X51" s="16" t="s">
        <v>26</v>
      </c>
      <c r="Y51" s="16">
        <v>5</v>
      </c>
      <c r="Z51" s="48">
        <f t="shared" si="10"/>
        <v>14</v>
      </c>
      <c r="AA51" s="45">
        <f t="shared" si="12"/>
        <v>0.354964786985977</v>
      </c>
      <c r="AB51" s="51" t="s">
        <v>27</v>
      </c>
      <c r="AC51" s="56"/>
      <c r="AD51" s="56"/>
      <c r="AE51" s="56"/>
      <c r="AF51" s="56"/>
      <c r="AG51" s="56"/>
      <c r="AH51" s="56"/>
      <c r="AI51" s="56"/>
      <c r="AJ51" s="25">
        <f t="shared" si="3"/>
        <v>1</v>
      </c>
      <c r="AK51" s="57">
        <f t="shared" si="11"/>
        <v>16375797.303985156</v>
      </c>
      <c r="AL51" s="19">
        <v>1949.32</v>
      </c>
      <c r="AM51" s="60"/>
    </row>
    <row r="52" spans="2:39" s="74" customFormat="1" ht="14.25" customHeight="1">
      <c r="B52" s="66"/>
      <c r="C52" s="155">
        <v>45291</v>
      </c>
      <c r="D52" s="5" t="s">
        <v>38</v>
      </c>
      <c r="E52" s="5">
        <v>1102</v>
      </c>
      <c r="F52" s="5">
        <v>110</v>
      </c>
      <c r="G52" s="200" t="s">
        <v>69</v>
      </c>
      <c r="H52" s="201"/>
      <c r="I52" s="31" t="s">
        <v>24</v>
      </c>
      <c r="J52" s="2"/>
      <c r="K52" s="2"/>
      <c r="L52" s="34" t="str">
        <f t="shared" si="4"/>
        <v>USD</v>
      </c>
      <c r="M52" s="26">
        <v>45679</v>
      </c>
      <c r="N52" s="23">
        <f t="shared" si="5"/>
        <v>1.062043795620438</v>
      </c>
      <c r="O52" s="39">
        <f t="shared" si="6"/>
        <v>2</v>
      </c>
      <c r="P52" s="143">
        <v>41640</v>
      </c>
      <c r="Q52" s="144">
        <f t="shared" si="7"/>
        <v>0</v>
      </c>
      <c r="R52" s="38">
        <v>45679</v>
      </c>
      <c r="S52" s="150">
        <f t="shared" si="0"/>
        <v>1.062043795620438</v>
      </c>
      <c r="T52" s="151">
        <f t="shared" si="8"/>
        <v>1.0343379462364655</v>
      </c>
      <c r="U52" s="3">
        <v>41014400</v>
      </c>
      <c r="V52" s="58">
        <f t="shared" si="9"/>
        <v>42422750.262120888</v>
      </c>
      <c r="W52" s="46" t="s">
        <v>25</v>
      </c>
      <c r="X52" s="5" t="s">
        <v>26</v>
      </c>
      <c r="Y52" s="5">
        <v>5</v>
      </c>
      <c r="Z52" s="42">
        <f t="shared" si="10"/>
        <v>14</v>
      </c>
      <c r="AA52" s="43">
        <f t="shared" si="12"/>
        <v>0.354964786985977</v>
      </c>
      <c r="AB52" s="52" t="s">
        <v>31</v>
      </c>
      <c r="AC52" s="54"/>
      <c r="AD52" s="54"/>
      <c r="AE52" s="54"/>
      <c r="AF52" s="54"/>
      <c r="AG52" s="54"/>
      <c r="AH52" s="54"/>
      <c r="AI52" s="54"/>
      <c r="AJ52" s="34">
        <f t="shared" si="3"/>
        <v>-1</v>
      </c>
      <c r="AK52" s="58">
        <f t="shared" si="11"/>
        <v>-15058582.51015304</v>
      </c>
      <c r="AL52" s="8">
        <v>-16568.28</v>
      </c>
      <c r="AM52" s="60"/>
    </row>
    <row r="53" spans="2:39" s="74" customFormat="1" ht="14.25" customHeight="1">
      <c r="B53" s="66"/>
      <c r="C53" s="155">
        <v>45291</v>
      </c>
      <c r="D53" s="5" t="s">
        <v>38</v>
      </c>
      <c r="E53" s="5">
        <v>1102</v>
      </c>
      <c r="F53" s="5">
        <v>111</v>
      </c>
      <c r="G53" s="200" t="s">
        <v>69</v>
      </c>
      <c r="H53" s="201"/>
      <c r="I53" s="31" t="s">
        <v>24</v>
      </c>
      <c r="J53" s="2"/>
      <c r="K53" s="2"/>
      <c r="L53" s="34" t="str">
        <f t="shared" si="4"/>
        <v>USD</v>
      </c>
      <c r="M53" s="26">
        <v>47064</v>
      </c>
      <c r="N53" s="23">
        <f t="shared" si="5"/>
        <v>4.8531021897810218</v>
      </c>
      <c r="O53" s="39">
        <f t="shared" si="6"/>
        <v>2</v>
      </c>
      <c r="P53" s="143">
        <v>41640</v>
      </c>
      <c r="Q53" s="144">
        <f t="shared" si="7"/>
        <v>0</v>
      </c>
      <c r="R53" s="38">
        <v>47064</v>
      </c>
      <c r="S53" s="150">
        <f t="shared" si="0"/>
        <v>4.8531021897810218</v>
      </c>
      <c r="T53" s="151">
        <f t="shared" si="8"/>
        <v>4.3091590355127014</v>
      </c>
      <c r="U53" s="3">
        <v>128170000</v>
      </c>
      <c r="V53" s="58">
        <f t="shared" si="9"/>
        <v>552304913.58166289</v>
      </c>
      <c r="W53" s="46" t="s">
        <v>25</v>
      </c>
      <c r="X53" s="5" t="s">
        <v>26</v>
      </c>
      <c r="Y53" s="5">
        <v>10</v>
      </c>
      <c r="Z53" s="42">
        <f t="shared" si="10"/>
        <v>19</v>
      </c>
      <c r="AA53" s="43">
        <f t="shared" si="12"/>
        <v>0.41352146256270667</v>
      </c>
      <c r="AB53" s="52" t="s">
        <v>27</v>
      </c>
      <c r="AC53" s="54"/>
      <c r="AD53" s="54"/>
      <c r="AE53" s="54"/>
      <c r="AF53" s="54"/>
      <c r="AG53" s="54"/>
      <c r="AH53" s="54"/>
      <c r="AI53" s="54"/>
      <c r="AJ53" s="34">
        <f t="shared" si="3"/>
        <v>1</v>
      </c>
      <c r="AK53" s="58">
        <f t="shared" si="11"/>
        <v>228389935.64485854</v>
      </c>
      <c r="AL53" s="8">
        <v>58017.1</v>
      </c>
      <c r="AM53" s="60"/>
    </row>
    <row r="54" spans="2:39" s="74" customFormat="1" ht="14.25" customHeight="1">
      <c r="B54" s="66"/>
      <c r="C54" s="155">
        <v>45291</v>
      </c>
      <c r="D54" s="5" t="s">
        <v>38</v>
      </c>
      <c r="E54" s="5">
        <v>1102</v>
      </c>
      <c r="F54" s="5">
        <v>112</v>
      </c>
      <c r="G54" s="200" t="s">
        <v>69</v>
      </c>
      <c r="H54" s="201"/>
      <c r="I54" s="31" t="s">
        <v>24</v>
      </c>
      <c r="J54" s="2"/>
      <c r="K54" s="2"/>
      <c r="L54" s="34" t="str">
        <f t="shared" si="4"/>
        <v>USD</v>
      </c>
      <c r="M54" s="26">
        <v>47263</v>
      </c>
      <c r="N54" s="23">
        <f t="shared" si="5"/>
        <v>5.3985138834571762</v>
      </c>
      <c r="O54" s="39">
        <f t="shared" si="6"/>
        <v>3</v>
      </c>
      <c r="P54" s="143">
        <v>41640</v>
      </c>
      <c r="Q54" s="144">
        <f t="shared" si="7"/>
        <v>0</v>
      </c>
      <c r="R54" s="38">
        <v>47263</v>
      </c>
      <c r="S54" s="150">
        <f t="shared" si="0"/>
        <v>5.3985138834571762</v>
      </c>
      <c r="T54" s="151">
        <f t="shared" si="8"/>
        <v>4.7312756002180079</v>
      </c>
      <c r="U54" s="3">
        <v>21788900</v>
      </c>
      <c r="V54" s="58">
        <f t="shared" si="9"/>
        <v>103089290.92559016</v>
      </c>
      <c r="W54" s="46" t="s">
        <v>25</v>
      </c>
      <c r="X54" s="5" t="s">
        <v>26</v>
      </c>
      <c r="Y54" s="5">
        <v>10</v>
      </c>
      <c r="Z54" s="42">
        <f t="shared" si="10"/>
        <v>19</v>
      </c>
      <c r="AA54" s="43">
        <f t="shared" si="12"/>
        <v>0.41352146256270667</v>
      </c>
      <c r="AB54" s="52" t="s">
        <v>31</v>
      </c>
      <c r="AC54" s="54"/>
      <c r="AD54" s="54"/>
      <c r="AE54" s="54"/>
      <c r="AF54" s="54"/>
      <c r="AG54" s="54"/>
      <c r="AH54" s="54"/>
      <c r="AI54" s="54"/>
      <c r="AJ54" s="34">
        <f t="shared" si="3"/>
        <v>-1</v>
      </c>
      <c r="AK54" s="58">
        <f t="shared" si="11"/>
        <v>-42629634.358102404</v>
      </c>
      <c r="AL54" s="8">
        <v>11605.1</v>
      </c>
      <c r="AM54" s="60"/>
    </row>
    <row r="55" spans="2:39" s="74" customFormat="1" ht="14.25" customHeight="1">
      <c r="B55" s="66"/>
      <c r="C55" s="155">
        <v>45291</v>
      </c>
      <c r="D55" s="5" t="s">
        <v>38</v>
      </c>
      <c r="E55" s="5">
        <v>1102</v>
      </c>
      <c r="F55" s="5">
        <v>113</v>
      </c>
      <c r="G55" s="200" t="s">
        <v>39</v>
      </c>
      <c r="H55" s="201"/>
      <c r="I55" s="31" t="s">
        <v>34</v>
      </c>
      <c r="J55" s="2"/>
      <c r="K55" s="2"/>
      <c r="L55" s="34" t="str">
        <f t="shared" si="4"/>
        <v>AUD</v>
      </c>
      <c r="M55" s="26">
        <v>47260</v>
      </c>
      <c r="N55" s="23">
        <f t="shared" si="5"/>
        <v>5.3903011341415725</v>
      </c>
      <c r="O55" s="39">
        <f t="shared" si="6"/>
        <v>3</v>
      </c>
      <c r="P55" s="143">
        <v>41496</v>
      </c>
      <c r="Q55" s="144">
        <f t="shared" si="7"/>
        <v>0</v>
      </c>
      <c r="R55" s="38">
        <v>47260</v>
      </c>
      <c r="S55" s="150">
        <f t="shared" si="0"/>
        <v>5.3903011341415725</v>
      </c>
      <c r="T55" s="151">
        <f t="shared" si="8"/>
        <v>4.72500440241852</v>
      </c>
      <c r="U55" s="3">
        <v>233269400</v>
      </c>
      <c r="V55" s="58">
        <f t="shared" si="9"/>
        <v>1102198941.9495268</v>
      </c>
      <c r="W55" s="46" t="s">
        <v>25</v>
      </c>
      <c r="X55" s="5" t="s">
        <v>26</v>
      </c>
      <c r="Y55" s="5">
        <v>10</v>
      </c>
      <c r="Z55" s="42">
        <f t="shared" si="10"/>
        <v>19</v>
      </c>
      <c r="AA55" s="43">
        <f t="shared" si="12"/>
        <v>0.41352146256270667</v>
      </c>
      <c r="AB55" s="52" t="s">
        <v>27</v>
      </c>
      <c r="AC55" s="54"/>
      <c r="AD55" s="54"/>
      <c r="AE55" s="54"/>
      <c r="AF55" s="54"/>
      <c r="AG55" s="54"/>
      <c r="AH55" s="54"/>
      <c r="AI55" s="54"/>
      <c r="AJ55" s="34">
        <f t="shared" si="3"/>
        <v>1</v>
      </c>
      <c r="AK55" s="58">
        <f t="shared" si="11"/>
        <v>455782918.51003611</v>
      </c>
      <c r="AL55" s="8">
        <v>41757.839999999997</v>
      </c>
      <c r="AM55" s="60"/>
    </row>
    <row r="56" spans="2:39" s="74" customFormat="1" ht="15" customHeight="1" thickBot="1">
      <c r="B56" s="66"/>
      <c r="C56" s="156">
        <v>45291</v>
      </c>
      <c r="D56" s="10" t="s">
        <v>38</v>
      </c>
      <c r="E56" s="10">
        <v>1102</v>
      </c>
      <c r="F56" s="10">
        <v>114</v>
      </c>
      <c r="G56" s="211" t="s">
        <v>70</v>
      </c>
      <c r="H56" s="212"/>
      <c r="I56" s="32" t="s">
        <v>34</v>
      </c>
      <c r="J56" s="11"/>
      <c r="K56" s="11"/>
      <c r="L56" s="29" t="str">
        <f t="shared" si="4"/>
        <v>AUD</v>
      </c>
      <c r="M56" s="28">
        <v>46191</v>
      </c>
      <c r="N56" s="24">
        <f t="shared" si="5"/>
        <v>2.4640657084188913</v>
      </c>
      <c r="O56" s="35">
        <f t="shared" si="6"/>
        <v>2</v>
      </c>
      <c r="P56" s="145">
        <v>41496</v>
      </c>
      <c r="Q56" s="146">
        <f t="shared" si="7"/>
        <v>0</v>
      </c>
      <c r="R56" s="33">
        <v>46191</v>
      </c>
      <c r="S56" s="152">
        <f t="shared" si="0"/>
        <v>2.4640657084188913</v>
      </c>
      <c r="T56" s="153">
        <f t="shared" si="8"/>
        <v>2.3183215416041114</v>
      </c>
      <c r="U56" s="14">
        <v>32042500</v>
      </c>
      <c r="V56" s="59">
        <f t="shared" si="9"/>
        <v>74284817.996849746</v>
      </c>
      <c r="W56" s="41" t="s">
        <v>25</v>
      </c>
      <c r="X56" s="10" t="s">
        <v>26</v>
      </c>
      <c r="Y56" s="10">
        <v>10</v>
      </c>
      <c r="Z56" s="40">
        <f t="shared" si="10"/>
        <v>19</v>
      </c>
      <c r="AA56" s="44">
        <f t="shared" si="12"/>
        <v>0.41352146256270667</v>
      </c>
      <c r="AB56" s="53" t="s">
        <v>31</v>
      </c>
      <c r="AC56" s="55"/>
      <c r="AD56" s="55"/>
      <c r="AE56" s="55"/>
      <c r="AF56" s="55"/>
      <c r="AG56" s="55"/>
      <c r="AH56" s="55"/>
      <c r="AI56" s="55"/>
      <c r="AJ56" s="29">
        <f t="shared" si="3"/>
        <v>-1</v>
      </c>
      <c r="AK56" s="59">
        <f t="shared" si="11"/>
        <v>-30718366.584261779</v>
      </c>
      <c r="AL56" s="15">
        <v>-16095.05</v>
      </c>
      <c r="AM56" s="60"/>
    </row>
    <row r="57" spans="2:39" s="74" customFormat="1" ht="14.25" customHeight="1">
      <c r="B57" s="66"/>
      <c r="C57" s="155">
        <v>45291</v>
      </c>
      <c r="D57" s="5" t="s">
        <v>40</v>
      </c>
      <c r="E57" s="5">
        <v>1103</v>
      </c>
      <c r="F57" s="5">
        <v>115</v>
      </c>
      <c r="G57" s="209" t="s">
        <v>70</v>
      </c>
      <c r="H57" s="210"/>
      <c r="I57" s="31" t="s">
        <v>30</v>
      </c>
      <c r="J57" s="2"/>
      <c r="K57" s="2"/>
      <c r="L57" s="34" t="str">
        <f t="shared" si="4"/>
        <v>JPY</v>
      </c>
      <c r="M57" s="26">
        <v>45432</v>
      </c>
      <c r="N57" s="23">
        <f t="shared" si="5"/>
        <v>0.38524590163934425</v>
      </c>
      <c r="O57" s="39">
        <f t="shared" si="6"/>
        <v>1</v>
      </c>
      <c r="P57" s="143">
        <v>41496</v>
      </c>
      <c r="Q57" s="144">
        <f t="shared" si="7"/>
        <v>0</v>
      </c>
      <c r="R57" s="38">
        <v>45432</v>
      </c>
      <c r="S57" s="150">
        <f t="shared" si="0"/>
        <v>0.38524590163934425</v>
      </c>
      <c r="T57" s="151">
        <f t="shared" si="8"/>
        <v>0.38155925058903195</v>
      </c>
      <c r="U57" s="3">
        <v>79465400</v>
      </c>
      <c r="V57" s="58">
        <f t="shared" si="9"/>
        <v>30320758.471757658</v>
      </c>
      <c r="W57" s="46" t="s">
        <v>41</v>
      </c>
      <c r="X57" s="5" t="s">
        <v>26</v>
      </c>
      <c r="Y57" s="5" t="s">
        <v>42</v>
      </c>
      <c r="Z57" s="42" t="str">
        <f t="shared" si="10"/>
        <v>NA</v>
      </c>
      <c r="AA57" s="43">
        <f t="shared" si="12"/>
        <v>0.62068180385713279</v>
      </c>
      <c r="AB57" s="52" t="s">
        <v>31</v>
      </c>
      <c r="AC57" s="54"/>
      <c r="AD57" s="54"/>
      <c r="AE57" s="54"/>
      <c r="AF57" s="54"/>
      <c r="AG57" s="54"/>
      <c r="AH57" s="54"/>
      <c r="AI57" s="54"/>
      <c r="AJ57" s="34">
        <f t="shared" si="3"/>
        <v>-1</v>
      </c>
      <c r="AK57" s="58">
        <f t="shared" si="11"/>
        <v>-18819543.062566984</v>
      </c>
      <c r="AL57" s="8">
        <v>-40581.589999999997</v>
      </c>
      <c r="AM57" s="60"/>
    </row>
    <row r="58" spans="2:39" s="74" customFormat="1" ht="15" customHeight="1" thickBot="1">
      <c r="B58" s="66"/>
      <c r="C58" s="156">
        <v>45291</v>
      </c>
      <c r="D58" s="10" t="s">
        <v>40</v>
      </c>
      <c r="E58" s="10">
        <v>1103</v>
      </c>
      <c r="F58" s="10">
        <v>116</v>
      </c>
      <c r="G58" s="211" t="s">
        <v>70</v>
      </c>
      <c r="H58" s="212"/>
      <c r="I58" s="32" t="s">
        <v>30</v>
      </c>
      <c r="J58" s="11"/>
      <c r="K58" s="11"/>
      <c r="L58" s="29" t="str">
        <f t="shared" si="4"/>
        <v>JPY</v>
      </c>
      <c r="M58" s="28">
        <v>46061</v>
      </c>
      <c r="N58" s="24">
        <f t="shared" si="5"/>
        <v>2.108145106091718</v>
      </c>
      <c r="O58" s="35">
        <f t="shared" si="6"/>
        <v>2</v>
      </c>
      <c r="P58" s="145">
        <v>41496</v>
      </c>
      <c r="Q58" s="146">
        <f t="shared" si="7"/>
        <v>0</v>
      </c>
      <c r="R58" s="33">
        <v>46061</v>
      </c>
      <c r="S58" s="152">
        <f t="shared" si="0"/>
        <v>2.108145106091718</v>
      </c>
      <c r="T58" s="153">
        <f t="shared" si="8"/>
        <v>2.0008412939806286</v>
      </c>
      <c r="U58" s="14">
        <v>215325600</v>
      </c>
      <c r="V58" s="59">
        <f t="shared" si="9"/>
        <v>430832352.13115525</v>
      </c>
      <c r="W58" s="41" t="s">
        <v>41</v>
      </c>
      <c r="X58" s="10" t="s">
        <v>26</v>
      </c>
      <c r="Y58" s="10" t="s">
        <v>42</v>
      </c>
      <c r="Z58" s="40" t="str">
        <f t="shared" si="10"/>
        <v>NA</v>
      </c>
      <c r="AA58" s="44">
        <f t="shared" si="12"/>
        <v>1</v>
      </c>
      <c r="AB58" s="53" t="s">
        <v>31</v>
      </c>
      <c r="AC58" s="55"/>
      <c r="AD58" s="55"/>
      <c r="AE58" s="55"/>
      <c r="AF58" s="55"/>
      <c r="AG58" s="55"/>
      <c r="AH58" s="55"/>
      <c r="AI58" s="55"/>
      <c r="AJ58" s="29">
        <f t="shared" si="3"/>
        <v>-1</v>
      </c>
      <c r="AK58" s="59">
        <f t="shared" si="11"/>
        <v>-430832352.13115525</v>
      </c>
      <c r="AL58" s="15">
        <v>-110173.33</v>
      </c>
      <c r="AM58" s="60"/>
    </row>
    <row r="59" spans="2:39" s="74" customFormat="1" ht="12.75" customHeight="1">
      <c r="B59" s="61"/>
      <c r="C59" s="67"/>
      <c r="D59" s="67"/>
      <c r="E59" s="67"/>
      <c r="F59" s="67"/>
      <c r="G59" s="214"/>
      <c r="H59" s="214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8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9"/>
    </row>
    <row r="60" spans="2:39" s="74" customFormat="1" ht="12.75" customHeight="1">
      <c r="G60" s="215"/>
      <c r="H60" s="215"/>
      <c r="AB60" s="75"/>
    </row>
    <row r="61" spans="2:39" s="74" customFormat="1" ht="12.75" customHeight="1">
      <c r="G61" s="191"/>
      <c r="H61" s="191"/>
      <c r="AB61" s="75"/>
    </row>
    <row r="62" spans="2:39" s="74" customFormat="1" ht="12.75" customHeight="1">
      <c r="G62" s="191"/>
      <c r="H62" s="191"/>
      <c r="AB62" s="75"/>
    </row>
    <row r="63" spans="2:39" s="74" customFormat="1" ht="12.75" customHeight="1">
      <c r="G63" s="191"/>
      <c r="H63" s="191"/>
      <c r="AB63" s="75"/>
    </row>
    <row r="64" spans="2:39" ht="16">
      <c r="B64" s="90"/>
      <c r="C64" s="100" t="s">
        <v>71</v>
      </c>
      <c r="D64" s="91"/>
      <c r="E64" s="91"/>
      <c r="F64" s="91"/>
      <c r="G64" s="92"/>
    </row>
    <row r="65" spans="2:27" ht="15" customHeight="1" thickBot="1">
      <c r="B65" s="93"/>
      <c r="C65" s="87"/>
      <c r="D65" s="87"/>
      <c r="E65" s="87"/>
      <c r="F65" s="87"/>
      <c r="G65" s="94"/>
    </row>
    <row r="66" spans="2:27" ht="30.75" customHeight="1" thickBot="1">
      <c r="B66" s="93"/>
      <c r="C66" s="101" t="s">
        <v>3</v>
      </c>
      <c r="D66" s="102" t="s">
        <v>52</v>
      </c>
      <c r="E66" s="102" t="s">
        <v>54</v>
      </c>
      <c r="F66" s="103" t="s">
        <v>72</v>
      </c>
      <c r="G66" s="60"/>
      <c r="H66" s="74"/>
      <c r="AA66" s="120"/>
    </row>
    <row r="67" spans="2:27" ht="14.25" customHeight="1">
      <c r="B67" s="93"/>
      <c r="C67" s="135">
        <v>1101</v>
      </c>
      <c r="D67" s="87" t="s">
        <v>24</v>
      </c>
      <c r="E67" s="112">
        <v>2</v>
      </c>
      <c r="F67" s="104">
        <f>SUMIFS($AK$43:$AK$58,$E$43:$E$58,C67,$L$43:$L$58,D67,$O$43:$O$58,E67)</f>
        <v>85353570.467667073</v>
      </c>
      <c r="G67" s="118"/>
      <c r="H67" s="121"/>
      <c r="AA67" s="99"/>
    </row>
    <row r="68" spans="2:27" ht="14.25" customHeight="1">
      <c r="B68" s="93"/>
      <c r="C68" s="135">
        <v>1101</v>
      </c>
      <c r="D68" s="87" t="s">
        <v>30</v>
      </c>
      <c r="E68" s="112">
        <v>1</v>
      </c>
      <c r="F68" s="104">
        <f t="shared" ref="F68:F79" si="13">SUMIFS($AK$43:$AK$58,$E$43:$E$58,C68,$L$43:$L$58,D68,$O$43:$O$58,E68)</f>
        <v>1900431.0342281247</v>
      </c>
      <c r="G68" s="118"/>
      <c r="H68" s="121"/>
      <c r="AA68" s="99"/>
    </row>
    <row r="69" spans="2:27" ht="14.25" customHeight="1">
      <c r="B69" s="93"/>
      <c r="C69" s="135">
        <v>1101</v>
      </c>
      <c r="D69" s="87" t="s">
        <v>30</v>
      </c>
      <c r="E69" s="112">
        <v>2</v>
      </c>
      <c r="F69" s="104">
        <f t="shared" si="13"/>
        <v>8083306.7449449971</v>
      </c>
      <c r="G69" s="118"/>
      <c r="H69" s="121"/>
      <c r="AA69" s="99"/>
    </row>
    <row r="70" spans="2:27" ht="14.25" customHeight="1">
      <c r="B70" s="93"/>
      <c r="C70" s="135">
        <v>1101</v>
      </c>
      <c r="D70" s="87" t="s">
        <v>30</v>
      </c>
      <c r="E70" s="112">
        <v>3</v>
      </c>
      <c r="F70" s="104">
        <f>SUMIFS($AK$43:$AK$58,$E$43:$E$58,C70,$L$43:$L$58,D70,$O$43:$O$58,E70)</f>
        <v>0</v>
      </c>
      <c r="G70" s="118"/>
      <c r="H70" s="121"/>
      <c r="AA70" s="99"/>
    </row>
    <row r="71" spans="2:27" ht="14.25" customHeight="1">
      <c r="B71" s="93"/>
      <c r="C71" s="135">
        <v>1101</v>
      </c>
      <c r="D71" s="87" t="s">
        <v>73</v>
      </c>
      <c r="E71" s="112">
        <v>2</v>
      </c>
      <c r="F71" s="104">
        <f t="shared" si="13"/>
        <v>-73920055.16879873</v>
      </c>
      <c r="G71" s="118"/>
      <c r="H71" s="121"/>
      <c r="AA71" s="99"/>
    </row>
    <row r="72" spans="2:27" ht="15" customHeight="1" thickBot="1">
      <c r="B72" s="93"/>
      <c r="C72" s="137">
        <v>1101</v>
      </c>
      <c r="D72" s="88" t="s">
        <v>74</v>
      </c>
      <c r="E72" s="115">
        <v>1</v>
      </c>
      <c r="F72" s="105">
        <f t="shared" si="13"/>
        <v>6638836.744858847</v>
      </c>
      <c r="G72" s="118"/>
      <c r="H72" s="121"/>
      <c r="AA72" s="99"/>
    </row>
    <row r="73" spans="2:27" ht="14.25" customHeight="1">
      <c r="B73" s="93"/>
      <c r="C73" s="138">
        <v>1102</v>
      </c>
      <c r="D73" s="89" t="s">
        <v>24</v>
      </c>
      <c r="E73" s="113">
        <v>1</v>
      </c>
      <c r="F73" s="106">
        <f t="shared" si="13"/>
        <v>16375797.303985156</v>
      </c>
      <c r="G73" s="118"/>
      <c r="H73" s="121"/>
      <c r="AA73" s="99"/>
    </row>
    <row r="74" spans="2:27" ht="14.25" customHeight="1">
      <c r="B74" s="93"/>
      <c r="C74" s="135">
        <v>1102</v>
      </c>
      <c r="D74" s="87" t="s">
        <v>24</v>
      </c>
      <c r="E74" s="112">
        <v>2</v>
      </c>
      <c r="F74" s="104">
        <f t="shared" si="13"/>
        <v>213331353.13470548</v>
      </c>
      <c r="G74" s="118"/>
      <c r="H74" s="121"/>
      <c r="AA74" s="99"/>
    </row>
    <row r="75" spans="2:27" ht="14.25" customHeight="1">
      <c r="B75" s="93"/>
      <c r="C75" s="135">
        <v>1102</v>
      </c>
      <c r="D75" s="87" t="s">
        <v>24</v>
      </c>
      <c r="E75" s="112">
        <v>3</v>
      </c>
      <c r="F75" s="104">
        <f t="shared" si="13"/>
        <v>-42629634.358102404</v>
      </c>
      <c r="G75" s="118"/>
      <c r="H75" s="121"/>
      <c r="AA75" s="99"/>
    </row>
    <row r="76" spans="2:27" ht="14.25" customHeight="1">
      <c r="B76" s="93"/>
      <c r="C76" s="135">
        <v>1102</v>
      </c>
      <c r="D76" s="87" t="s">
        <v>34</v>
      </c>
      <c r="E76" s="112">
        <v>2</v>
      </c>
      <c r="F76" s="104">
        <f t="shared" si="13"/>
        <v>-30718366.584261779</v>
      </c>
      <c r="G76" s="118"/>
      <c r="H76" s="121"/>
      <c r="AA76" s="99"/>
    </row>
    <row r="77" spans="2:27" ht="15" customHeight="1" thickBot="1">
      <c r="B77" s="93"/>
      <c r="C77" s="137">
        <v>1102</v>
      </c>
      <c r="D77" s="88" t="s">
        <v>34</v>
      </c>
      <c r="E77" s="115">
        <v>3</v>
      </c>
      <c r="F77" s="105">
        <f t="shared" si="13"/>
        <v>455782918.51003611</v>
      </c>
      <c r="G77" s="118"/>
      <c r="H77" s="121"/>
      <c r="AA77" s="99"/>
    </row>
    <row r="78" spans="2:27" ht="14.25" customHeight="1">
      <c r="B78" s="93"/>
      <c r="C78" s="138">
        <v>1103</v>
      </c>
      <c r="D78" s="89" t="s">
        <v>30</v>
      </c>
      <c r="E78" s="113">
        <v>1</v>
      </c>
      <c r="F78" s="106">
        <f t="shared" si="13"/>
        <v>-18819543.062566984</v>
      </c>
      <c r="G78" s="118"/>
      <c r="H78" s="121"/>
      <c r="AA78" s="99"/>
    </row>
    <row r="79" spans="2:27" ht="15" customHeight="1" thickBot="1">
      <c r="B79" s="93"/>
      <c r="C79" s="137">
        <v>1103</v>
      </c>
      <c r="D79" s="88" t="s">
        <v>30</v>
      </c>
      <c r="E79" s="115">
        <v>2</v>
      </c>
      <c r="F79" s="105">
        <f t="shared" si="13"/>
        <v>-430832352.13115525</v>
      </c>
      <c r="G79" s="118"/>
      <c r="H79" s="121"/>
      <c r="AA79" s="99"/>
    </row>
    <row r="80" spans="2:27" ht="14.25" customHeight="1">
      <c r="B80" s="95"/>
      <c r="C80" s="96"/>
      <c r="D80" s="96"/>
      <c r="E80" s="96"/>
      <c r="F80" s="96"/>
      <c r="G80" s="97"/>
      <c r="AA80" s="99"/>
    </row>
    <row r="81" spans="2:27" ht="14.25" customHeight="1">
      <c r="G81" s="216"/>
      <c r="H81" s="216"/>
      <c r="AA81" s="99"/>
    </row>
    <row r="82" spans="2:27" ht="14.25" customHeight="1">
      <c r="G82" s="216"/>
      <c r="H82" s="216"/>
      <c r="AA82" s="99"/>
    </row>
    <row r="83" spans="2:27" ht="14.25" customHeight="1">
      <c r="AA83" s="99"/>
    </row>
    <row r="84" spans="2:27" ht="14.25" customHeight="1">
      <c r="AA84" s="99"/>
    </row>
    <row r="85" spans="2:27" ht="14.25" customHeight="1">
      <c r="AA85" s="99"/>
    </row>
    <row r="86" spans="2:27" ht="14.25" customHeight="1">
      <c r="AA86" s="99"/>
    </row>
    <row r="87" spans="2:27" ht="14.25" customHeight="1">
      <c r="AA87" s="99"/>
    </row>
    <row r="88" spans="2:27" ht="14.25" customHeight="1">
      <c r="AA88" s="99"/>
    </row>
    <row r="89" spans="2:27" ht="14.25" customHeight="1">
      <c r="G89" s="216"/>
      <c r="H89" s="216"/>
      <c r="AA89" s="99"/>
    </row>
    <row r="90" spans="2:27" ht="14.25" customHeight="1">
      <c r="G90" s="216"/>
      <c r="H90" s="216"/>
      <c r="AA90" s="99"/>
    </row>
    <row r="91" spans="2:27" ht="16">
      <c r="B91" s="90"/>
      <c r="C91" s="100" t="s">
        <v>75</v>
      </c>
      <c r="D91" s="91"/>
      <c r="E91" s="91"/>
      <c r="F91" s="91"/>
      <c r="G91" s="217"/>
      <c r="H91" s="217"/>
      <c r="I91" s="92"/>
    </row>
    <row r="92" spans="2:27" ht="7.5" customHeight="1" thickBot="1">
      <c r="B92" s="93"/>
      <c r="C92" s="87"/>
      <c r="D92" s="87"/>
      <c r="E92" s="87"/>
      <c r="F92" s="87"/>
      <c r="G92" s="213"/>
      <c r="H92" s="213"/>
      <c r="I92" s="94"/>
    </row>
    <row r="93" spans="2:27" ht="46" thickBot="1">
      <c r="B93" s="93"/>
      <c r="C93" s="101" t="s">
        <v>3</v>
      </c>
      <c r="D93" s="101" t="s">
        <v>52</v>
      </c>
      <c r="E93" s="119" t="s">
        <v>76</v>
      </c>
      <c r="F93" s="101" t="s">
        <v>77</v>
      </c>
      <c r="G93" s="218" t="s">
        <v>78</v>
      </c>
      <c r="H93" s="219"/>
      <c r="I93" s="94"/>
    </row>
    <row r="94" spans="2:27" ht="14.25" customHeight="1">
      <c r="B94" s="93"/>
      <c r="C94" s="138">
        <v>1101</v>
      </c>
      <c r="D94" s="89" t="s">
        <v>24</v>
      </c>
      <c r="E94" s="107">
        <f>(SUMIFS($F$67:$F$79,$C$67:$C$79,C94,$D$67:$D$79,D94,$E$67:$E$79,1)^2+SUMIFS($F$67:$F$79,$C$67:$C$79,C94,$D$67:$D$79,D94,$E$67:$E$79,2)^2+SUMIFS($F$67:$F$79,$C$67:$C$79,C94,$D$67:$D$79,D94,$E$67:$E$79,3)^2+1.4*SUMIFS($F$67:$F$79,$C$67:$C$79,C94,$D$67:$D$79,D94,$E$67:$E$79,1)*SUMIFS($F$67:$F$79,$C$67:$C$79,C94,$D$67:$D$79,D94,$E$67:$E$79,2)+1.4*SUMIFS($F$67:$F$79,$C$67:$C$79,C94,$D$67:$D$79,D94,$E$67:$E$79,2)*SUMIFS($F$67:$F$79,$C$67:$C$79,C94,$D$67:$D$79,D94,$E$67:$E$79,3)+0.6*SUMIFS($F$67:$F$79,$C$67:$C$79,C94,$D$67:$D$79,D94,$E$67:$E$79,1)*SUMIFS($F$67:$F$79,$C$67:$C$79,C94,$D$67:$D$79,D94,$E$67:$E$79,3))^(1/2)</f>
        <v>85353570.467667073</v>
      </c>
      <c r="F94" s="89">
        <f>0.005*IF(COUNTIFS($E$43:$E$58,C94,$L$43:$L$58,D94,$J$43:$J$58,"Basis"),0.5,1)</f>
        <v>5.0000000000000001E-3</v>
      </c>
      <c r="G94" s="220">
        <f t="shared" ref="G94:G100" si="14">F94*E94</f>
        <v>426767.85233833536</v>
      </c>
      <c r="H94" s="221"/>
      <c r="I94" s="94"/>
    </row>
    <row r="95" spans="2:27" ht="14.25" customHeight="1">
      <c r="B95" s="93"/>
      <c r="C95" s="135">
        <v>1101</v>
      </c>
      <c r="D95" s="87" t="s">
        <v>30</v>
      </c>
      <c r="E95" s="108">
        <f t="shared" ref="E95:E100" si="15">(SUMIFS($F$67:$F$79,$C$67:$C$79,C95,$D$67:$D$79,D95,$E$67:$E$79,1)^2+SUMIFS($F$67:$F$79,$C$67:$C$79,C95,$D$67:$D$79,D95,$E$67:$E$79,2)^2+SUMIFS($F$67:$F$79,$C$67:$C$79,C95,$D$67:$D$79,D95,$E$67:$E$79,3)^2+1.4*SUMIFS($F$67:$F$79,$C$67:$C$79,C95,$D$67:$D$79,D95,$E$67:$E$79,1)*SUMIFS($F$67:$F$79,$C$67:$C$79,C95,$D$67:$D$79,D95,$E$67:$E$79,2)+1.4*SUMIFS($F$67:$F$79,$C$67:$C$79,C95,$D$67:$D$79,D95,$E$67:$E$79,2)*SUMIFS($F$67:$F$79,$C$67:$C$79,C95,$D$67:$D$79,D95,$E$67:$E$79,3)+0.6*SUMIFS($F$67:$F$79,$C$67:$C$79,C95,$D$67:$D$79,D95,$E$67:$E$79,1)*SUMIFS($F$67:$F$79,$C$67:$C$79,C95,$D$67:$D$79,D95,$E$67:$E$79,3))^(1/2)</f>
        <v>9510938.9570599832</v>
      </c>
      <c r="F95" s="87">
        <f t="shared" ref="F95:F100" si="16">0.005*IF(COUNTIFS($E$43:$E$58,C95,$L$43:$L$58,D95,$J$43:$J$58,"Basis"),0.5,1)</f>
        <v>5.0000000000000001E-3</v>
      </c>
      <c r="G95" s="222">
        <f t="shared" si="14"/>
        <v>47554.694785299915</v>
      </c>
      <c r="H95" s="223"/>
      <c r="I95" s="94"/>
    </row>
    <row r="96" spans="2:27" ht="14.25" customHeight="1">
      <c r="B96" s="93"/>
      <c r="C96" s="135">
        <v>1101</v>
      </c>
      <c r="D96" s="87" t="s">
        <v>73</v>
      </c>
      <c r="E96" s="108">
        <f t="shared" si="15"/>
        <v>73920055.16879873</v>
      </c>
      <c r="F96" s="87">
        <f t="shared" si="16"/>
        <v>2.5000000000000001E-3</v>
      </c>
      <c r="G96" s="222">
        <f>F96*E96</f>
        <v>184800.13792199682</v>
      </c>
      <c r="H96" s="223"/>
      <c r="I96" s="94"/>
    </row>
    <row r="97" spans="2:9" ht="15" customHeight="1" thickBot="1">
      <c r="B97" s="93"/>
      <c r="C97" s="137">
        <v>1101</v>
      </c>
      <c r="D97" s="88" t="s">
        <v>74</v>
      </c>
      <c r="E97" s="109">
        <f t="shared" si="15"/>
        <v>6638836.744858847</v>
      </c>
      <c r="F97" s="88">
        <f t="shared" si="16"/>
        <v>2.5000000000000001E-3</v>
      </c>
      <c r="G97" s="224">
        <f t="shared" si="14"/>
        <v>16597.091862147117</v>
      </c>
      <c r="H97" s="225"/>
      <c r="I97" s="94"/>
    </row>
    <row r="98" spans="2:9" ht="14.25" customHeight="1">
      <c r="B98" s="93"/>
      <c r="C98" s="138">
        <v>1102</v>
      </c>
      <c r="D98" s="89" t="s">
        <v>24</v>
      </c>
      <c r="E98" s="107">
        <f t="shared" si="15"/>
        <v>198332521.09795383</v>
      </c>
      <c r="F98" s="89">
        <f t="shared" si="16"/>
        <v>5.0000000000000001E-3</v>
      </c>
      <c r="G98" s="220">
        <f t="shared" si="14"/>
        <v>991662.60548976914</v>
      </c>
      <c r="H98" s="221"/>
      <c r="I98" s="94"/>
    </row>
    <row r="99" spans="2:9" ht="15" customHeight="1" thickBot="1">
      <c r="B99" s="93"/>
      <c r="C99" s="137">
        <v>1102</v>
      </c>
      <c r="D99" s="88" t="s">
        <v>34</v>
      </c>
      <c r="E99" s="109">
        <f t="shared" si="15"/>
        <v>434833781.30964124</v>
      </c>
      <c r="F99" s="88">
        <f t="shared" si="16"/>
        <v>5.0000000000000001E-3</v>
      </c>
      <c r="G99" s="224">
        <f t="shared" si="14"/>
        <v>2174168.9065482062</v>
      </c>
      <c r="H99" s="225"/>
      <c r="I99" s="94"/>
    </row>
    <row r="100" spans="2:9" ht="15" customHeight="1" thickBot="1">
      <c r="B100" s="93"/>
      <c r="C100" s="136">
        <v>1103</v>
      </c>
      <c r="D100" s="110" t="s">
        <v>30</v>
      </c>
      <c r="E100" s="111">
        <f t="shared" si="15"/>
        <v>444209394.37285495</v>
      </c>
      <c r="F100" s="110">
        <f t="shared" si="16"/>
        <v>5.0000000000000001E-3</v>
      </c>
      <c r="G100" s="226">
        <f t="shared" si="14"/>
        <v>2221046.9718642747</v>
      </c>
      <c r="H100" s="227"/>
      <c r="I100" s="94"/>
    </row>
    <row r="101" spans="2:9">
      <c r="B101" s="124"/>
      <c r="C101" s="125"/>
      <c r="D101" s="125"/>
      <c r="E101" s="125"/>
      <c r="F101" s="125"/>
      <c r="G101" s="228"/>
      <c r="H101" s="228"/>
      <c r="I101" s="126"/>
    </row>
    <row r="102" spans="2:9" ht="14.25" customHeight="1">
      <c r="C102" s="74"/>
      <c r="D102" s="74"/>
      <c r="E102" s="74"/>
      <c r="G102" s="216"/>
      <c r="H102" s="216"/>
    </row>
    <row r="103" spans="2:9" ht="14.25" customHeight="1">
      <c r="C103" s="74"/>
      <c r="D103" s="74"/>
      <c r="E103" s="74"/>
      <c r="G103" s="216"/>
      <c r="H103" s="216"/>
    </row>
    <row r="104" spans="2:9" ht="14.25" customHeight="1">
      <c r="C104" s="74"/>
      <c r="D104" s="74"/>
      <c r="E104" s="74"/>
    </row>
    <row r="105" spans="2:9" ht="14.25" customHeight="1">
      <c r="C105" s="74"/>
      <c r="D105" s="74"/>
      <c r="E105" s="74"/>
    </row>
    <row r="106" spans="2:9" ht="15" customHeight="1">
      <c r="C106" s="74"/>
      <c r="D106" s="74"/>
      <c r="E106" s="74"/>
      <c r="G106" s="216"/>
      <c r="H106" s="216"/>
    </row>
    <row r="107" spans="2:9" ht="16">
      <c r="B107" s="90"/>
      <c r="C107" s="100" t="s">
        <v>79</v>
      </c>
      <c r="D107" s="91"/>
      <c r="E107" s="92"/>
    </row>
    <row r="108" spans="2:9" ht="15" thickBot="1">
      <c r="B108" s="93"/>
      <c r="C108" s="87"/>
      <c r="D108" s="87"/>
      <c r="E108" s="94"/>
    </row>
    <row r="109" spans="2:9" ht="15" thickBot="1">
      <c r="B109" s="93"/>
      <c r="C109" s="122" t="s">
        <v>3</v>
      </c>
      <c r="D109" s="123" t="s">
        <v>80</v>
      </c>
      <c r="E109" s="94"/>
    </row>
    <row r="110" spans="2:9" ht="15" thickBot="1">
      <c r="B110" s="93"/>
      <c r="C110" s="135">
        <v>1101</v>
      </c>
      <c r="D110" s="114">
        <f>SUMIF($C$94:$C$100,C110,$G$94:$H$100)</f>
        <v>675719.77690777916</v>
      </c>
      <c r="E110" s="94"/>
    </row>
    <row r="111" spans="2:9" ht="15" thickBot="1">
      <c r="B111" s="93"/>
      <c r="C111" s="136">
        <v>1102</v>
      </c>
      <c r="D111" s="117">
        <f t="shared" ref="D111:D112" si="17">SUMIF($C$94:$C$100,C111,$G$94:$H$100)</f>
        <v>3165831.5120379752</v>
      </c>
      <c r="E111" s="94"/>
    </row>
    <row r="112" spans="2:9" ht="15" thickBot="1">
      <c r="B112" s="93"/>
      <c r="C112" s="137">
        <v>1103</v>
      </c>
      <c r="D112" s="116">
        <f t="shared" si="17"/>
        <v>2221046.9718642747</v>
      </c>
      <c r="E112" s="94"/>
    </row>
    <row r="113" spans="2:5">
      <c r="B113" s="95"/>
      <c r="C113" s="67"/>
      <c r="D113" s="96"/>
      <c r="E113" s="97"/>
    </row>
    <row r="114" spans="2:5">
      <c r="C114" s="74"/>
    </row>
    <row r="115" spans="2:5">
      <c r="C115" s="74"/>
    </row>
    <row r="116" spans="2:5">
      <c r="C116" s="74"/>
    </row>
  </sheetData>
  <mergeCells count="72">
    <mergeCell ref="G106:H106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92:H92"/>
    <mergeCell ref="G58:H58"/>
    <mergeCell ref="G59:H59"/>
    <mergeCell ref="G60:H60"/>
    <mergeCell ref="G61:H61"/>
    <mergeCell ref="G62:H62"/>
    <mergeCell ref="G63:H63"/>
    <mergeCell ref="G81:H81"/>
    <mergeCell ref="G82:H82"/>
    <mergeCell ref="G89:H89"/>
    <mergeCell ref="G90:H90"/>
    <mergeCell ref="G91:H91"/>
    <mergeCell ref="G57:H57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W41:AA41"/>
    <mergeCell ref="AB41:AJ41"/>
    <mergeCell ref="G42:H42"/>
    <mergeCell ref="G43:H43"/>
    <mergeCell ref="G44:H44"/>
    <mergeCell ref="G45:H45"/>
    <mergeCell ref="G40:H40"/>
    <mergeCell ref="P40:V40"/>
    <mergeCell ref="C41:H41"/>
    <mergeCell ref="I41:L41"/>
    <mergeCell ref="M41:O41"/>
    <mergeCell ref="P41:T41"/>
    <mergeCell ref="P39:AK39"/>
    <mergeCell ref="G18:H18"/>
    <mergeCell ref="G19:H19"/>
    <mergeCell ref="G20:H20"/>
    <mergeCell ref="G21:H21"/>
    <mergeCell ref="G22:H22"/>
    <mergeCell ref="G23:H23"/>
    <mergeCell ref="G24:H24"/>
    <mergeCell ref="G25:H25"/>
    <mergeCell ref="G37:H37"/>
    <mergeCell ref="G38:H38"/>
    <mergeCell ref="G39:H39"/>
    <mergeCell ref="G17:H17"/>
    <mergeCell ref="G1:H1"/>
    <mergeCell ref="G2:H2"/>
    <mergeCell ref="T8:W8"/>
    <mergeCell ref="G9:H9"/>
    <mergeCell ref="G10:H10"/>
    <mergeCell ref="G11:H11"/>
    <mergeCell ref="G12:H12"/>
    <mergeCell ref="G13:H13"/>
    <mergeCell ref="G14:H14"/>
    <mergeCell ref="G15:H15"/>
    <mergeCell ref="G16:H1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5AE2DF946C474A99A4DBA4B11C3CFE" ma:contentTypeVersion="6" ma:contentTypeDescription="Create a new document." ma:contentTypeScope="" ma:versionID="c2970d57253d8b63d06d05c2fbb3ad8d">
  <xsd:schema xmlns:xsd="http://www.w3.org/2001/XMLSchema" xmlns:xs="http://www.w3.org/2001/XMLSchema" xmlns:p="http://schemas.microsoft.com/office/2006/metadata/properties" xmlns:ns2="ea7e7901-dc75-4e36-a6a7-6607a232f6a0" xmlns:ns3="260e82d8-9135-40c0-8a84-26105902d25c" targetNamespace="http://schemas.microsoft.com/office/2006/metadata/properties" ma:root="true" ma:fieldsID="9f4cf7e7ec10e08f1d8423df0bb19e70" ns2:_="" ns3:_="">
    <xsd:import namespace="ea7e7901-dc75-4e36-a6a7-6607a232f6a0"/>
    <xsd:import namespace="260e82d8-9135-40c0-8a84-26105902d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e7901-dc75-4e36-a6a7-6607a232f6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e82d8-9135-40c0-8a84-26105902d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60e82d8-9135-40c0-8a84-26105902d25c">
      <UserInfo>
        <DisplayName>Patrick M Unks</DisplayName>
        <AccountId>162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49FEBB-08D3-49F7-8A19-BE7C5BF0C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7e7901-dc75-4e36-a6a7-6607a232f6a0"/>
    <ds:schemaRef ds:uri="260e82d8-9135-40c0-8a84-26105902d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C8AA74-0DC6-4356-9F08-BC6429F14673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60e82d8-9135-40c0-8a84-26105902d25c"/>
    <ds:schemaRef ds:uri="http://purl.org/dc/terms/"/>
    <ds:schemaRef ds:uri="ea7e7901-dc75-4e36-a6a7-6607a232f6a0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DDFECCA-4DE4-4A04-AD17-7601F14CE1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High Level Calcualtion Flow</vt:lpstr>
      <vt:lpstr>Data_Input</vt:lpstr>
      <vt:lpstr>IR</vt:lpstr>
      <vt:lpstr>IR AddOn</vt:lpstr>
      <vt:lpstr>CoB</vt:lpstr>
      <vt:lpstr>Hedging_Set</vt:lpstr>
      <vt:lpstr>Mi</vt:lpstr>
    </vt:vector>
  </TitlesOfParts>
  <Manager/>
  <Company>Credit Suisse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D'Agostini, Evan (CRJA 1)</dc:creator>
  <cp:keywords/>
  <dc:description/>
  <cp:lastModifiedBy>Qingji Yang</cp:lastModifiedBy>
  <cp:revision/>
  <dcterms:created xsi:type="dcterms:W3CDTF">2010-04-23T11:17:44Z</dcterms:created>
  <dcterms:modified xsi:type="dcterms:W3CDTF">2024-11-22T21:38:21Z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{A44787D4-0540-4523-9961-78E4036D8C6D}">
    <vt:lpwstr>{759A260F-62C1-43A4-A60E-FD53C51C2E9F}</vt:lpwstr>
  </property>
  <property fmtid="{D5CDD505-2E9C-101B-9397-08002B2CF9AE}" pid="4" name="ContentTypeId">
    <vt:lpwstr>0x010100875AE2DF946C474A99A4DBA4B11C3CFE</vt:lpwstr>
  </property>
</Properties>
</file>