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69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27" i="1" l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G27" i="1" l="1"/>
  <c r="L27" i="1"/>
  <c r="I27" i="1"/>
  <c r="H27" i="1"/>
  <c r="F27" i="1"/>
  <c r="E27" i="1"/>
  <c r="D27" i="1"/>
  <c r="C27" i="1"/>
  <c r="B27" i="1"/>
  <c r="G26" i="1"/>
  <c r="L26" i="1"/>
  <c r="I26" i="1"/>
  <c r="H26" i="1"/>
  <c r="F26" i="1"/>
  <c r="E26" i="1"/>
  <c r="D26" i="1"/>
  <c r="C26" i="1"/>
  <c r="B26" i="1"/>
  <c r="G25" i="1"/>
  <c r="L25" i="1"/>
  <c r="I25" i="1"/>
  <c r="H25" i="1"/>
  <c r="F25" i="1"/>
  <c r="E25" i="1"/>
  <c r="D25" i="1"/>
  <c r="C25" i="1"/>
  <c r="B25" i="1"/>
  <c r="G24" i="1"/>
  <c r="L24" i="1"/>
  <c r="I24" i="1"/>
  <c r="H24" i="1"/>
  <c r="F24" i="1"/>
  <c r="E24" i="1"/>
  <c r="D24" i="1"/>
  <c r="C24" i="1"/>
  <c r="B24" i="1"/>
  <c r="G23" i="1"/>
  <c r="L23" i="1"/>
  <c r="I23" i="1"/>
  <c r="H23" i="1"/>
  <c r="F23" i="1"/>
  <c r="E23" i="1"/>
  <c r="D23" i="1"/>
  <c r="C23" i="1"/>
  <c r="B23" i="1"/>
  <c r="G22" i="1"/>
  <c r="F22" i="1"/>
  <c r="E22" i="1"/>
  <c r="D22" i="1"/>
  <c r="C22" i="1"/>
  <c r="B22" i="1"/>
  <c r="G21" i="1"/>
  <c r="L21" i="1"/>
  <c r="I21" i="1"/>
  <c r="F21" i="1"/>
  <c r="E21" i="1"/>
  <c r="D21" i="1"/>
  <c r="B21" i="1"/>
  <c r="G20" i="1"/>
  <c r="L20" i="1"/>
  <c r="I20" i="1"/>
  <c r="H20" i="1"/>
  <c r="F20" i="1"/>
  <c r="E20" i="1"/>
  <c r="D20" i="1"/>
  <c r="C20" i="1"/>
  <c r="B20" i="1"/>
  <c r="G19" i="1"/>
  <c r="L19" i="1"/>
  <c r="I19" i="1"/>
  <c r="H19" i="1"/>
  <c r="F19" i="1"/>
  <c r="E19" i="1"/>
  <c r="D19" i="1"/>
  <c r="C19" i="1"/>
  <c r="B19" i="1"/>
  <c r="L18" i="1"/>
  <c r="G18" i="1"/>
  <c r="F18" i="1"/>
  <c r="E18" i="1"/>
  <c r="D18" i="1"/>
  <c r="C18" i="1"/>
  <c r="B18" i="1"/>
  <c r="L17" i="1"/>
  <c r="G17" i="1"/>
  <c r="F17" i="1"/>
  <c r="E17" i="1"/>
  <c r="D17" i="1"/>
  <c r="C17" i="1"/>
  <c r="B17" i="1"/>
  <c r="G16" i="1"/>
  <c r="I16" i="1"/>
  <c r="H16" i="1"/>
  <c r="F16" i="1"/>
  <c r="E16" i="1"/>
  <c r="D16" i="1"/>
  <c r="C16" i="1"/>
  <c r="B16" i="1"/>
  <c r="H15" i="1"/>
  <c r="F15" i="1"/>
  <c r="E15" i="1"/>
  <c r="D15" i="1"/>
  <c r="C15" i="1"/>
  <c r="B15" i="1"/>
  <c r="H14" i="1"/>
  <c r="E14" i="1"/>
  <c r="D14" i="1"/>
  <c r="C14" i="1"/>
  <c r="B14" i="1"/>
  <c r="H13" i="1"/>
  <c r="F13" i="1"/>
  <c r="E13" i="1"/>
  <c r="C13" i="1"/>
  <c r="B13" i="1"/>
  <c r="F12" i="1"/>
  <c r="E12" i="1"/>
  <c r="D12" i="1"/>
  <c r="C12" i="1"/>
  <c r="B12" i="1"/>
  <c r="D2" i="1"/>
  <c r="C11" i="1"/>
  <c r="C10" i="1"/>
  <c r="C9" i="1"/>
  <c r="C7" i="1"/>
  <c r="C8" i="1"/>
  <c r="C6" i="1"/>
  <c r="C5" i="1"/>
  <c r="C4" i="1"/>
  <c r="C3" i="1"/>
  <c r="C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<sst xmlns="http://schemas.openxmlformats.org/spreadsheetml/2006/main" count="43" uniqueCount="43">
  <si>
    <t>player</t>
  </si>
  <si>
    <t>Rafael Nadal</t>
  </si>
  <si>
    <t>Hard Court (Past year)</t>
  </si>
  <si>
    <t>Clay Court (Past year)</t>
  </si>
  <si>
    <t>vs Top 10 Rank (Last 50)</t>
  </si>
  <si>
    <t>vs Top 10 Rank (Last 10)</t>
  </si>
  <si>
    <t>vs Left Handers (Last 10)</t>
  </si>
  <si>
    <t>Service Points Won (Past year)</t>
  </si>
  <si>
    <t>Return Points Won (Past year)</t>
  </si>
  <si>
    <t>Current Ranking</t>
  </si>
  <si>
    <t>vs Higher Rank (Last 10)</t>
  </si>
  <si>
    <t>First Serve Speed</t>
  </si>
  <si>
    <t>Average Net Approaches</t>
  </si>
  <si>
    <t>Kei Nishikori</t>
  </si>
  <si>
    <t>Andy Murray</t>
  </si>
  <si>
    <t>John Isner</t>
  </si>
  <si>
    <t>Roger Federer</t>
  </si>
  <si>
    <t>Novak Djokovic</t>
  </si>
  <si>
    <t>vs Top 20 Rank (Last 10)</t>
  </si>
  <si>
    <t>vs Big Servers (Last 10)</t>
  </si>
  <si>
    <t>Grass (Past year) or Last 10 if unavailable</t>
  </si>
  <si>
    <t>Age</t>
  </si>
  <si>
    <t>Height</t>
  </si>
  <si>
    <t>Stanislas Wawrinka</t>
  </si>
  <si>
    <t>David Ferrer</t>
  </si>
  <si>
    <t>Tomas Berdych</t>
  </si>
  <si>
    <t>Juan Martin del Potro</t>
  </si>
  <si>
    <t>Milos Raonic</t>
  </si>
  <si>
    <t>Grigor Dimitrov</t>
  </si>
  <si>
    <t>Richard Gasquet</t>
  </si>
  <si>
    <t>Jo-Wilfried Tsonga</t>
  </si>
  <si>
    <t>Mikhail Youzhny</t>
  </si>
  <si>
    <t>Tommy Haas</t>
  </si>
  <si>
    <t>Tommy Robredo</t>
  </si>
  <si>
    <t>Jeremy Chardy</t>
  </si>
  <si>
    <t>Gael Monfils</t>
  </si>
  <si>
    <t>Andreas Seppi</t>
  </si>
  <si>
    <t>Marin Cilic</t>
  </si>
  <si>
    <t>Ernests Gulbis</t>
  </si>
  <si>
    <t>Kevin Anderson</t>
  </si>
  <si>
    <t>Nicolas Almagro</t>
  </si>
  <si>
    <t>Fernando Verdasco</t>
  </si>
  <si>
    <t>Lleyton Hewitt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</si>
</sst>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zoomScale="70" zoomScaleNormal="70" workbookViewId="0">
      <selection activeCell="D1" sqref="D1"/>
    </sheetView>
  </sheetViews>
  <sheetFormatPr defaultRowHeight="15" x14ac:dyDescent="0.25"/>
  <cols>
    <col min="1" max="1" width="16.7109375" customWidth="1"/>
    <col min="2" max="2" width="19.85546875" customWidth="1"/>
    <col min="3" max="3" width="20.7109375" customWidth="1"/>
    <col min="4" max="4" width="13.5703125" customWidth="1"/>
    <col min="5" max="5" width="21.42578125" customWidth="1"/>
    <col min="6" max="6" width="22.28515625" customWidth="1"/>
    <col min="7" max="7" width="23.5703125" customWidth="1"/>
    <col min="8" max="8" width="25.42578125" customWidth="1"/>
    <col min="9" max="9" width="21.42578125" customWidth="1"/>
    <col min="10" max="10" width="28.85546875" customWidth="1"/>
    <col min="11" max="11" width="27.7109375" customWidth="1"/>
    <col min="12" max="12" width="22.140625" customWidth="1"/>
    <col min="13" max="13" width="18" customWidth="1"/>
    <col min="14" max="14" width="26" customWidth="1"/>
    <col min="15" max="15" width="17.28515625" customWidth="1"/>
  </cols>
  <sheetData>
    <row r="1" spans="1:17" x14ac:dyDescent="0.25">
      <c r="A1" s="1" t="s">
        <v>0</v>
      </c>
      <c r="B1" s="1" t="s">
        <v>2</v>
      </c>
      <c r="C1" s="1" t="s">
        <v>3</v>
      </c>
      <c r="D1" s="1" t="s">
        <v>20</v>
      </c>
      <c r="E1" s="1" t="s">
        <v>4</v>
      </c>
      <c r="F1" s="1" t="s">
        <v>5</v>
      </c>
      <c r="G1" s="1" t="s">
        <v>18</v>
      </c>
      <c r="H1" s="1" t="s">
        <v>6</v>
      </c>
      <c r="I1" s="1" t="s">
        <v>19</v>
      </c>
      <c r="J1" s="1" t="s">
        <v>7</v>
      </c>
      <c r="K1" s="1" t="s">
        <v>8</v>
      </c>
      <c r="L1" s="1" t="s">
        <v>10</v>
      </c>
      <c r="M1" s="1" t="s">
        <v>11</v>
      </c>
      <c r="N1" s="1" t="s">
        <v>12</v>
      </c>
      <c r="O1" s="1" t="s">
        <v>9</v>
      </c>
      <c r="P1" s="1" t="s">
        <v>21</v>
      </c>
      <c r="Q1" s="1" t="s">
        <v>22</v>
      </c>
    </row>
    <row r="2" spans="1:17" x14ac:dyDescent="0.25">
      <c r="A2" s="1" t="s">
        <v>1</v>
      </c>
      <c r="B2" s="2">
        <f>42/48</f>
        <v>0.875</v>
      </c>
      <c r="C2" s="2">
        <f>26/29</f>
        <v>0.89655172413793105</v>
      </c>
      <c r="D2" s="2">
        <f>6/10</f>
        <v>0.6</v>
      </c>
      <c r="E2" s="2">
        <v>0.76</v>
      </c>
      <c r="F2" s="2">
        <v>0.5</v>
      </c>
      <c r="G2" s="2">
        <v>0.6</v>
      </c>
      <c r="H2" s="2">
        <v>0.8</v>
      </c>
      <c r="I2" s="2">
        <v>0.8</v>
      </c>
      <c r="J2" s="2">
        <v>0.67200000000000004</v>
      </c>
      <c r="K2" s="2">
        <v>0.42599999999999999</v>
      </c>
      <c r="L2" s="2">
        <v>0.8</v>
      </c>
      <c r="M2" s="2">
        <f>5.5/(202.8-170.1)</f>
        <v>0.16819571865443417</v>
      </c>
      <c r="N2" s="2">
        <v>0.55642023346303504</v>
      </c>
      <c r="O2">
        <v>0</v>
      </c>
      <c r="P2">
        <f>4/(36-23)</f>
        <v>0.30769230769230771</v>
      </c>
      <c r="Q2">
        <f>10/(206-175)</f>
        <v>0.32258064516129031</v>
      </c>
    </row>
    <row r="3" spans="1:17" x14ac:dyDescent="0.25">
      <c r="A3" s="1" t="s">
        <v>13</v>
      </c>
      <c r="B3" s="2">
        <f>20/32</f>
        <v>0.625</v>
      </c>
      <c r="C3" s="2">
        <f>13/15</f>
        <v>0.8666666666666667</v>
      </c>
      <c r="D3" s="2">
        <v>0.5</v>
      </c>
      <c r="E3" s="2">
        <v>0.35714285714285715</v>
      </c>
      <c r="F3" s="2">
        <v>0.5</v>
      </c>
      <c r="G3" s="2">
        <v>0.6</v>
      </c>
      <c r="H3" s="2">
        <v>0.6</v>
      </c>
      <c r="I3" s="2">
        <v>0.9</v>
      </c>
      <c r="J3" s="2">
        <v>0.63100000000000001</v>
      </c>
      <c r="K3" s="2">
        <v>0.42</v>
      </c>
      <c r="L3" s="2">
        <v>0.8</v>
      </c>
      <c r="M3" s="2">
        <f>0/(202.8-170.1)</f>
        <v>0</v>
      </c>
      <c r="N3" s="2">
        <v>0.42023346303501952</v>
      </c>
      <c r="O3">
        <v>0.20930232558139536</v>
      </c>
      <c r="P3">
        <f>1/(36-23)</f>
        <v>7.6923076923076927E-2</v>
      </c>
      <c r="Q3">
        <f>3/(206-175)</f>
        <v>9.6774193548387094E-2</v>
      </c>
    </row>
    <row r="4" spans="1:17" x14ac:dyDescent="0.25">
      <c r="A4" s="1" t="s">
        <v>14</v>
      </c>
      <c r="B4" s="2">
        <f>21/31</f>
        <v>0.67741935483870963</v>
      </c>
      <c r="C4" s="2">
        <f>8/11</f>
        <v>0.72727272727272729</v>
      </c>
      <c r="D4" s="2">
        <v>1</v>
      </c>
      <c r="E4" s="2">
        <v>0.5</v>
      </c>
      <c r="F4" s="2">
        <v>0.3</v>
      </c>
      <c r="G4" s="2">
        <v>0.2</v>
      </c>
      <c r="H4" s="2">
        <v>0.9</v>
      </c>
      <c r="I4" s="2">
        <v>0.7</v>
      </c>
      <c r="J4" s="2">
        <v>0.66100000000000003</v>
      </c>
      <c r="K4" s="2">
        <v>0.41299999999999998</v>
      </c>
      <c r="L4" s="2">
        <v>0.4</v>
      </c>
      <c r="M4" s="2">
        <f>10.3/(202.8-170.1)</f>
        <v>0.31498470948012253</v>
      </c>
      <c r="N4" s="2">
        <v>0.54863813229571989</v>
      </c>
      <c r="O4">
        <v>0.16279069767441862</v>
      </c>
      <c r="P4">
        <f>4/(36-23)</f>
        <v>0.30769230769230771</v>
      </c>
      <c r="Q4">
        <f>15/(206-175)</f>
        <v>0.4838709677419355</v>
      </c>
    </row>
    <row r="5" spans="1:17" x14ac:dyDescent="0.25">
      <c r="A5" s="1" t="s">
        <v>15</v>
      </c>
      <c r="B5" s="2">
        <f>32/44</f>
        <v>0.72727272727272729</v>
      </c>
      <c r="C5" s="2">
        <f>5/9</f>
        <v>0.55555555555555558</v>
      </c>
      <c r="D5" s="2">
        <v>0.5714285714285714</v>
      </c>
      <c r="E5" s="2">
        <v>0.2978723404255319</v>
      </c>
      <c r="F5" s="2">
        <v>0.3</v>
      </c>
      <c r="G5" s="2">
        <v>0.3</v>
      </c>
      <c r="H5" s="2">
        <v>0.5</v>
      </c>
      <c r="I5" s="2">
        <v>0.5</v>
      </c>
      <c r="J5" s="2">
        <v>0.71900000000000008</v>
      </c>
      <c r="K5" s="2">
        <v>0.317</v>
      </c>
      <c r="L5" s="2">
        <v>0.7</v>
      </c>
      <c r="M5" s="2">
        <f>28.5/(202.8-170.1)</f>
        <v>0.87155963302752248</v>
      </c>
      <c r="N5" s="2">
        <v>0.70038910505836582</v>
      </c>
      <c r="O5">
        <v>0.23255813953488372</v>
      </c>
      <c r="P5">
        <f>6/(36-23)</f>
        <v>0.46153846153846156</v>
      </c>
      <c r="Q5">
        <f>31/(206-175)</f>
        <v>1</v>
      </c>
    </row>
    <row r="6" spans="1:17" x14ac:dyDescent="0.25">
      <c r="A6" s="1" t="s">
        <v>16</v>
      </c>
      <c r="B6" s="2">
        <f>27/34</f>
        <v>0.79411764705882348</v>
      </c>
      <c r="C6" s="2">
        <f>11/16</f>
        <v>0.6875</v>
      </c>
      <c r="D6" s="2">
        <v>0.83333333333333337</v>
      </c>
      <c r="E6" s="2">
        <v>0.52</v>
      </c>
      <c r="F6" s="2">
        <v>0.6</v>
      </c>
      <c r="G6" s="2">
        <v>0.7</v>
      </c>
      <c r="H6" s="2">
        <v>0.5</v>
      </c>
      <c r="I6" s="2">
        <v>0.8</v>
      </c>
      <c r="J6" s="2">
        <v>0.69200000000000006</v>
      </c>
      <c r="K6" s="2">
        <v>0.40500000000000003</v>
      </c>
      <c r="L6" s="2">
        <v>0.5</v>
      </c>
      <c r="M6" s="2">
        <f>12.7/(202.8-170.1)</f>
        <v>0.38837920489296668</v>
      </c>
      <c r="N6" s="2">
        <v>1</v>
      </c>
      <c r="O6">
        <v>6.9767441860465115E-2</v>
      </c>
      <c r="P6">
        <f>9/(36-23)</f>
        <v>0.69230769230769229</v>
      </c>
      <c r="Q6">
        <f>10/(206-175)</f>
        <v>0.32258064516129031</v>
      </c>
    </row>
    <row r="7" spans="1:17" x14ac:dyDescent="0.25">
      <c r="A7" s="1" t="s">
        <v>17</v>
      </c>
      <c r="B7" s="2">
        <f>43/48</f>
        <v>0.89583333333333337</v>
      </c>
      <c r="C7" s="2">
        <f>15/17</f>
        <v>0.88235294117647056</v>
      </c>
      <c r="D7" s="2">
        <v>0.8571428571428571</v>
      </c>
      <c r="E7" s="2">
        <v>0.82</v>
      </c>
      <c r="F7" s="2">
        <v>0.7</v>
      </c>
      <c r="G7" s="2">
        <v>0.8</v>
      </c>
      <c r="H7" s="2">
        <v>0.7</v>
      </c>
      <c r="I7" s="2">
        <v>0.9</v>
      </c>
      <c r="J7" s="2">
        <v>0.69900000000000007</v>
      </c>
      <c r="K7" s="2">
        <v>0.42499999999999999</v>
      </c>
      <c r="L7" s="2">
        <v>0.9</v>
      </c>
      <c r="M7" s="2">
        <f>12/(202.8-170.1)</f>
        <v>0.36697247706421998</v>
      </c>
      <c r="N7" s="2">
        <v>0.73151750972762652</v>
      </c>
      <c r="O7">
        <v>2.3255813953488372E-2</v>
      </c>
      <c r="P7">
        <f>4/(36-23)</f>
        <v>0.30769230769230771</v>
      </c>
      <c r="Q7">
        <f>13/(206-175)</f>
        <v>0.41935483870967744</v>
      </c>
    </row>
    <row r="8" spans="1:17" x14ac:dyDescent="0.25">
      <c r="A8" s="1" t="s">
        <v>23</v>
      </c>
      <c r="B8" s="2">
        <f>24/34</f>
        <v>0.70588235294117652</v>
      </c>
      <c r="C8" s="2">
        <f>11/15</f>
        <v>0.73333333333333328</v>
      </c>
      <c r="D8" s="2">
        <v>0.66666666666666663</v>
      </c>
      <c r="E8" s="2">
        <v>0.36</v>
      </c>
      <c r="F8" s="2">
        <v>0.6</v>
      </c>
      <c r="G8" s="2">
        <v>0.8</v>
      </c>
      <c r="H8" s="2">
        <v>0.5</v>
      </c>
      <c r="I8" s="2">
        <v>0.8</v>
      </c>
      <c r="J8" s="2">
        <v>0.66799999999999993</v>
      </c>
      <c r="K8" s="2">
        <v>0.377</v>
      </c>
      <c r="L8" s="2">
        <v>0.5</v>
      </c>
      <c r="M8" s="2">
        <f>16.4/(202.8-170.1)</f>
        <v>0.50152905198776754</v>
      </c>
      <c r="N8" s="2">
        <v>0.73540856031128399</v>
      </c>
      <c r="O8">
        <v>4.6511627906976744E-2</v>
      </c>
      <c r="P8">
        <f>6/(36-23)</f>
        <v>0.46153846153846156</v>
      </c>
      <c r="Q8">
        <f>8/(206-175)</f>
        <v>0.25806451612903225</v>
      </c>
    </row>
    <row r="9" spans="1:17" x14ac:dyDescent="0.25">
      <c r="A9" s="1" t="s">
        <v>24</v>
      </c>
      <c r="B9" s="2">
        <f>21/32</f>
        <v>0.65625</v>
      </c>
      <c r="C9" s="2">
        <f>22/28</f>
        <v>0.7857142857142857</v>
      </c>
      <c r="D9" s="2">
        <v>0.66666666666666663</v>
      </c>
      <c r="E9" s="2">
        <v>0.4</v>
      </c>
      <c r="F9" s="2">
        <v>0.4</v>
      </c>
      <c r="G9" s="2">
        <v>0.7</v>
      </c>
      <c r="H9" s="2">
        <v>0.9</v>
      </c>
      <c r="I9" s="2">
        <v>0.8</v>
      </c>
      <c r="J9" s="2">
        <v>0.63800000000000001</v>
      </c>
      <c r="K9" s="2">
        <v>0.42799999999999999</v>
      </c>
      <c r="L9" s="2">
        <v>0.4</v>
      </c>
      <c r="M9" s="2">
        <f>7/(202.8-170.1)</f>
        <v>0.21406727828746167</v>
      </c>
      <c r="N9" s="2">
        <v>0.74319066147859925</v>
      </c>
      <c r="O9">
        <v>9.3023255813953487E-2</v>
      </c>
      <c r="P9">
        <f>9/(36-23)</f>
        <v>0.69230769230769229</v>
      </c>
      <c r="Q9">
        <f>0/(206-175)</f>
        <v>0</v>
      </c>
    </row>
    <row r="10" spans="1:17" x14ac:dyDescent="0.25">
      <c r="A10" s="1" t="s">
        <v>25</v>
      </c>
      <c r="B10" s="2">
        <f>26/37</f>
        <v>0.70270270270270274</v>
      </c>
      <c r="C10" s="2">
        <f>8/14</f>
        <v>0.5714285714285714</v>
      </c>
      <c r="D10" s="2">
        <v>0.75</v>
      </c>
      <c r="E10" s="2">
        <v>0.34</v>
      </c>
      <c r="F10" s="2">
        <v>0.4</v>
      </c>
      <c r="G10" s="2">
        <v>0.5</v>
      </c>
      <c r="H10" s="2">
        <v>0.5</v>
      </c>
      <c r="I10" s="2">
        <v>0.9</v>
      </c>
      <c r="J10" s="2">
        <v>0.68099999999999994</v>
      </c>
      <c r="K10" s="2">
        <v>0.39</v>
      </c>
      <c r="L10" s="2">
        <v>0.3</v>
      </c>
      <c r="M10" s="2">
        <f>22.9/(202.8-170.1)</f>
        <v>0.70030581039755335</v>
      </c>
      <c r="N10" s="2">
        <v>0.69260700389105068</v>
      </c>
      <c r="O10">
        <v>0.11627906976744186</v>
      </c>
      <c r="P10">
        <f>5/(36-23)</f>
        <v>0.38461538461538464</v>
      </c>
      <c r="Q10">
        <f>21/(206-175)</f>
        <v>0.67741935483870963</v>
      </c>
    </row>
    <row r="11" spans="1:17" x14ac:dyDescent="0.25">
      <c r="A11" s="1" t="s">
        <v>26</v>
      </c>
      <c r="B11" s="2">
        <f>24/30</f>
        <v>0.8</v>
      </c>
      <c r="C11" s="2">
        <f>7/10</f>
        <v>0.7</v>
      </c>
      <c r="D11" s="2">
        <v>0.77777777777777779</v>
      </c>
      <c r="E11" s="2">
        <v>0.36</v>
      </c>
      <c r="F11" s="2">
        <v>0.4</v>
      </c>
      <c r="G11" s="2">
        <v>0.6</v>
      </c>
      <c r="H11" s="2">
        <v>0.7</v>
      </c>
      <c r="I11" s="2">
        <v>1</v>
      </c>
      <c r="J11" s="2">
        <v>0.67900000000000005</v>
      </c>
      <c r="K11" s="2">
        <v>0.37200000000000005</v>
      </c>
      <c r="L11" s="2">
        <v>0.4</v>
      </c>
      <c r="M11" s="2">
        <f>20.65/(202.8-170.1)</f>
        <v>0.63149847094801204</v>
      </c>
      <c r="N11" s="2">
        <v>0.78988326848249035</v>
      </c>
      <c r="O11">
        <v>0.13953488372093023</v>
      </c>
      <c r="P11">
        <f>2/(36-23)</f>
        <v>0.15384615384615385</v>
      </c>
      <c r="Q11">
        <f>23/(206-175)</f>
        <v>0.74193548387096775</v>
      </c>
    </row>
    <row r="12" spans="1:17" x14ac:dyDescent="0.25">
      <c r="A12" s="1" t="s">
        <v>27</v>
      </c>
      <c r="B12" s="2">
        <f>27/38</f>
        <v>0.71052631578947367</v>
      </c>
      <c r="C12" s="2">
        <f>10/16</f>
        <v>0.625</v>
      </c>
      <c r="D12" s="2">
        <f>4/10</f>
        <v>0.4</v>
      </c>
      <c r="E12" s="2">
        <f>14/42</f>
        <v>0.33333333333333331</v>
      </c>
      <c r="F12" s="2">
        <f>3/10</f>
        <v>0.3</v>
      </c>
      <c r="G12" s="2">
        <v>0.3</v>
      </c>
      <c r="H12" s="2">
        <v>0.5</v>
      </c>
      <c r="I12" s="2">
        <v>0.8</v>
      </c>
      <c r="J12" s="2">
        <v>0.70900000000000007</v>
      </c>
      <c r="K12" s="2">
        <v>0.33799999999999997</v>
      </c>
      <c r="L12" s="2">
        <v>0.3</v>
      </c>
      <c r="M12" s="2">
        <f>28.4/(202.8-170.1)</f>
        <v>0.86850152905198752</v>
      </c>
      <c r="N12" s="2">
        <v>0.97276264591439687</v>
      </c>
      <c r="O12">
        <v>0.18604651162790697</v>
      </c>
      <c r="P12">
        <f>0/(36-23)</f>
        <v>0</v>
      </c>
      <c r="Q12">
        <f>21/(206-175)</f>
        <v>0.67741935483870963</v>
      </c>
    </row>
    <row r="13" spans="1:17" x14ac:dyDescent="0.25">
      <c r="A13" s="1" t="s">
        <v>28</v>
      </c>
      <c r="B13" s="2">
        <f>16/28</f>
        <v>0.5714285714285714</v>
      </c>
      <c r="C13" s="2">
        <f>17/22</f>
        <v>0.77272727272727271</v>
      </c>
      <c r="D13" s="2">
        <v>0.5</v>
      </c>
      <c r="E13" s="2">
        <f>7/36</f>
        <v>0.19444444444444445</v>
      </c>
      <c r="F13" s="2">
        <f>3/10</f>
        <v>0.3</v>
      </c>
      <c r="G13" s="2">
        <v>0.5</v>
      </c>
      <c r="H13" s="2">
        <f>0.5</f>
        <v>0.5</v>
      </c>
      <c r="I13" s="2">
        <v>0.9</v>
      </c>
      <c r="J13" s="2">
        <v>0.67700000000000005</v>
      </c>
      <c r="K13" s="2">
        <v>0.373</v>
      </c>
      <c r="L13" s="2">
        <v>0.5</v>
      </c>
      <c r="M13" s="2">
        <f>20.8/(202.8-170.1)</f>
        <v>0.63608562691131498</v>
      </c>
      <c r="N13" s="2">
        <v>0.66147859922178986</v>
      </c>
      <c r="O13">
        <v>0.2558139534883721</v>
      </c>
      <c r="P13">
        <f>0/(36-23)</f>
        <v>0</v>
      </c>
      <c r="Q13">
        <f>15/(206-175)</f>
        <v>0.4838709677419355</v>
      </c>
    </row>
    <row r="14" spans="1:17" x14ac:dyDescent="0.25">
      <c r="A14" s="1" t="s">
        <v>29</v>
      </c>
      <c r="B14" s="2">
        <f>18/27</f>
        <v>0.66666666666666663</v>
      </c>
      <c r="C14" s="2">
        <f>4/6</f>
        <v>0.66666666666666663</v>
      </c>
      <c r="D14" s="2">
        <f>4/6</f>
        <v>0.66666666666666663</v>
      </c>
      <c r="E14" s="2">
        <f>12/50</f>
        <v>0.24</v>
      </c>
      <c r="F14" s="2">
        <v>0.2</v>
      </c>
      <c r="G14" s="2">
        <v>0.3</v>
      </c>
      <c r="H14" s="2">
        <f>0.5</f>
        <v>0.5</v>
      </c>
      <c r="I14" s="2">
        <v>0.7</v>
      </c>
      <c r="J14" s="2">
        <v>0.66099999999999992</v>
      </c>
      <c r="K14" s="2">
        <v>0.38100000000000001</v>
      </c>
      <c r="L14" s="2">
        <v>0.2</v>
      </c>
      <c r="M14" s="2">
        <f>8/(202.8-170.1)</f>
        <v>0.24464831804281334</v>
      </c>
      <c r="N14" s="2">
        <v>0.83268482490272366</v>
      </c>
      <c r="O14">
        <v>0.27906976744186046</v>
      </c>
      <c r="P14">
        <f>4/(36-23)</f>
        <v>0.30769230769230771</v>
      </c>
      <c r="Q14">
        <f>10/(206-175)</f>
        <v>0.32258064516129031</v>
      </c>
    </row>
    <row r="15" spans="1:17" x14ac:dyDescent="0.25">
      <c r="A15" s="1" t="s">
        <v>30</v>
      </c>
      <c r="B15" s="2">
        <f>41/61</f>
        <v>0.67213114754098358</v>
      </c>
      <c r="C15" s="2">
        <f>11/15</f>
        <v>0.73333333333333328</v>
      </c>
      <c r="D15" s="2">
        <f>4/6</f>
        <v>0.66666666666666663</v>
      </c>
      <c r="E15" s="2">
        <f>13/50</f>
        <v>0.26</v>
      </c>
      <c r="F15" s="2">
        <f>1/10</f>
        <v>0.1</v>
      </c>
      <c r="G15" s="2">
        <v>0.4</v>
      </c>
      <c r="H15" s="2">
        <f>8/10</f>
        <v>0.8</v>
      </c>
      <c r="I15" s="2">
        <v>0.7</v>
      </c>
      <c r="J15" s="2">
        <v>0.68099999999999994</v>
      </c>
      <c r="K15" s="2">
        <v>0.35399999999999998</v>
      </c>
      <c r="L15" s="2">
        <v>0.1</v>
      </c>
      <c r="M15" s="2">
        <f>17/(202.8-170.1)</f>
        <v>0.51987767584097833</v>
      </c>
      <c r="N15" s="2">
        <v>0.57587548638132302</v>
      </c>
      <c r="O15">
        <v>0.30232558139534882</v>
      </c>
      <c r="P15">
        <f>6/(36-23)</f>
        <v>0.46153846153846156</v>
      </c>
      <c r="Q15">
        <f>13/(206-175)</f>
        <v>0.41935483870967744</v>
      </c>
    </row>
    <row r="16" spans="1:17" x14ac:dyDescent="0.25">
      <c r="A16" s="1" t="s">
        <v>31</v>
      </c>
      <c r="B16" s="2">
        <f>10/18</f>
        <v>0.55555555555555558</v>
      </c>
      <c r="C16" s="2">
        <f>11/18</f>
        <v>0.61111111111111116</v>
      </c>
      <c r="D16" s="2">
        <f>7/9</f>
        <v>0.77777777777777779</v>
      </c>
      <c r="E16" s="2">
        <f>14/50</f>
        <v>0.28000000000000003</v>
      </c>
      <c r="F16" s="2">
        <f>2/10</f>
        <v>0.2</v>
      </c>
      <c r="G16" s="2">
        <f>2/10</f>
        <v>0.2</v>
      </c>
      <c r="H16" s="2">
        <f>3/10</f>
        <v>0.3</v>
      </c>
      <c r="I16" s="2">
        <f>7/10</f>
        <v>0.7</v>
      </c>
      <c r="J16" s="2">
        <v>0.63500000000000001</v>
      </c>
      <c r="K16" s="2">
        <v>0.38600000000000001</v>
      </c>
      <c r="L16" s="2">
        <v>0.3</v>
      </c>
      <c r="M16" s="2">
        <f>5.70000000000002/(202.8-170.1)</f>
        <v>0.17431192660550501</v>
      </c>
      <c r="N16" s="2">
        <v>0.52140077821011677</v>
      </c>
      <c r="O16">
        <v>0.34883720930232559</v>
      </c>
      <c r="P16">
        <f>8/(36-23)</f>
        <v>0.61538461538461542</v>
      </c>
      <c r="Q16">
        <f>8/(206-175)</f>
        <v>0.25806451612903225</v>
      </c>
    </row>
    <row r="17" spans="1:17" x14ac:dyDescent="0.25">
      <c r="A17" s="1" t="s">
        <v>32</v>
      </c>
      <c r="B17" s="2">
        <f>0.5652</f>
        <v>0.56520000000000004</v>
      </c>
      <c r="C17" s="2">
        <f>14/21</f>
        <v>0.66666666666666663</v>
      </c>
      <c r="D17" s="2">
        <f>5/7</f>
        <v>0.7142857142857143</v>
      </c>
      <c r="E17" s="2">
        <f>16/50</f>
        <v>0.32</v>
      </c>
      <c r="F17" s="2">
        <f>1/10</f>
        <v>0.1</v>
      </c>
      <c r="G17" s="2">
        <f>2/10</f>
        <v>0.2</v>
      </c>
      <c r="H17" s="2">
        <v>0.6</v>
      </c>
      <c r="I17" s="2">
        <v>0.6</v>
      </c>
      <c r="J17" s="2">
        <v>0.65599999999999992</v>
      </c>
      <c r="K17" s="2">
        <v>0.36899999999999999</v>
      </c>
      <c r="L17" s="2">
        <f>0.1</f>
        <v>0.1</v>
      </c>
      <c r="M17" s="2">
        <f>13/(202.8-170.1)</f>
        <v>0.39755351681957168</v>
      </c>
      <c r="N17" s="2">
        <v>0.53696498054474717</v>
      </c>
      <c r="O17">
        <v>0.37209302325581395</v>
      </c>
      <c r="P17">
        <f>13/(36-23)</f>
        <v>1</v>
      </c>
      <c r="Q17">
        <f>13/(206-175)</f>
        <v>0.41935483870967744</v>
      </c>
    </row>
    <row r="18" spans="1:17" x14ac:dyDescent="0.25">
      <c r="A18" s="1" t="s">
        <v>33</v>
      </c>
      <c r="B18" s="2">
        <f>14/22</f>
        <v>0.63636363636363635</v>
      </c>
      <c r="C18" s="2">
        <f>18/29</f>
        <v>0.62068965517241381</v>
      </c>
      <c r="D18" s="2">
        <f>2/3</f>
        <v>0.66666666666666663</v>
      </c>
      <c r="E18" s="2">
        <f>13/50</f>
        <v>0.26</v>
      </c>
      <c r="F18" s="2">
        <f>4/10</f>
        <v>0.4</v>
      </c>
      <c r="G18" s="2">
        <f>2/10</f>
        <v>0.2</v>
      </c>
      <c r="H18" s="2">
        <v>0.3</v>
      </c>
      <c r="I18" s="2">
        <v>0.6</v>
      </c>
      <c r="J18" s="2">
        <v>0.65</v>
      </c>
      <c r="K18" s="2">
        <v>0.38</v>
      </c>
      <c r="L18" s="2">
        <f>4/10</f>
        <v>0.4</v>
      </c>
      <c r="M18" s="2">
        <f>10.1/(202.8-170.1)</f>
        <v>0.30886850152905165</v>
      </c>
      <c r="N18" s="2">
        <v>0.50583657587548636</v>
      </c>
      <c r="O18">
        <v>0.39534883720930231</v>
      </c>
      <c r="P18">
        <f>9/(36-23)</f>
        <v>0.69230769230769229</v>
      </c>
      <c r="Q18">
        <f>5/(206-175)</f>
        <v>0.16129032258064516</v>
      </c>
    </row>
    <row r="19" spans="1:17" x14ac:dyDescent="0.25">
      <c r="A19" s="1" t="s">
        <v>34</v>
      </c>
      <c r="B19" s="2">
        <f>12/22</f>
        <v>0.54545454545454541</v>
      </c>
      <c r="C19" s="2">
        <f>11/21</f>
        <v>0.52380952380952384</v>
      </c>
      <c r="D19" s="2">
        <f>6/10</f>
        <v>0.6</v>
      </c>
      <c r="E19" s="2">
        <f>8/37</f>
        <v>0.21621621621621623</v>
      </c>
      <c r="F19" s="2">
        <f>1/10</f>
        <v>0.1</v>
      </c>
      <c r="G19" s="2">
        <f>1/10</f>
        <v>0.1</v>
      </c>
      <c r="H19" s="2">
        <f>4/10</f>
        <v>0.4</v>
      </c>
      <c r="I19" s="2">
        <f>3/10</f>
        <v>0.3</v>
      </c>
      <c r="J19" s="2">
        <v>0.65099999999999991</v>
      </c>
      <c r="K19" s="2">
        <v>0.35399999999999998</v>
      </c>
      <c r="L19" s="2">
        <f>0.3</f>
        <v>0.3</v>
      </c>
      <c r="M19" s="2">
        <f>24.2/(202.8-170.1)</f>
        <v>0.74006116207951089</v>
      </c>
      <c r="N19" s="2">
        <v>0.63424124513618685</v>
      </c>
      <c r="O19">
        <v>0.90697674418604646</v>
      </c>
      <c r="P19">
        <f>4/(36-23)</f>
        <v>0.30769230769230771</v>
      </c>
      <c r="Q19">
        <f>13/(206-175)</f>
        <v>0.41935483870967744</v>
      </c>
    </row>
    <row r="20" spans="1:17" x14ac:dyDescent="0.25">
      <c r="A20" s="1" t="s">
        <v>35</v>
      </c>
      <c r="B20" s="2">
        <f>15/23</f>
        <v>0.65217391304347827</v>
      </c>
      <c r="C20" s="2">
        <f>12/18</f>
        <v>0.66666666666666663</v>
      </c>
      <c r="D20" s="2">
        <f>7/10</f>
        <v>0.7</v>
      </c>
      <c r="E20" s="2">
        <f>15/50</f>
        <v>0.3</v>
      </c>
      <c r="F20" s="2">
        <f>4/10</f>
        <v>0.4</v>
      </c>
      <c r="G20" s="2">
        <f>0.3</f>
        <v>0.3</v>
      </c>
      <c r="H20" s="2">
        <f>7/10</f>
        <v>0.7</v>
      </c>
      <c r="I20" s="2">
        <f>8/10</f>
        <v>0.8</v>
      </c>
      <c r="J20" s="2">
        <v>0.65099999999999991</v>
      </c>
      <c r="K20" s="2">
        <v>0.39200000000000002</v>
      </c>
      <c r="L20" s="2">
        <f>3/10</f>
        <v>0.3</v>
      </c>
      <c r="M20" s="2">
        <f>10.8/(202.8-170.1)</f>
        <v>0.33027522935779835</v>
      </c>
      <c r="N20" s="2">
        <v>0.45914396887159536</v>
      </c>
      <c r="O20">
        <v>0.53488372093023251</v>
      </c>
      <c r="P20">
        <f>4/(36-23)</f>
        <v>0.30769230769230771</v>
      </c>
      <c r="Q20">
        <f>18/(206-175)</f>
        <v>0.58064516129032262</v>
      </c>
    </row>
    <row r="21" spans="1:17" x14ac:dyDescent="0.25">
      <c r="A21" s="1" t="s">
        <v>36</v>
      </c>
      <c r="B21" s="2">
        <f>4/10</f>
        <v>0.4</v>
      </c>
      <c r="C21" s="2">
        <v>0.5</v>
      </c>
      <c r="D21" s="2">
        <f>6/8</f>
        <v>0.75</v>
      </c>
      <c r="E21" s="2">
        <f>1/49</f>
        <v>2.0408163265306121E-2</v>
      </c>
      <c r="F21" s="2">
        <f>0</f>
        <v>0</v>
      </c>
      <c r="G21" s="2">
        <f>1/10</f>
        <v>0.1</v>
      </c>
      <c r="H21" s="2">
        <v>0.5</v>
      </c>
      <c r="I21" s="2">
        <f>2/10</f>
        <v>0.2</v>
      </c>
      <c r="J21" s="2">
        <v>0.60899999999999999</v>
      </c>
      <c r="K21" s="2">
        <v>0.38</v>
      </c>
      <c r="L21" s="2">
        <f>2/10</f>
        <v>0.2</v>
      </c>
      <c r="M21" s="2">
        <f>8/(202.8-170.1)</f>
        <v>0.24464831804281334</v>
      </c>
      <c r="N21" s="2">
        <v>0.52529182879377434</v>
      </c>
      <c r="O21">
        <v>0.7441860465116279</v>
      </c>
      <c r="P21">
        <f>7/(36-23)</f>
        <v>0.53846153846153844</v>
      </c>
      <c r="Q21">
        <f>15/(206-175)</f>
        <v>0.4838709677419355</v>
      </c>
    </row>
    <row r="22" spans="1:17" x14ac:dyDescent="0.25">
      <c r="A22" s="1" t="s">
        <v>37</v>
      </c>
      <c r="B22" s="2">
        <f>11/16</f>
        <v>0.6875</v>
      </c>
      <c r="C22" s="2">
        <f>8/13</f>
        <v>0.61538461538461542</v>
      </c>
      <c r="D22" s="2">
        <f>5/7</f>
        <v>0.7142857142857143</v>
      </c>
      <c r="E22" s="2">
        <f>13/50</f>
        <v>0.26</v>
      </c>
      <c r="F22" s="2">
        <f>3/10</f>
        <v>0.3</v>
      </c>
      <c r="G22" s="2">
        <f>1/2</f>
        <v>0.5</v>
      </c>
      <c r="H22" s="2">
        <v>0.8</v>
      </c>
      <c r="I22" s="2">
        <v>0.8</v>
      </c>
      <c r="J22" s="2">
        <v>0.67</v>
      </c>
      <c r="K22" s="2">
        <v>0.37799999999999995</v>
      </c>
      <c r="L22" s="2">
        <v>0.5</v>
      </c>
      <c r="M22" s="2">
        <f>16.7/(202.8-170.1)</f>
        <v>0.51070336391437332</v>
      </c>
      <c r="N22" s="2">
        <v>0.81712062256809337</v>
      </c>
      <c r="O22">
        <v>0.58139534883720934</v>
      </c>
      <c r="P22">
        <f>2/(36-23)</f>
        <v>0.15384615384615385</v>
      </c>
      <c r="Q22">
        <f>23/(206-175)</f>
        <v>0.74193548387096775</v>
      </c>
    </row>
    <row r="23" spans="1:17" x14ac:dyDescent="0.25">
      <c r="A23" s="1" t="s">
        <v>38</v>
      </c>
      <c r="B23" s="2">
        <f>11/19</f>
        <v>0.57894736842105265</v>
      </c>
      <c r="C23" s="2">
        <f>11/18</f>
        <v>0.61111111111111116</v>
      </c>
      <c r="D23" s="2">
        <f>3/5</f>
        <v>0.6</v>
      </c>
      <c r="E23" s="2">
        <f>13/50</f>
        <v>0.26</v>
      </c>
      <c r="F23" s="2">
        <f>5/10</f>
        <v>0.5</v>
      </c>
      <c r="G23" s="2">
        <f>5/10</f>
        <v>0.5</v>
      </c>
      <c r="H23" s="2">
        <f>0.6</f>
        <v>0.6</v>
      </c>
      <c r="I23" s="2">
        <f>7/10</f>
        <v>0.7</v>
      </c>
      <c r="J23" s="2">
        <v>0.65799999999999992</v>
      </c>
      <c r="K23" s="2">
        <v>0.37799999999999995</v>
      </c>
      <c r="L23" s="2">
        <f>4/10</f>
        <v>0.4</v>
      </c>
      <c r="M23" s="2">
        <f>32.7/(202.8-170.1)</f>
        <v>1</v>
      </c>
      <c r="N23" s="2">
        <v>0.42801556420233466</v>
      </c>
      <c r="O23">
        <v>0.41860465116279072</v>
      </c>
      <c r="P23">
        <f>2/(36-23)</f>
        <v>0.15384615384615385</v>
      </c>
      <c r="Q23">
        <f>15/(206-175)</f>
        <v>0.4838709677419355</v>
      </c>
    </row>
    <row r="24" spans="1:17" x14ac:dyDescent="0.25">
      <c r="A24" s="1" t="s">
        <v>39</v>
      </c>
      <c r="B24" s="2">
        <f>24/38</f>
        <v>0.63157894736842102</v>
      </c>
      <c r="C24" s="2">
        <f>5/10</f>
        <v>0.5</v>
      </c>
      <c r="D24" s="2">
        <f>2/4</f>
        <v>0.5</v>
      </c>
      <c r="E24" s="2">
        <f>5/38</f>
        <v>0.13157894736842105</v>
      </c>
      <c r="F24" s="2">
        <f>2/10</f>
        <v>0.2</v>
      </c>
      <c r="G24" s="2">
        <f>3/10</f>
        <v>0.3</v>
      </c>
      <c r="H24" s="2">
        <f>0.9</f>
        <v>0.9</v>
      </c>
      <c r="I24" s="2">
        <f>0.5</f>
        <v>0.5</v>
      </c>
      <c r="J24" s="2">
        <v>0.68500000000000005</v>
      </c>
      <c r="K24" s="2">
        <v>0.34100000000000003</v>
      </c>
      <c r="L24" s="2">
        <f>3/10</f>
        <v>0.3</v>
      </c>
      <c r="M24" s="2">
        <f>23.1/(202.8-170.1)</f>
        <v>0.70642201834862328</v>
      </c>
      <c r="N24" s="2">
        <v>0.50583657587548636</v>
      </c>
      <c r="O24">
        <v>0.44186046511627908</v>
      </c>
      <c r="P24">
        <f>5/(36-23)</f>
        <v>0.38461538461538464</v>
      </c>
      <c r="Q24">
        <f>28/(206-175)</f>
        <v>0.90322580645161288</v>
      </c>
    </row>
    <row r="25" spans="1:17" x14ac:dyDescent="0.25">
      <c r="A25" s="1" t="s">
        <v>40</v>
      </c>
      <c r="B25" s="2">
        <f>7/13</f>
        <v>0.53846153846153844</v>
      </c>
      <c r="C25" s="2">
        <f>21/32</f>
        <v>0.65625</v>
      </c>
      <c r="D25" s="2">
        <f>2/3</f>
        <v>0.66666666666666663</v>
      </c>
      <c r="E25" s="2">
        <f>11/50</f>
        <v>0.22</v>
      </c>
      <c r="F25" s="2">
        <f>2/10</f>
        <v>0.2</v>
      </c>
      <c r="G25" s="2">
        <f>2/10</f>
        <v>0.2</v>
      </c>
      <c r="H25" s="2">
        <f>5/10</f>
        <v>0.5</v>
      </c>
      <c r="I25" s="2">
        <f>6/10</f>
        <v>0.6</v>
      </c>
      <c r="J25" s="2">
        <v>0.66900000000000004</v>
      </c>
      <c r="K25" s="2">
        <v>0.373</v>
      </c>
      <c r="L25" s="2">
        <f>2/10</f>
        <v>0.2</v>
      </c>
      <c r="M25" s="2">
        <f>25.4/(202.8-170.1)</f>
        <v>0.77675840978593247</v>
      </c>
      <c r="N25" s="2">
        <v>0</v>
      </c>
      <c r="O25">
        <v>0.48837209302325579</v>
      </c>
      <c r="P25">
        <f>5/(36-23)</f>
        <v>0.38461538461538464</v>
      </c>
      <c r="Q25">
        <f>8/(206-175)</f>
        <v>0.25806451612903225</v>
      </c>
    </row>
    <row r="26" spans="1:17" x14ac:dyDescent="0.25">
      <c r="A26" s="1" t="s">
        <v>41</v>
      </c>
      <c r="B26" s="2">
        <f>10/19</f>
        <v>0.52631578947368418</v>
      </c>
      <c r="C26" s="2">
        <f>16/23</f>
        <v>0.69565217391304346</v>
      </c>
      <c r="D26" s="2">
        <f>6/8</f>
        <v>0.75</v>
      </c>
      <c r="E26" s="2">
        <f>11/50</f>
        <v>0.22</v>
      </c>
      <c r="F26" s="2">
        <f>1/10</f>
        <v>0.1</v>
      </c>
      <c r="G26" s="2">
        <f>2/10</f>
        <v>0.2</v>
      </c>
      <c r="H26" s="2">
        <f>8/10</f>
        <v>0.8</v>
      </c>
      <c r="I26" s="2">
        <f>6/10</f>
        <v>0.6</v>
      </c>
      <c r="J26" s="2">
        <v>0.65900000000000003</v>
      </c>
      <c r="K26" s="2">
        <v>0.379</v>
      </c>
      <c r="L26" s="2">
        <f>0.4</f>
        <v>0.4</v>
      </c>
      <c r="M26" s="2">
        <f>14.8/(202.8-170.1)</f>
        <v>0.45259938837920499</v>
      </c>
      <c r="N26" s="2">
        <v>0.47859922178988329</v>
      </c>
      <c r="O26">
        <v>0.55813953488372092</v>
      </c>
      <c r="P26">
        <f>7/(36-23)</f>
        <v>0.53846153846153844</v>
      </c>
      <c r="Q26">
        <f>13/(206-175)</f>
        <v>0.41935483870967744</v>
      </c>
    </row>
    <row r="27" spans="1:17" x14ac:dyDescent="0.25">
      <c r="A27" s="1" t="s">
        <v>42</v>
      </c>
      <c r="B27" s="2">
        <f>16/25</f>
        <v>0.64</v>
      </c>
      <c r="C27" s="2">
        <f>2/7</f>
        <v>0.2857142857142857</v>
      </c>
      <c r="D27" s="2">
        <f>9/12</f>
        <v>0.75</v>
      </c>
      <c r="E27" s="2">
        <f>14/50</f>
        <v>0.28000000000000003</v>
      </c>
      <c r="F27" s="2">
        <f>0.7</f>
        <v>0.7</v>
      </c>
      <c r="G27" s="2">
        <f>6/10</f>
        <v>0.6</v>
      </c>
      <c r="H27" s="2">
        <f>0.6</f>
        <v>0.6</v>
      </c>
      <c r="I27" s="2">
        <f>0.5</f>
        <v>0.5</v>
      </c>
      <c r="J27" s="2">
        <v>0.61399999999999999</v>
      </c>
      <c r="K27" s="2">
        <v>0.4</v>
      </c>
      <c r="L27" s="2">
        <f>4/10</f>
        <v>0.4</v>
      </c>
      <c r="M27" s="2">
        <f>0.300000000000011/(202.8-170.1)</f>
        <v>9.1743119266058468E-3</v>
      </c>
      <c r="N27" s="2">
        <v>0.89494163424124518</v>
      </c>
      <c r="O27">
        <v>1</v>
      </c>
      <c r="P27">
        <f>10/(36-23)</f>
        <v>0.76923076923076927</v>
      </c>
      <c r="Q27">
        <f>5/(206-175)</f>
        <v>0.16129032258064516</v>
      </c>
    </row>
    <row r="28" spans="1:17" x14ac:dyDescent="0.25">
      <c r="J28" s="2"/>
      <c r="K28" s="2"/>
      <c r="M28" s="2"/>
      <c r="N2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rohan.mahtani@gmail.com</dc:creator>
  <cp:lastModifiedBy>rohan.mahtani@gmail.com</cp:lastModifiedBy>
  <dcterms:created xsi:type="dcterms:W3CDTF">2014-05-21T22:38:07Z</dcterms:created>
  <dcterms:modified xsi:type="dcterms:W3CDTF">2014-05-23T17:31:21Z</dcterms:modified>
</cp:coreProperties>
</file>